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activeTab="1"/>
  </bookViews>
  <sheets>
    <sheet name="Ataskaita" sheetId="18" r:id="rId1"/>
    <sheet name="Priemonių suvestinė" sheetId="20" r:id="rId2"/>
    <sheet name="SPIS" sheetId="21" state="hidden" r:id="rId3"/>
    <sheet name="MVP paskut." sheetId="22" state="hidden" r:id="rId4"/>
  </sheets>
  <definedNames>
    <definedName name="_xlnm.Print_Area" localSheetId="1">'Priemonių suvestinė'!$A$1:$O$226</definedName>
    <definedName name="_xlnm.Print_Titles" localSheetId="1">'Priemonių suvestinė'!$4:$6</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0" i="20" l="1"/>
  <c r="I58" i="20"/>
  <c r="I55" i="20"/>
  <c r="I53" i="20"/>
  <c r="L237" i="22"/>
  <c r="K237" i="22"/>
  <c r="J237" i="22"/>
  <c r="L236" i="22"/>
  <c r="K236" i="22"/>
  <c r="J236" i="22"/>
  <c r="L235" i="22"/>
  <c r="L233" i="22" s="1"/>
  <c r="K235" i="22"/>
  <c r="J235" i="22"/>
  <c r="L234" i="22"/>
  <c r="K234" i="22"/>
  <c r="K233" i="22" s="1"/>
  <c r="J234" i="22"/>
  <c r="J233" i="22" s="1"/>
  <c r="L232" i="22"/>
  <c r="K232" i="22"/>
  <c r="J232" i="22"/>
  <c r="L231" i="22"/>
  <c r="K231" i="22"/>
  <c r="J231" i="22"/>
  <c r="L230" i="22"/>
  <c r="L229" i="22"/>
  <c r="L228" i="22"/>
  <c r="K228" i="22"/>
  <c r="J228" i="22"/>
  <c r="L227" i="22"/>
  <c r="L226" i="22"/>
  <c r="K226" i="22"/>
  <c r="J226" i="22"/>
  <c r="L225" i="22"/>
  <c r="K225" i="22"/>
  <c r="J225" i="22"/>
  <c r="L224" i="22"/>
  <c r="K224" i="22"/>
  <c r="J224" i="22"/>
  <c r="L212" i="22"/>
  <c r="K212" i="22"/>
  <c r="J212" i="22"/>
  <c r="L209" i="22"/>
  <c r="L213" i="22" s="1"/>
  <c r="K209" i="22"/>
  <c r="J209" i="22"/>
  <c r="L206" i="22"/>
  <c r="K206" i="22"/>
  <c r="J206" i="22"/>
  <c r="K201" i="22"/>
  <c r="J201" i="22"/>
  <c r="L200" i="22"/>
  <c r="L199" i="22"/>
  <c r="L191" i="22"/>
  <c r="K191" i="22"/>
  <c r="J191" i="22"/>
  <c r="J202" i="22" s="1"/>
  <c r="K163" i="22"/>
  <c r="J163" i="22"/>
  <c r="J171" i="22" s="1"/>
  <c r="J172" i="22" s="1"/>
  <c r="L162" i="22"/>
  <c r="K162" i="22"/>
  <c r="K171" i="22" s="1"/>
  <c r="K172" i="22" s="1"/>
  <c r="K159" i="22"/>
  <c r="L159" i="22" s="1"/>
  <c r="L155" i="22"/>
  <c r="K155" i="22"/>
  <c r="J155" i="22"/>
  <c r="L149" i="22"/>
  <c r="K139" i="22"/>
  <c r="K227" i="22" s="1"/>
  <c r="J139" i="22"/>
  <c r="J227" i="22" s="1"/>
  <c r="K137" i="22"/>
  <c r="K229" i="22" s="1"/>
  <c r="J137" i="22"/>
  <c r="J229" i="22" s="1"/>
  <c r="K133" i="22"/>
  <c r="J133" i="22"/>
  <c r="K131" i="22"/>
  <c r="J131" i="22"/>
  <c r="K126" i="22"/>
  <c r="K125" i="22"/>
  <c r="K121" i="22"/>
  <c r="L118" i="22"/>
  <c r="K118" i="22"/>
  <c r="J118" i="22"/>
  <c r="K115" i="22"/>
  <c r="K113" i="22"/>
  <c r="J113" i="22"/>
  <c r="J115" i="22" s="1"/>
  <c r="J112" i="22"/>
  <c r="K108" i="22"/>
  <c r="J108" i="22"/>
  <c r="L108" i="22" s="1"/>
  <c r="K102" i="22"/>
  <c r="L102" i="22" s="1"/>
  <c r="L100" i="22"/>
  <c r="K100" i="22"/>
  <c r="O98" i="22"/>
  <c r="O97" i="22"/>
  <c r="K75" i="22"/>
  <c r="J75" i="22"/>
  <c r="J97" i="22" s="1"/>
  <c r="K68" i="22"/>
  <c r="K97" i="22" s="1"/>
  <c r="L65" i="22"/>
  <c r="K64" i="22"/>
  <c r="L64" i="22" s="1"/>
  <c r="J64" i="22"/>
  <c r="K62" i="22"/>
  <c r="L62" i="22" s="1"/>
  <c r="J62" i="22"/>
  <c r="K58" i="22"/>
  <c r="K66" i="22" s="1"/>
  <c r="J58" i="22"/>
  <c r="K56" i="22"/>
  <c r="J56" i="22"/>
  <c r="K44" i="22"/>
  <c r="J44" i="22"/>
  <c r="J223" i="22" s="1"/>
  <c r="K42" i="22"/>
  <c r="J42" i="22"/>
  <c r="K25" i="22"/>
  <c r="K230" i="22" s="1"/>
  <c r="J25" i="22"/>
  <c r="J230" i="22" s="1"/>
  <c r="K24" i="22"/>
  <c r="J24" i="22"/>
  <c r="K19" i="22"/>
  <c r="L19" i="22" s="1"/>
  <c r="J19" i="22"/>
  <c r="K16" i="22"/>
  <c r="J222" i="22" l="1"/>
  <c r="K54" i="22"/>
  <c r="L24" i="22"/>
  <c r="L56" i="22"/>
  <c r="K112" i="22"/>
  <c r="L113" i="22"/>
  <c r="L115" i="22" s="1"/>
  <c r="J149" i="22"/>
  <c r="L171" i="22"/>
  <c r="L172" i="22" s="1"/>
  <c r="K202" i="22"/>
  <c r="J54" i="22"/>
  <c r="K149" i="22"/>
  <c r="L201" i="22"/>
  <c r="L202" i="22" s="1"/>
  <c r="J213" i="22"/>
  <c r="K213" i="22"/>
  <c r="J221" i="22"/>
  <c r="J238" i="22" s="1"/>
  <c r="L112" i="22"/>
  <c r="K156" i="22"/>
  <c r="K214" i="22" s="1"/>
  <c r="K215" i="22" s="1"/>
  <c r="K223" i="22"/>
  <c r="K222" i="22" s="1"/>
  <c r="K221" i="22" s="1"/>
  <c r="K238" i="22" s="1"/>
  <c r="L58" i="22"/>
  <c r="L66" i="22" s="1"/>
  <c r="J66" i="22"/>
  <c r="J156" i="22" s="1"/>
  <c r="J214" i="22" s="1"/>
  <c r="J215" i="22" s="1"/>
  <c r="L68" i="22"/>
  <c r="L97" i="22" s="1"/>
  <c r="L16" i="22"/>
  <c r="L54" i="22" l="1"/>
  <c r="L156" i="22" s="1"/>
  <c r="L214" i="22" s="1"/>
  <c r="L215" i="22" s="1"/>
  <c r="L223" i="22"/>
  <c r="L222" i="22" s="1"/>
  <c r="L221" i="22" s="1"/>
  <c r="L238" i="22" s="1"/>
  <c r="F206" i="21" l="1"/>
  <c r="E206" i="21"/>
  <c r="D206" i="21"/>
  <c r="C206" i="21"/>
  <c r="H192" i="21"/>
  <c r="G192" i="21"/>
  <c r="F192" i="21"/>
  <c r="E192" i="21"/>
  <c r="H190" i="21"/>
  <c r="G190" i="21"/>
  <c r="F190" i="21"/>
  <c r="E190" i="21"/>
  <c r="E189" i="21" s="1"/>
  <c r="H189" i="21"/>
  <c r="G189" i="21"/>
  <c r="F189" i="21"/>
  <c r="H186" i="21"/>
  <c r="G186" i="21"/>
  <c r="F186" i="21"/>
  <c r="E186" i="21"/>
  <c r="E185" i="21" s="1"/>
  <c r="H185" i="21"/>
  <c r="H184" i="21" s="1"/>
  <c r="G185" i="21"/>
  <c r="F185" i="21"/>
  <c r="G184" i="21"/>
  <c r="F184" i="21"/>
  <c r="H175" i="21"/>
  <c r="G175" i="21"/>
  <c r="F175" i="21"/>
  <c r="E175" i="21"/>
  <c r="H168" i="21"/>
  <c r="G168" i="21"/>
  <c r="F168" i="21"/>
  <c r="E168" i="21"/>
  <c r="H161" i="21"/>
  <c r="G161" i="21"/>
  <c r="F161" i="21"/>
  <c r="E161" i="21"/>
  <c r="H160" i="21"/>
  <c r="G160" i="21"/>
  <c r="F160" i="21"/>
  <c r="F159" i="21" s="1"/>
  <c r="E160" i="21"/>
  <c r="E159" i="21" s="1"/>
  <c r="H159" i="21"/>
  <c r="G159" i="21"/>
  <c r="H149" i="21"/>
  <c r="G149" i="21"/>
  <c r="F149" i="21"/>
  <c r="E149" i="21"/>
  <c r="H146" i="21"/>
  <c r="G146" i="21"/>
  <c r="F146" i="21"/>
  <c r="E146" i="21"/>
  <c r="E145" i="21" s="1"/>
  <c r="E144" i="21" s="1"/>
  <c r="H145" i="21"/>
  <c r="G145" i="21"/>
  <c r="F145" i="21"/>
  <c r="H144" i="21"/>
  <c r="G144" i="21"/>
  <c r="F144" i="21"/>
  <c r="H142" i="21"/>
  <c r="G142" i="21"/>
  <c r="F142" i="21"/>
  <c r="E142" i="21"/>
  <c r="H140" i="21"/>
  <c r="G140" i="21"/>
  <c r="F140" i="21"/>
  <c r="E140" i="21"/>
  <c r="H136" i="21"/>
  <c r="G136" i="21"/>
  <c r="F136" i="21"/>
  <c r="E136" i="21"/>
  <c r="H131" i="21"/>
  <c r="G131" i="21"/>
  <c r="F131" i="21"/>
  <c r="E131" i="21"/>
  <c r="H128" i="21"/>
  <c r="G128" i="21"/>
  <c r="F128" i="21"/>
  <c r="E128" i="21"/>
  <c r="H123" i="21"/>
  <c r="G123" i="21"/>
  <c r="F123" i="21"/>
  <c r="E123" i="21"/>
  <c r="H118" i="21"/>
  <c r="G118" i="21"/>
  <c r="F118" i="21"/>
  <c r="E118" i="21"/>
  <c r="H115" i="21"/>
  <c r="G115" i="21"/>
  <c r="F115" i="21"/>
  <c r="E115" i="21"/>
  <c r="E114" i="21" s="1"/>
  <c r="H114" i="21"/>
  <c r="G114" i="21"/>
  <c r="F114" i="21"/>
  <c r="H112" i="21"/>
  <c r="G112" i="21"/>
  <c r="F112" i="21"/>
  <c r="E112" i="21"/>
  <c r="H108" i="21"/>
  <c r="G108" i="21"/>
  <c r="F108" i="21"/>
  <c r="E108" i="21"/>
  <c r="E107" i="21" s="1"/>
  <c r="H107" i="21"/>
  <c r="G107" i="21"/>
  <c r="F107" i="21"/>
  <c r="H103" i="21"/>
  <c r="G103" i="21"/>
  <c r="F103" i="21"/>
  <c r="E103" i="21"/>
  <c r="H97" i="21"/>
  <c r="G97" i="21"/>
  <c r="F97" i="21"/>
  <c r="E97" i="21"/>
  <c r="H93" i="21"/>
  <c r="G93" i="21"/>
  <c r="F93" i="21"/>
  <c r="F92" i="21" s="1"/>
  <c r="E93" i="21"/>
  <c r="H92" i="21"/>
  <c r="G92" i="21"/>
  <c r="E92" i="21"/>
  <c r="H89" i="21"/>
  <c r="G89" i="21"/>
  <c r="F89" i="21"/>
  <c r="E89" i="21"/>
  <c r="H84" i="21"/>
  <c r="G84" i="21"/>
  <c r="F84" i="21"/>
  <c r="E84" i="21"/>
  <c r="H75" i="21"/>
  <c r="G75" i="21"/>
  <c r="F75" i="21"/>
  <c r="E75" i="21"/>
  <c r="H66" i="21"/>
  <c r="G66" i="21"/>
  <c r="F66" i="21"/>
  <c r="F65" i="21" s="1"/>
  <c r="F9" i="21" s="1"/>
  <c r="F5" i="21" s="1"/>
  <c r="F4" i="21" s="1"/>
  <c r="E66" i="21"/>
  <c r="E65" i="21" s="1"/>
  <c r="H65" i="21"/>
  <c r="G65" i="21"/>
  <c r="H61" i="21"/>
  <c r="G61" i="21"/>
  <c r="F61" i="21"/>
  <c r="E61" i="21"/>
  <c r="H55" i="21"/>
  <c r="G55" i="21"/>
  <c r="F55" i="21"/>
  <c r="E55" i="21"/>
  <c r="H50" i="21"/>
  <c r="G50" i="21"/>
  <c r="F50" i="21"/>
  <c r="E50" i="21"/>
  <c r="E49" i="21" s="1"/>
  <c r="H49" i="21"/>
  <c r="G49" i="21"/>
  <c r="F49" i="21"/>
  <c r="H46" i="21"/>
  <c r="G46" i="21"/>
  <c r="F46" i="21"/>
  <c r="E46" i="21"/>
  <c r="H43" i="21"/>
  <c r="G43" i="21"/>
  <c r="F43" i="21"/>
  <c r="E43" i="21"/>
  <c r="H40" i="21"/>
  <c r="G40" i="21"/>
  <c r="F40" i="21"/>
  <c r="E40" i="21"/>
  <c r="H36" i="21"/>
  <c r="G36" i="21"/>
  <c r="F36" i="21"/>
  <c r="E36" i="21"/>
  <c r="H32" i="21"/>
  <c r="G32" i="21"/>
  <c r="F32" i="21"/>
  <c r="E32" i="21"/>
  <c r="H19" i="21"/>
  <c r="G19" i="21"/>
  <c r="F19" i="21"/>
  <c r="E19" i="21"/>
  <c r="H13" i="21"/>
  <c r="G13" i="21"/>
  <c r="F13" i="21"/>
  <c r="E13" i="21"/>
  <c r="H11" i="21"/>
  <c r="G11" i="21"/>
  <c r="F11" i="21"/>
  <c r="E11" i="21"/>
  <c r="E10" i="21" s="1"/>
  <c r="H10" i="21"/>
  <c r="H9" i="21" s="1"/>
  <c r="H5" i="21" s="1"/>
  <c r="H4" i="21" s="1"/>
  <c r="G10" i="21"/>
  <c r="F10" i="21"/>
  <c r="G9" i="21"/>
  <c r="G5" i="21" s="1"/>
  <c r="G4" i="21" s="1"/>
  <c r="E9" i="21" l="1"/>
  <c r="E184" i="21"/>
  <c r="I184" i="20"/>
  <c r="J184" i="20"/>
  <c r="H184" i="20"/>
  <c r="J174" i="20"/>
  <c r="J154" i="20"/>
  <c r="J51" i="20"/>
  <c r="J62" i="20"/>
  <c r="H62" i="20"/>
  <c r="I102" i="20"/>
  <c r="I138" i="20"/>
  <c r="J138" i="20"/>
  <c r="H138" i="20"/>
  <c r="J132" i="20"/>
  <c r="J99" i="20"/>
  <c r="H99" i="20"/>
  <c r="E5" i="21" l="1"/>
  <c r="E4" i="21" s="1"/>
  <c r="J102" i="20"/>
  <c r="J155" i="20"/>
  <c r="J212" i="20"/>
  <c r="J214" i="20"/>
  <c r="J222" i="20"/>
  <c r="J221" i="20"/>
  <c r="J220" i="20"/>
  <c r="J219" i="20"/>
  <c r="J217" i="20"/>
  <c r="J216" i="20"/>
  <c r="J213" i="20"/>
  <c r="J211" i="20"/>
  <c r="J209" i="20"/>
  <c r="J208" i="20"/>
  <c r="J207" i="20"/>
  <c r="I167" i="20"/>
  <c r="I174" i="20" s="1"/>
  <c r="H167" i="20"/>
  <c r="I121" i="20"/>
  <c r="J83" i="20" l="1"/>
  <c r="J84" i="20" s="1"/>
  <c r="J215" i="20" l="1"/>
  <c r="I124" i="20"/>
  <c r="I87" i="20"/>
  <c r="I99" i="20" s="1"/>
  <c r="I62" i="20"/>
  <c r="H43" i="20" l="1"/>
  <c r="H18" i="20" l="1"/>
  <c r="I111" i="20" l="1"/>
  <c r="I118" i="20"/>
  <c r="H111" i="20"/>
  <c r="H112" i="20"/>
  <c r="H113" i="20"/>
  <c r="I132" i="20" l="1"/>
  <c r="H132" i="20"/>
  <c r="I222" i="20"/>
  <c r="I221" i="20"/>
  <c r="I220" i="20"/>
  <c r="I219" i="20"/>
  <c r="I217" i="20"/>
  <c r="I216" i="20"/>
  <c r="I215" i="20"/>
  <c r="I212" i="20"/>
  <c r="I210" i="20"/>
  <c r="I209" i="20"/>
  <c r="I208" i="20"/>
  <c r="I195" i="20"/>
  <c r="I192" i="20"/>
  <c r="I189" i="20"/>
  <c r="I146" i="20"/>
  <c r="I154" i="20" s="1"/>
  <c r="I213" i="20"/>
  <c r="I211" i="20"/>
  <c r="I105" i="20"/>
  <c r="I80" i="20"/>
  <c r="I68" i="20"/>
  <c r="I39" i="20"/>
  <c r="I24" i="20"/>
  <c r="H222" i="20"/>
  <c r="H221" i="20"/>
  <c r="H220" i="20"/>
  <c r="H219" i="20"/>
  <c r="H217" i="20"/>
  <c r="H216" i="20"/>
  <c r="H215" i="20"/>
  <c r="H212" i="20"/>
  <c r="J210" i="20"/>
  <c r="J206" i="20" s="1"/>
  <c r="J205" i="20" s="1"/>
  <c r="H210" i="20"/>
  <c r="H209" i="20"/>
  <c r="H208" i="20"/>
  <c r="J195" i="20"/>
  <c r="H195" i="20"/>
  <c r="J192" i="20"/>
  <c r="H192" i="20"/>
  <c r="J189" i="20"/>
  <c r="H189" i="20"/>
  <c r="H158" i="20"/>
  <c r="H174" i="20" s="1"/>
  <c r="H146" i="20"/>
  <c r="H154" i="20" s="1"/>
  <c r="H213" i="20"/>
  <c r="H211" i="20"/>
  <c r="J105" i="20"/>
  <c r="J139" i="20" s="1"/>
  <c r="H105" i="20"/>
  <c r="H102" i="20"/>
  <c r="H80" i="20"/>
  <c r="H68" i="20"/>
  <c r="H45" i="20"/>
  <c r="H42" i="20"/>
  <c r="H39" i="20"/>
  <c r="H24" i="20"/>
  <c r="H23" i="20"/>
  <c r="H196" i="20" l="1"/>
  <c r="I84" i="20"/>
  <c r="I155" i="20"/>
  <c r="H155" i="20"/>
  <c r="I51" i="20"/>
  <c r="H84" i="20"/>
  <c r="H51" i="20"/>
  <c r="J196" i="20"/>
  <c r="I214" i="20"/>
  <c r="I185" i="20"/>
  <c r="I207" i="20"/>
  <c r="I206" i="20" s="1"/>
  <c r="I196" i="20"/>
  <c r="J185" i="20"/>
  <c r="I218" i="20"/>
  <c r="J218" i="20"/>
  <c r="H214" i="20"/>
  <c r="H218" i="20"/>
  <c r="H185" i="20"/>
  <c r="H207" i="20"/>
  <c r="H206" i="20" s="1"/>
  <c r="H139" i="20" l="1"/>
  <c r="I139" i="20"/>
  <c r="I197" i="20" s="1"/>
  <c r="I198" i="20" s="1"/>
  <c r="J197" i="20"/>
  <c r="J198" i="20" s="1"/>
  <c r="I205" i="20"/>
  <c r="I223" i="20" s="1"/>
  <c r="H205" i="20"/>
  <c r="H223" i="20" s="1"/>
  <c r="H197" i="20"/>
  <c r="H198" i="20" s="1"/>
  <c r="J223" i="20" l="1"/>
</calcChain>
</file>

<file path=xl/comments1.xml><?xml version="1.0" encoding="utf-8"?>
<comments xmlns="http://schemas.openxmlformats.org/spreadsheetml/2006/main">
  <authors>
    <author>Audra Cepiene</author>
  </authors>
  <commentList>
    <comment ref="E14" authorId="0" shapeId="0">
      <text>
        <r>
          <rPr>
            <b/>
            <sz val="9"/>
            <color indexed="81"/>
            <rFont val="Tahoma"/>
            <family val="2"/>
            <charset val="186"/>
          </rPr>
          <t>Klaipėdos miesto ekonominės plėtros strategija ir įgyvendinimo veiksmų planas iki 2030 metų, 3.1.13 priemonė</t>
        </r>
        <r>
          <rPr>
            <sz val="9"/>
            <color indexed="81"/>
            <rFont val="Tahoma"/>
            <family val="2"/>
            <charset val="186"/>
          </rPr>
          <t xml:space="preserve">
</t>
        </r>
      </text>
    </comment>
    <comment ref="E18"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K34" authorId="0" shapeId="0">
      <text>
        <r>
          <rPr>
            <sz val="9"/>
            <color indexed="81"/>
            <rFont val="Tahoma"/>
            <family val="2"/>
            <charset val="186"/>
          </rPr>
          <t>Iš viso mieste yra 1,5 tūkst. vnt. šiukšliadėžių</t>
        </r>
      </text>
    </comment>
    <comment ref="K35" authorId="0" shapeId="0">
      <text>
        <r>
          <rPr>
            <sz val="9"/>
            <color indexed="81"/>
            <rFont val="Tahoma"/>
            <family val="2"/>
            <charset val="186"/>
          </rPr>
          <t>Iš viso mieste yra 1,1 tūkst. vnt. suoliuk</t>
        </r>
      </text>
    </comment>
    <comment ref="E38"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43"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45"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E49"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D71" authorId="0" shapeId="0">
      <text>
        <r>
          <rPr>
            <sz val="9"/>
            <color indexed="81"/>
            <rFont val="Tahoma"/>
            <family val="2"/>
            <charset val="186"/>
          </rPr>
          <t xml:space="preserve">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 Administruojama patalpų - </t>
        </r>
        <r>
          <rPr>
            <b/>
            <sz val="9"/>
            <color indexed="81"/>
            <rFont val="Tahoma"/>
            <family val="2"/>
            <charset val="186"/>
          </rPr>
          <t>895,9 m2</t>
        </r>
      </text>
    </comment>
    <comment ref="E71"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K80" authorId="0" shapeId="0">
      <text>
        <r>
          <rPr>
            <sz val="9"/>
            <color indexed="81"/>
            <rFont val="Tahoma"/>
            <family val="2"/>
            <charset val="186"/>
          </rPr>
          <t>Viešieji tualetai: Stovyklų g. 4 –21,79 m2; Kopų g. 1A (I Melnragė) – 87,25 m2;</t>
        </r>
      </text>
    </comment>
    <comment ref="E85"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K100" authorId="0" shapeId="0">
      <text>
        <r>
          <rPr>
            <b/>
            <sz val="9"/>
            <color indexed="81"/>
            <rFont val="Tahoma"/>
            <family val="2"/>
            <charset val="186"/>
          </rPr>
          <t xml:space="preserve">87 kamerų priežiūra </t>
        </r>
        <r>
          <rPr>
            <sz val="9"/>
            <color indexed="81"/>
            <rFont val="Tahoma"/>
            <family val="2"/>
            <charset val="186"/>
          </rPr>
          <t xml:space="preserve">(58 esamos+8(Poilsio parkas)+7(Sąjūdžio parkas)+12(Gedminų alėja)+2(Minijos-Baltijos sankryža), 
</t>
        </r>
        <r>
          <rPr>
            <b/>
            <sz val="9"/>
            <color indexed="81"/>
            <rFont val="Tahoma"/>
            <family val="2"/>
            <charset val="186"/>
          </rPr>
          <t>60 kamerų priežiūra</t>
        </r>
        <r>
          <rPr>
            <sz val="9"/>
            <color indexed="81"/>
            <rFont val="Tahoma"/>
            <family val="2"/>
            <charset val="186"/>
          </rPr>
          <t xml:space="preserve"> (45 naujų kamerų, 7 naujos policijai pagal prašymą, 8 (Klaipėdos piliavietė ir Vasaros estradoje)
</t>
        </r>
        <r>
          <rPr>
            <b/>
            <sz val="9"/>
            <color indexed="81"/>
            <rFont val="Tahoma"/>
            <family val="2"/>
            <charset val="186"/>
          </rPr>
          <t xml:space="preserve">4 slaptos </t>
        </r>
        <r>
          <rPr>
            <sz val="9"/>
            <color indexed="81"/>
            <rFont val="Tahoma"/>
            <family val="2"/>
            <charset val="186"/>
          </rPr>
          <t xml:space="preserve">kameros
Stebėjimo kamerų tinklo diegimas autobusų ir geležinkelių stotyse bei intermodaliniuose centruose </t>
        </r>
        <r>
          <rPr>
            <b/>
            <sz val="9"/>
            <color indexed="81"/>
            <rFont val="Tahoma"/>
            <family val="2"/>
            <charset val="186"/>
          </rPr>
          <t xml:space="preserve">(Darnaus judumo planas)
</t>
        </r>
      </text>
    </comment>
    <comment ref="E108" authorId="0" shapeId="0">
      <text>
        <r>
          <rPr>
            <b/>
            <sz val="9"/>
            <color indexed="81"/>
            <rFont val="Tahoma"/>
            <family val="2"/>
            <charset val="186"/>
          </rPr>
          <t xml:space="preserve">KSP 2.4.2.2. </t>
        </r>
        <r>
          <rPr>
            <sz val="9"/>
            <color indexed="81"/>
            <rFont val="Tahoma"/>
            <family val="2"/>
            <charset val="186"/>
          </rPr>
          <t>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K108" authorId="0" shapeId="0">
      <text>
        <r>
          <rPr>
            <sz val="9"/>
            <color indexed="81"/>
            <rFont val="Tahoma"/>
            <family val="2"/>
            <charset val="186"/>
          </rPr>
          <t xml:space="preserve">2019 m. vyksta projekto ekspertizė, projekto sąmatos korekcija, rangos darbų pirkimas ir archeologiniai tyrinėjimai 
</t>
        </r>
      </text>
    </comment>
    <comment ref="E110" authorId="0" shapeId="0">
      <text>
        <r>
          <rPr>
            <b/>
            <sz val="9"/>
            <color indexed="81"/>
            <rFont val="Tahoma"/>
            <family val="2"/>
            <charset val="186"/>
          </rPr>
          <t>2.4.1.2. KSP</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114"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r>
          <rPr>
            <b/>
            <sz val="9"/>
            <color indexed="81"/>
            <rFont val="Tahoma"/>
            <family val="2"/>
            <charset val="186"/>
          </rPr>
          <t xml:space="preserve">P6, Klaipėdos miesto ekonominės plėtros strategija ir įgyvendinimo veiksmų planas iki 2030 metų, 3.1.5. </t>
        </r>
        <r>
          <rPr>
            <sz val="9"/>
            <color indexed="81"/>
            <rFont val="Tahoma"/>
            <family val="2"/>
            <charset val="186"/>
          </rPr>
          <t xml:space="preserve">"Intencyvinti linijinį centrą Taikos pr. ašyje" </t>
        </r>
      </text>
    </comment>
    <comment ref="E118" authorId="0" shapeId="0">
      <text>
        <r>
          <rPr>
            <sz val="9"/>
            <color indexed="81"/>
            <rFont val="Tahoma"/>
            <family val="2"/>
            <charset val="186"/>
          </rPr>
          <t xml:space="preserve">2.4.2.5. KSP priemonė: Atnaujinti gyvenamųjų kvartalų centrines aikštes ir kitas viešąsias erdves, 3.1.1.1. priemonė "Išvystyti senąją turgavietę", Klaipėdos miesto ekonominės plėtros strategija ir įgyvendinimo veiksmų planas iki 2030 metų </t>
        </r>
      </text>
    </comment>
    <comment ref="E121"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25"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E135" authorId="0" shapeId="0">
      <text>
        <r>
          <rPr>
            <b/>
            <sz val="9"/>
            <color indexed="81"/>
            <rFont val="Tahoma"/>
            <family val="2"/>
            <charset val="186"/>
          </rPr>
          <t>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I139" authorId="0" shapeId="0">
      <text>
        <r>
          <rPr>
            <b/>
            <sz val="9"/>
            <color indexed="81"/>
            <rFont val="Tahoma"/>
            <family val="2"/>
            <charset val="186"/>
          </rPr>
          <t xml:space="preserve">9582,8 </t>
        </r>
        <r>
          <rPr>
            <sz val="9"/>
            <color indexed="81"/>
            <rFont val="Tahoma"/>
            <family val="2"/>
            <charset val="186"/>
          </rPr>
          <t xml:space="preserve">
</t>
        </r>
      </text>
    </comment>
    <comment ref="D158"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planuojama panaudoti visa sumą 1.408.500,00 Eur SB
</t>
        </r>
        <r>
          <rPr>
            <b/>
            <sz val="9"/>
            <color indexed="81"/>
            <rFont val="Tahoma"/>
            <family val="2"/>
            <charset val="186"/>
          </rPr>
          <t>Namų valdos:</t>
        </r>
        <r>
          <rPr>
            <sz val="9"/>
            <color indexed="81"/>
            <rFont val="Tahoma"/>
            <family val="2"/>
            <charset val="186"/>
          </rPr>
          <t xml:space="preserve">
1.  UAB „Pempininkų valda“, 2. UAB „Laukininkų valda“, 3. UAB „Žardės būstas“, 4. UAB „Vingio būstas“, 5.  UAB „Jūros būstas“, 6. UAB „Vėtrungės būstas“, 7. UAB „Danės būstas“, 8. UAB „Vitės valdos“, 9. UAB „Paslaugos būstui“, 10. UAB „Debreceno valdos“</t>
        </r>
      </text>
    </comment>
    <comment ref="M162" authorId="0" shapeId="0">
      <text>
        <r>
          <rPr>
            <b/>
            <sz val="9"/>
            <color indexed="81"/>
            <rFont val="Tahoma"/>
            <charset val="1"/>
          </rPr>
          <t>Audra Cepiene:</t>
        </r>
        <r>
          <rPr>
            <sz val="9"/>
            <color indexed="81"/>
            <rFont val="Tahoma"/>
            <charset val="1"/>
          </rPr>
          <t xml:space="preserve">
Statybos darbai baigti Liubeko g. 7-9 (108 vietos), ir Šilutės pl. 88/Vingio g.1 (187 vietos), Taikos pr. 21, 49, 55 (115 vietų), Dzūkų g. 6 (26 vietos), Panevėžio g. 5 - 19 (240 vietų). Baigiami vykdyti darbai Liepų g. nuo 40 iki 46A kiemuose (50 vietų). </t>
        </r>
      </text>
    </comment>
    <comment ref="D193" authorId="0" shapeId="0">
      <text>
        <r>
          <rPr>
            <sz val="9"/>
            <color indexed="81"/>
            <rFont val="Tahoma"/>
            <family val="2"/>
            <charset val="186"/>
          </rPr>
          <t>2017 m.  ties vieta (Baltijos pr. 109) statybos darbų atlikimo eigoje papildomai buvo nuspręsta remontuoti esamą pėsčiųjų taką, kad būtų sklandesnis sujungimas su esamais prie daugiabučių namų takais.</t>
        </r>
        <r>
          <rPr>
            <b/>
            <sz val="9"/>
            <color indexed="81"/>
            <rFont val="Tahoma"/>
            <family val="2"/>
            <charset val="186"/>
          </rPr>
          <t xml:space="preserve"> Šalia įrengiamo tako esama asfaltuota kelio danga nebuvo tvarkoma, taip pat ir lietaus surinkimo sistema</t>
        </r>
        <r>
          <rPr>
            <sz val="9"/>
            <color indexed="81"/>
            <rFont val="Tahoma"/>
            <family val="2"/>
            <charset val="186"/>
          </rPr>
          <t>. Įrengus papildomą pėsčiųjų tako atkarpą, atsirado problema dėl kelio apsėmimo, nes nebenuteka lietaus vanduo. Gautas AB „Klaipėdos vanduo“ prašymas, kad šioje atkarpoje būtina įrengti lietaus nuotekų tinklus (ilgis ~60 m., reikia įrengti laiptuotas surinkimo groteles (2 vnt.) ir gelžbetoninius šulinėlius.</t>
        </r>
      </text>
    </comment>
    <comment ref="H206" authorId="0" shapeId="0">
      <text>
        <r>
          <rPr>
            <b/>
            <sz val="9"/>
            <color indexed="81"/>
            <rFont val="Tahoma"/>
            <family val="2"/>
            <charset val="186"/>
          </rPr>
          <t xml:space="preserve">12054,4 Pirminis MVP
</t>
        </r>
        <r>
          <rPr>
            <sz val="9"/>
            <color indexed="81"/>
            <rFont val="Tahoma"/>
            <family val="2"/>
            <charset val="186"/>
          </rPr>
          <t xml:space="preserve">
</t>
        </r>
      </text>
    </comment>
    <comment ref="I206" authorId="0" shapeId="0">
      <text>
        <r>
          <rPr>
            <b/>
            <sz val="9"/>
            <color indexed="81"/>
            <rFont val="Tahoma"/>
            <family val="2"/>
            <charset val="186"/>
          </rPr>
          <t>III SVP 9101,6</t>
        </r>
        <r>
          <rPr>
            <sz val="9"/>
            <color indexed="81"/>
            <rFont val="Tahoma"/>
            <family val="2"/>
            <charset val="186"/>
          </rPr>
          <t xml:space="preserve">
</t>
        </r>
      </text>
    </comment>
    <comment ref="J223" authorId="0" shapeId="0">
      <text>
        <r>
          <rPr>
            <b/>
            <sz val="9"/>
            <color indexed="81"/>
            <rFont val="Tahoma"/>
            <family val="2"/>
            <charset val="186"/>
          </rPr>
          <t xml:space="preserve">SPIS 10375,6 be Kt lėšų
</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Saulina Paulauskiene</author>
  </authors>
  <commentList>
    <comment ref="F15" authorId="0" shapeId="0">
      <text>
        <r>
          <rPr>
            <b/>
            <sz val="9"/>
            <color indexed="81"/>
            <rFont val="Tahoma"/>
            <family val="2"/>
            <charset val="186"/>
          </rPr>
          <t>Klaipėdos miesto ekonominės plėtros strategija ir įgyvendinimo veiksmų planas iki 2030 metų, 3.1.13 priemonė</t>
        </r>
        <r>
          <rPr>
            <sz val="9"/>
            <color indexed="81"/>
            <rFont val="Tahoma"/>
            <family val="2"/>
            <charset val="186"/>
          </rPr>
          <t xml:space="preserve">
</t>
        </r>
      </text>
    </comment>
    <comment ref="F19"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M19" authorId="0" shapeId="0">
      <text>
        <r>
          <rPr>
            <sz val="9"/>
            <color indexed="81"/>
            <rFont val="Tahoma"/>
            <family val="2"/>
            <charset val="186"/>
          </rPr>
          <t xml:space="preserve">Eksploatuojami 4 fontanai: "Taravos Anikė"; "Laivelis" Meridiano skvere; Debreceno aikštės fontanas; Pempininkų aikštės fontanas
</t>
        </r>
      </text>
    </comment>
    <comment ref="N22" authorId="0" shapeId="0">
      <text>
        <r>
          <rPr>
            <sz val="9"/>
            <color indexed="81"/>
            <rFont val="Tahoma"/>
            <family val="2"/>
            <charset val="186"/>
          </rPr>
          <t>iš viso projekto kaina 53,8 tūkst. eur , iš jų 3,6 tūkst. eur projektas</t>
        </r>
      </text>
    </comment>
    <comment ref="M36" authorId="0" shapeId="0">
      <text>
        <r>
          <rPr>
            <sz val="9"/>
            <color indexed="81"/>
            <rFont val="Tahoma"/>
            <family val="2"/>
            <charset val="186"/>
          </rPr>
          <t>Iš viso mieste yra 1,5 tūkst. vnt. šiukšliadėžių</t>
        </r>
      </text>
    </comment>
    <comment ref="M37" authorId="0" shapeId="0">
      <text>
        <r>
          <rPr>
            <sz val="9"/>
            <color indexed="81"/>
            <rFont val="Tahoma"/>
            <family val="2"/>
            <charset val="186"/>
          </rPr>
          <t>Iš viso mieste yra 1,1 tūkst. vnt. suoliuk</t>
        </r>
      </text>
    </comment>
    <comment ref="F41" authorId="0" shapeId="0">
      <text>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F46"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F48" authorId="0" shapeId="0">
      <text>
        <r>
          <rPr>
            <b/>
            <sz val="9"/>
            <color indexed="81"/>
            <rFont val="Tahoma"/>
            <family val="2"/>
            <charset val="186"/>
          </rPr>
          <t xml:space="preserve">3.2.1.7 </t>
        </r>
        <r>
          <rPr>
            <sz val="9"/>
            <color indexed="81"/>
            <rFont val="Tahoma"/>
            <family val="2"/>
            <charset val="186"/>
          </rPr>
          <t xml:space="preserve">KSP priemonė: Sutvarkyti senamiesčio ir istorinės miesto dalies reprezentacinių viešųjų erdvių (Teatro, Turgaus, Atgimimo aikščių, Ferdinando ir kitų skverų) infrastruktūrą pritaikant jas turizmo reikmėms bei renginiams 
</t>
        </r>
      </text>
    </comment>
    <comment ref="M48" authorId="0" shapeId="0">
      <text>
        <r>
          <rPr>
            <sz val="9"/>
            <color indexed="81"/>
            <rFont val="Tahoma"/>
            <family val="2"/>
            <charset val="186"/>
          </rPr>
          <t xml:space="preserve">Parengtas techninis projektas. Paveldosaugos skyrius 
</t>
        </r>
      </text>
    </comment>
    <comment ref="E52" authorId="0" shapeId="0">
      <text>
        <r>
          <rPr>
            <sz val="9"/>
            <color indexed="81"/>
            <rFont val="Tahoma"/>
            <family val="2"/>
            <charset val="186"/>
          </rPr>
          <t xml:space="preserve">Skveras ties prekybos centru „Maxima“ (Šilutės pl. 40A) ir pėsčiųjų ir dviračių tako nuo 
Šilutės pl. iki Taikos pr. atnaujinimas 
</t>
        </r>
      </text>
    </comment>
    <comment ref="F52" authorId="0" shapeId="0">
      <text>
        <r>
          <rPr>
            <b/>
            <sz val="9"/>
            <color indexed="81"/>
            <rFont val="Tahoma"/>
            <family val="2"/>
            <charset val="186"/>
          </rPr>
          <t xml:space="preserve">2.4.2.4. KSP priemonė: </t>
        </r>
        <r>
          <rPr>
            <sz val="9"/>
            <color indexed="81"/>
            <rFont val="Tahoma"/>
            <family val="2"/>
            <charset val="186"/>
          </rPr>
          <t xml:space="preserve">Atnaujinti gyvenamųjų kvartalų centrines aikštes ir kitas viešąsias erdves
</t>
        </r>
      </text>
    </comment>
    <comment ref="E78" authorId="0" shapeId="0">
      <text>
        <r>
          <rPr>
            <sz val="9"/>
            <color indexed="81"/>
            <rFont val="Tahoma"/>
            <family val="2"/>
            <charset val="186"/>
          </rPr>
          <t xml:space="preserve">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 Administruojama patalpų - </t>
        </r>
        <r>
          <rPr>
            <b/>
            <sz val="9"/>
            <color indexed="81"/>
            <rFont val="Tahoma"/>
            <family val="2"/>
            <charset val="186"/>
          </rPr>
          <t>895,9 m2</t>
        </r>
      </text>
    </comment>
    <comment ref="F78"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M92" authorId="0" shapeId="0">
      <text>
        <r>
          <rPr>
            <sz val="9"/>
            <color indexed="81"/>
            <rFont val="Tahoma"/>
            <family val="2"/>
            <charset val="186"/>
          </rPr>
          <t>Viešieji tualetai: Stovyklų g. 4 –21,79 m2; Kopų g. 1A (I Melnragė) – 87,25 m2;</t>
        </r>
      </text>
    </comment>
    <comment ref="F98"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N106" authorId="1" shapeId="0">
      <text>
        <r>
          <rPr>
            <sz val="9"/>
            <color indexed="81"/>
            <rFont val="Tahoma"/>
            <family val="2"/>
            <charset val="186"/>
          </rPr>
          <t>pravažiavimo nuo J. Janonio g. 5 iki Pievų  Pako g. 37 apšvietimo techninio darbo projekto parengimas ir Karlsronos aikštės apšvietimo techninio darbo projekto parengimas</t>
        </r>
      </text>
    </comment>
    <comment ref="M113" authorId="0" shapeId="0">
      <text>
        <r>
          <rPr>
            <sz val="9"/>
            <color indexed="81"/>
            <rFont val="Tahoma"/>
            <family val="2"/>
            <charset val="186"/>
          </rPr>
          <t xml:space="preserve">87 kamerų priežiūra (58 esamos+8(Poilsio parkas)+7(Sąjūdžio parkas)+12(Gedminų alėja)+2(Minijos-Baltijos sankryža), 
60 kamerų priežiūra (45 naujų kamerų, 7 naujos policijai pagal prašymą, 8 (Klaipėdos piliavietė ir Vasaros estradoje)
4 slaptos kameros
Stebėjimo kamerų tinklo diegimas autobusų ir geležinkelių stotyse bei intermodaliniuose centruose (Darnaus judumo planas)
</t>
        </r>
      </text>
    </comment>
    <comment ref="F121" authorId="0" shapeId="0">
      <text>
        <r>
          <rPr>
            <b/>
            <sz val="9"/>
            <color indexed="81"/>
            <rFont val="Tahoma"/>
            <family val="2"/>
            <charset val="186"/>
          </rPr>
          <t xml:space="preserve">KSP 2.4.2.2. </t>
        </r>
        <r>
          <rPr>
            <sz val="9"/>
            <color indexed="81"/>
            <rFont val="Tahoma"/>
            <family val="2"/>
            <charset val="186"/>
          </rPr>
          <t>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M121" authorId="0" shapeId="0">
      <text>
        <r>
          <rPr>
            <sz val="9"/>
            <color indexed="81"/>
            <rFont val="Tahoma"/>
            <family val="2"/>
            <charset val="186"/>
          </rPr>
          <t xml:space="preserve">2019 m. vyksta projekto ekspertizė, projekto sąmatos korekcija, rangos darbų pirkimas ir archeologiniai tyrinėjimai 
</t>
        </r>
      </text>
    </comment>
    <comment ref="F125" authorId="0" shapeId="0">
      <text>
        <r>
          <rPr>
            <b/>
            <sz val="9"/>
            <color indexed="81"/>
            <rFont val="Tahoma"/>
            <family val="2"/>
            <charset val="186"/>
          </rPr>
          <t>2.4.1.2. KSP</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F129"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r>
          <rPr>
            <b/>
            <sz val="9"/>
            <color indexed="81"/>
            <rFont val="Tahoma"/>
            <family val="2"/>
            <charset val="186"/>
          </rPr>
          <t xml:space="preserve">P6, Klaipėdos miesto ekonominės plėtros strategija ir įgyvendinimo veiksmų planas iki 2030 metų, 3.1.5. </t>
        </r>
        <r>
          <rPr>
            <sz val="9"/>
            <color indexed="81"/>
            <rFont val="Tahoma"/>
            <family val="2"/>
            <charset val="186"/>
          </rPr>
          <t xml:space="preserve">"Intencyvinti linijinį centrą Taikos pr. ašyje" </t>
        </r>
      </text>
    </comment>
    <comment ref="F133" authorId="0" shapeId="0">
      <text>
        <r>
          <rPr>
            <sz val="9"/>
            <color indexed="81"/>
            <rFont val="Tahoma"/>
            <family val="2"/>
            <charset val="186"/>
          </rPr>
          <t xml:space="preserve">2.4.2.5. KSP priemonė: Atnaujinti gyvenamųjų kvartalų centrines aikštes ir kitas viešąsias erdves, 3.1.1.1. priemonė "Išvystyti senąją turgavietę", Klaipėdos miesto ekonominės plėtros strategija ir įgyvendinimo veiksmų planas iki 2030 metų </t>
        </r>
      </text>
    </comment>
    <comment ref="F136"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140"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144"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152" authorId="0" shapeId="0">
      <text>
        <r>
          <rPr>
            <b/>
            <sz val="9"/>
            <color indexed="81"/>
            <rFont val="Tahoma"/>
            <family val="2"/>
            <charset val="186"/>
          </rPr>
          <t>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M169" authorId="0" shapeId="0">
      <text>
        <r>
          <rPr>
            <sz val="9"/>
            <color indexed="81"/>
            <rFont val="Tahoma"/>
            <family val="2"/>
            <charset val="186"/>
          </rPr>
          <t>parengtas techninis projekas 2018 m.</t>
        </r>
      </text>
    </comment>
    <comment ref="M170" authorId="0" shapeId="0">
      <text>
        <r>
          <rPr>
            <sz val="9"/>
            <color indexed="81"/>
            <rFont val="Tahoma"/>
            <family val="2"/>
            <charset val="186"/>
          </rPr>
          <t>parengtas techninis projekas 2018 m.</t>
        </r>
      </text>
    </comment>
    <comment ref="E175"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planuojama panaudoti visa sumą 1.408.500,00 Eur SB
</t>
        </r>
        <r>
          <rPr>
            <b/>
            <sz val="9"/>
            <color indexed="81"/>
            <rFont val="Tahoma"/>
            <family val="2"/>
            <charset val="186"/>
          </rPr>
          <t>Namų valdos:</t>
        </r>
        <r>
          <rPr>
            <sz val="9"/>
            <color indexed="81"/>
            <rFont val="Tahoma"/>
            <family val="2"/>
            <charset val="186"/>
          </rPr>
          <t xml:space="preserve">
1.  UAB „Pempininkų valda“, 2. UAB „Laukininkų valda“, 3. UAB „Žardės būstas“, 4. UAB „Vingio būstas“, 5.  UAB „Jūros būstas“, 6. UAB „Vėtrungės būstas“, 7. UAB „Danės būstas“, 8. UAB „Vitės valdos“, 9. UAB „Paslaugos būstui“, 10. UAB „Debreceno valdos“</t>
        </r>
      </text>
    </comment>
    <comment ref="N179" authorId="1" shapeId="0">
      <text>
        <r>
          <rPr>
            <b/>
            <sz val="9"/>
            <color indexed="81"/>
            <rFont val="Tahoma"/>
            <family val="2"/>
            <charset val="186"/>
          </rPr>
          <t>Saulina Paulauskiene:</t>
        </r>
        <r>
          <rPr>
            <sz val="9"/>
            <color indexed="81"/>
            <rFont val="Tahoma"/>
            <family val="2"/>
            <charset val="186"/>
          </rPr>
          <t xml:space="preserve">
2019 m. planuojama įrengti ir atnaujinti  726 vietas:
- Liubeko g. nuo 7 iki 9 – 108 vietos;
- Vingio g. 1, Šilutės pl. 82-88- 187 vietos;
- Taikos pr. 21, Taikos pr. 55-57- 115 vietų;
- Liepų g. 40-46A – 50 vietų;
- Dzūkų g. 6 – 26 vietos;
- Panevėžio g. 5-19 – 240 vietų.
</t>
        </r>
      </text>
    </comment>
    <comment ref="N204" authorId="0" shapeId="0">
      <text>
        <r>
          <rPr>
            <sz val="9"/>
            <color indexed="81"/>
            <rFont val="Tahoma"/>
            <family val="2"/>
            <charset val="186"/>
          </rPr>
          <t>2019 m. planuojama rekonstruoti lietaus nuotekų tinklus Kauno g. 31, 33, 35, Malūnininkų g. 1 ir Taikos pr. 4A–5 paviršinių nuotekų kolektorius, taip pat planuojama tvarkyti KLASKO teritorijoje esantį kolektorių, kuris priklauso Klaipėdos miesto savivaldybei, sugriuvus kolektoriui ar didelio lietaus metu, galimas teritorijų apsėmimas šalia Janonio g. ir N. Uosto g.</t>
        </r>
      </text>
    </comment>
    <comment ref="N205" authorId="0" shapeId="0">
      <text>
        <r>
          <rPr>
            <b/>
            <sz val="9"/>
            <color indexed="81"/>
            <rFont val="Tahoma"/>
            <family val="2"/>
            <charset val="186"/>
          </rPr>
          <t xml:space="preserve">neįvykdyti darbai 2018 m. </t>
        </r>
      </text>
    </comment>
    <comment ref="E207" authorId="0" shapeId="0">
      <text>
        <r>
          <rPr>
            <b/>
            <sz val="9"/>
            <color indexed="81"/>
            <rFont val="Tahoma"/>
            <family val="2"/>
            <charset val="186"/>
          </rPr>
          <t>2016-09-23 STR3-12,</t>
        </r>
        <r>
          <rPr>
            <sz val="9"/>
            <color indexed="81"/>
            <rFont val="Tahoma"/>
            <family val="2"/>
            <charset val="186"/>
          </rPr>
          <t xml:space="preserve"> 2016 m. parengta teritorijos išvystymo galimybių studija. Projektas apima gatvių nutiesimą, vandentiekį, nuotekas, šilumos tinklus, apšvietimą, elektros tinklus, dujas. </t>
        </r>
      </text>
    </comment>
    <comment ref="E210" authorId="0" shapeId="0">
      <text>
        <r>
          <rPr>
            <sz val="9"/>
            <color indexed="81"/>
            <rFont val="Tahoma"/>
            <family val="2"/>
            <charset val="186"/>
          </rPr>
          <t>2017 m.  ties vieta (Baltijos pr. 109) statybos darbų atlikimo eigoje papildomai buvo nuspręsta remontuoti esamą pėsčiųjų taką, kad būtų sklandesnis sujungimas su esamais prie daugiabučių namų takais.</t>
        </r>
        <r>
          <rPr>
            <b/>
            <sz val="9"/>
            <color indexed="81"/>
            <rFont val="Tahoma"/>
            <family val="2"/>
            <charset val="186"/>
          </rPr>
          <t xml:space="preserve"> Šalia įrengiamo tako esama asfaltuota kelio danga nebuvo tvarkoma, taip pat ir lietaus surinkimo sistema</t>
        </r>
        <r>
          <rPr>
            <sz val="9"/>
            <color indexed="81"/>
            <rFont val="Tahoma"/>
            <family val="2"/>
            <charset val="186"/>
          </rPr>
          <t>. Įrengus papildomą pėsčiųjų tako atkarpą, atsirado problema dėl kelio apsėmimo, nes nebenuteka lietaus vanduo. Gautas AB „Klaipėdos vanduo“ prašymas, kad šioje atkarpoje būtina įrengti lietaus nuotekų tinklus (ilgis ~60 m., reikia įrengti laiptuotas surinkimo groteles (2 vnt.) ir gelžbetoninius šulinėlius.</t>
        </r>
      </text>
    </comment>
    <comment ref="K222" authorId="0" shapeId="0">
      <text>
        <r>
          <rPr>
            <b/>
            <sz val="9"/>
            <color indexed="81"/>
            <rFont val="Tahoma"/>
            <family val="2"/>
            <charset val="186"/>
          </rPr>
          <t>III keitimas 9101,6</t>
        </r>
      </text>
    </comment>
  </commentList>
</comments>
</file>

<file path=xl/sharedStrings.xml><?xml version="1.0" encoding="utf-8"?>
<sst xmlns="http://schemas.openxmlformats.org/spreadsheetml/2006/main" count="1982" uniqueCount="832">
  <si>
    <t>Uždavinio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</si>
  <si>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</si>
  <si>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</si>
  <si>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</si>
  <si>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</si>
  <si>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</si>
  <si>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</si>
  <si>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</si>
  <si>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</si>
  <si>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</si>
  <si>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</si>
  <si>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</si>
  <si>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</si>
  <si>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</si>
  <si>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</si>
  <si>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</si>
  <si>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</si>
  <si>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</si>
  <si>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</si>
  <si>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</si>
  <si>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</si>
  <si>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</si>
  <si>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03</t>
  </si>
  <si>
    <t>6</t>
  </si>
  <si>
    <t>06</t>
  </si>
  <si>
    <t>08</t>
  </si>
  <si>
    <t>Fontanų priežiūra, remontas ir atnaujinimas</t>
  </si>
  <si>
    <t>Miesto viešų teritorijų inventoriaus priežiūra, įrengimas ir įsigijimas</t>
  </si>
  <si>
    <t>Prižiūrima fontanų, vnt.</t>
  </si>
  <si>
    <t>Įsigyta šiukšliadėžių, vnt.</t>
  </si>
  <si>
    <t>04</t>
  </si>
  <si>
    <t>05</t>
  </si>
  <si>
    <t>07</t>
  </si>
  <si>
    <t>Miesto viešųjų tualetų remontas, priežiūra ir nuoma</t>
  </si>
  <si>
    <t>Nugriauta statinių, vnt.</t>
  </si>
  <si>
    <t>Prižiūrima viešųjų tualetų,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</si>
  <si>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</si>
  <si>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</si>
  <si>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</si>
  <si>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</si>
  <si>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Įrengta kapaviečių ženklų, vnt.</t>
  </si>
  <si>
    <t>07 Miesto infrastruktūros objektų priežiūros ir modernizavimo programa</t>
  </si>
  <si>
    <t>5</t>
  </si>
  <si>
    <t>I</t>
  </si>
  <si>
    <t>ES</t>
  </si>
  <si>
    <t>1</t>
  </si>
  <si>
    <t>Suvartota el. energijos, tūkst. MWh</t>
  </si>
  <si>
    <t>Mirusių (žuvusių) žmonių palaikų pervežimas iš įvykio vietų, neatpažintų, vienišų ir mirusių, kuriuos artimieji atsisako laidoti, žmonių palaikų laikinas laikymas (saugojimas), palaidojimas savivaldybės lėšomis</t>
  </si>
  <si>
    <t>Švaros ir tvarkos užtikrinimas bendro naudojimo teritorijose:</t>
  </si>
  <si>
    <t>Miesto paplūdimių priežiūros organizavimas:</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</si>
  <si>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</si>
  <si>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</si>
  <si>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</si>
  <si>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</si>
  <si>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</si>
  <si>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</si>
  <si>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</si>
  <si>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</si>
  <si>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t>P2.4.1.2</t>
  </si>
  <si>
    <t>P2.4.2.8</t>
  </si>
  <si>
    <r>
      <t xml:space="preserve">Vietinių rinkliavų lėšos </t>
    </r>
    <r>
      <rPr>
        <b/>
        <sz val="10"/>
        <rFont val="Times New Roman"/>
        <family val="1"/>
        <charset val="186"/>
      </rPr>
      <t>SB(VR)</t>
    </r>
  </si>
  <si>
    <t>P2</t>
  </si>
  <si>
    <t>Savivaldybei priskirtų teritorijų sanitarinis valymas, parkų, skverų, žaliųjų plotų želdinimas ir aplinkotvarka</t>
  </si>
  <si>
    <t>Nuomojama kilnojamųjų tualetų švenčių metu, vnt.</t>
  </si>
  <si>
    <t>Eksploatuojama šviestuvų, tūkst. vnt.</t>
  </si>
  <si>
    <t>Laidojimo paslaugų teikimas ir kapinių priežiūros organizavimas:</t>
  </si>
  <si>
    <t>Įsigyta suoliukų, vnt.</t>
  </si>
  <si>
    <t>Prižiūrima gertuvių Poilsio parke, vnt.</t>
  </si>
  <si>
    <t xml:space="preserve">Palaidota mirusiųjų, skaičius </t>
  </si>
  <si>
    <t>BĮ „Klaipėdos paplūdimiai“ veiklos organizavimas</t>
  </si>
  <si>
    <t>SB(SPL)</t>
  </si>
  <si>
    <t xml:space="preserve">Savivaldybės biudžetas, iš jo: </t>
  </si>
  <si>
    <r>
      <t xml:space="preserve">Pajamų įmokų už patalpų nuomą likutis </t>
    </r>
    <r>
      <rPr>
        <b/>
        <sz val="10"/>
        <rFont val="Times New Roman"/>
        <family val="1"/>
        <charset val="186"/>
      </rPr>
      <t>SB(SPL)</t>
    </r>
  </si>
  <si>
    <r>
      <t xml:space="preserve">Vietinių rinkliavų lėšų likutis </t>
    </r>
    <r>
      <rPr>
        <b/>
        <sz val="10"/>
        <rFont val="Times New Roman"/>
        <family val="1"/>
        <charset val="186"/>
      </rPr>
      <t>SB(VRL)</t>
    </r>
  </si>
  <si>
    <t>SB(VB)</t>
  </si>
  <si>
    <r>
      <t xml:space="preserve">Valstybės biudžeto specialiosios tikslinės dotacijos lėšos </t>
    </r>
    <r>
      <rPr>
        <b/>
        <sz val="10"/>
        <rFont val="Times New Roman"/>
        <family val="1"/>
        <charset val="186"/>
      </rPr>
      <t>SB(VB)</t>
    </r>
  </si>
  <si>
    <r>
      <t xml:space="preserve">Žemės pardavimų likučio lėšos </t>
    </r>
    <r>
      <rPr>
        <b/>
        <sz val="10"/>
        <rFont val="Times New Roman"/>
        <family val="1"/>
        <charset val="186"/>
      </rPr>
      <t>SB(ŽPL)</t>
    </r>
  </si>
  <si>
    <t>Miesto aikščių, skverų ir kitų bendro naudojimo teritorijų atnaujinimas ir priežiūra:</t>
  </si>
  <si>
    <t>Parengtas techninis projektas, vnt.</t>
  </si>
  <si>
    <t>P2.4.2.2</t>
  </si>
  <si>
    <t>P2.4.2.3</t>
  </si>
  <si>
    <t xml:space="preserve">Daugiabučių gyvenamųjų namų kvartalų priežiūros vykdymas: </t>
  </si>
  <si>
    <t>Gatvių ir viešųjų erdvių apšvietimo organizavimo funkcijos įgyvendinimas</t>
  </si>
  <si>
    <t>Atstatyta vandens kolonėlių Joniškės ir Lėbartų kapinėse, vnt.</t>
  </si>
  <si>
    <t>I, P2.4.2.4</t>
  </si>
  <si>
    <t xml:space="preserve">Įsigyta gėlinių, vnt. </t>
  </si>
  <si>
    <t xml:space="preserve">Prižiūrima kapinių  (įskaitant senąsias kapinaites), vnt. </t>
  </si>
  <si>
    <r>
      <t>Gėlynų atnaujinimas ir įrengimas</t>
    </r>
    <r>
      <rPr>
        <i/>
        <sz val="10"/>
        <rFont val="Times New Roman"/>
        <family val="1"/>
        <charset val="186"/>
      </rPr>
      <t xml:space="preserve"> </t>
    </r>
  </si>
  <si>
    <t>P2.3.2.5</t>
  </si>
  <si>
    <t>Vingio mikrorajono aikštės atnaujinimas</t>
  </si>
  <si>
    <t>500</t>
  </si>
  <si>
    <t>Mėlynosios vėliavos programos koordinavimo paslaugų įsigijimas</t>
  </si>
  <si>
    <t>Beglobių gyvūnų gerovės ir apsaugos priemonių įgyvendinimas (gyvūnų gaudymas, surinkimas, sterilizacija, karantinavimas, eutanazija ir kt.)</t>
  </si>
  <si>
    <t>Prižiūrima konteinerinių tualetų, vnt.</t>
  </si>
  <si>
    <t>Nuolatinių darbuotojų skaičius</t>
  </si>
  <si>
    <t>Sezoninių darbuotojų skaičius</t>
  </si>
  <si>
    <t>Eksploatuojama kamerų, vnt.</t>
  </si>
  <si>
    <t xml:space="preserve">Mirusiųjų palaikų laikinas laikymas (saugojimas), skaičius </t>
  </si>
  <si>
    <t xml:space="preserve">47,4 ha Medelyno gyvenamojo rajono infrastruktūros išvystymas. I etapas
</t>
  </si>
  <si>
    <t>Skvero Bokštų gatvėje sutvarkymas</t>
  </si>
  <si>
    <t>90</t>
  </si>
  <si>
    <t>Aikštės prie Santuokų rūmų atnaujinimas</t>
  </si>
  <si>
    <r>
      <t xml:space="preserve">Klaipėdos valstybinio jūrų uosto direkcijos lėšos </t>
    </r>
    <r>
      <rPr>
        <b/>
        <sz val="10"/>
        <rFont val="Times New Roman"/>
        <family val="1"/>
        <charset val="186"/>
      </rPr>
      <t>KVJUD</t>
    </r>
  </si>
  <si>
    <t>Skvero tarp Puodžių g. ir Bokštų g., skirto Vydūno paminklui įrengti, sutvarkymas</t>
  </si>
  <si>
    <t>Užtikrinti švarą ir tvarką daugiabučių gyvenamųjų namų kvartaluose, skatinti gyventojus renovuoti, prižiūrėti ir saugoti savo turtą</t>
  </si>
  <si>
    <t>Pastatyta skulptūra, vnt.</t>
  </si>
  <si>
    <t>I, P3.2.1.7</t>
  </si>
  <si>
    <t>Prižiūrima stacionarių tualetų, vnt.</t>
  </si>
  <si>
    <t>Želdinių tvarkymas;</t>
  </si>
  <si>
    <t xml:space="preserve">Daugiabučių namų savininkų bendrijų (DNSB) pirmininkų mokymų organizavimas </t>
  </si>
  <si>
    <t xml:space="preserve">Paimta, sugauta gyvūnų, vnt. </t>
  </si>
  <si>
    <t>Atlikta beglobių kačių sterilizacijų, vnt.</t>
  </si>
  <si>
    <t>Klaipėdos miesto integruotos teritorijos vystymo programos projektų įgyvendinimas:</t>
  </si>
  <si>
    <t>Prižiūrima informacinės sistemos objektų (nuorodų, stendų), vnt.</t>
  </si>
  <si>
    <t>Remontuota suoliukų, vnt.</t>
  </si>
  <si>
    <t>Remontuota šiukšliadėžių, vnt.</t>
  </si>
  <si>
    <t>Akmenos-Danės upės vidaus vandens kelią administruojančių darbuotojų skaičius</t>
  </si>
  <si>
    <t>Įgyvendintas projektas, vnt.</t>
  </si>
  <si>
    <t>Atlikta skvero rekonstravimo darbų. Užbaigtumas, proc.</t>
  </si>
  <si>
    <t>Organizuota mokymų, vnt.</t>
  </si>
  <si>
    <t>Įrengta apšvietimo infrastruktūros kiemuose, tūkst. m.</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</si>
  <si>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</si>
  <si>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</si>
  <si>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Viešosios erdvės prie buvusio „Vaidilos“ kino teatro konversija </t>
  </si>
  <si>
    <t xml:space="preserve">Atgimimo aikštės sutvarkymas, didinant patrauklumą investicijoms, skatinant lankytojų srautus </t>
  </si>
  <si>
    <t>Kompleksinis tikslinės teritorijos daugiabučių namų kiemų tvarkymas</t>
  </si>
  <si>
    <t>Saugios kaimynystės bendruomenėje projektų įgyvendinimas:</t>
  </si>
  <si>
    <t>Sutvarkyta švietimo įstaigų želdinių, vnt.</t>
  </si>
  <si>
    <t>Viešųjų erdvių (šviesoforų, fontanų, tualetų ir kt.) apšvietimo tinklų ir įrangos eksploatacija</t>
  </si>
  <si>
    <t>10</t>
  </si>
  <si>
    <t xml:space="preserve">Eksploatuojama informacinė miesto sistema: </t>
  </si>
  <si>
    <t>Įrengta gatvių pavadinimų lentelių ir gatvių krypties nuorodų, vnt.</t>
  </si>
  <si>
    <t>Įsigyta inventoriaus:</t>
  </si>
  <si>
    <t>Atlikta inventoriaus remonto darbų:</t>
  </si>
  <si>
    <t>Suteikta asistento paslauga neįgaliesiems, vnt.</t>
  </si>
  <si>
    <t xml:space="preserve">Prevencinio projekto „Būk pilietiškas, būk saugus“ įgyvendinimas kartu su Klaipėdos apskrities vyriausiuoju policijos komisariatu </t>
  </si>
  <si>
    <t>Atlikta kapinių skaitmeninimo (inventorizavimas Joniškės, Lėbartų kapinės) sistemos priežiūros darbų. Užbaigtumas, proc.</t>
  </si>
  <si>
    <t>Įrengta vaikų žaidimų aikštelių viešose erdvėse, vnt.</t>
  </si>
  <si>
    <t>Prižiūrima vaikų žaidimų aikštelių viešose erdvėse, vnt.</t>
  </si>
  <si>
    <t>Pašalinta netinkamų naudoti įrenginių, vnt.</t>
  </si>
  <si>
    <t>LRVB</t>
  </si>
  <si>
    <t xml:space="preserve">Kapinių priežiūra (valymas, apsauga, administravimas, elektros energijos pirkimas, vandens įrenginių priežiūra, kvartalinių žymeklių įrengimas, kapinių inventorizavimas, kapaviečių ženklų  įrengimas, dėžių smėliui laikyti atnaujinimas) </t>
  </si>
  <si>
    <t xml:space="preserve">Danės upės krantinių rekonstrukcija ir prieigų (Danės skveras su fontanais) sutvarkymas  </t>
  </si>
  <si>
    <t>Rekonstruota, nutiesta lietaus nuotekų tinklų, m</t>
  </si>
  <si>
    <t>Klaipėdos miesto paviršinių nuotekų tinklų įrengimas, remontas ir rekonstrukcija</t>
  </si>
  <si>
    <t>Teritorijos Pempininkų tako gale (ties Debreceno g.18) sutvarkymas</t>
  </si>
  <si>
    <t>Savivaldybei priskirtų valyti ir prižiūrėti teritorijų plotas, kv. km</t>
  </si>
  <si>
    <t>Suorganizuota aplinkosauginių renginių paplūdimiuose, vnt.</t>
  </si>
  <si>
    <t>Daugiabučio Vingio g. 35 modernizavimo techninio darbo projekto parengimas</t>
  </si>
  <si>
    <t>Viešųjų tualetų paslaugų teikimas Melnragės paplūdimyje ir Klaipėdos poilsio parke</t>
  </si>
  <si>
    <t>Įrengta ir atnaujinta automobilių stovėjimo vietų, vnt.</t>
  </si>
  <si>
    <t>Viešųjų erdvių, kurių būklė iš esmės pagerinta, skaičius</t>
  </si>
  <si>
    <t>Miesto paplūdimių, turinčių Mėlynosios vėliavos statusą, skaičius</t>
  </si>
  <si>
    <t>Apleistų ir nenaudojamų pastatų skaičius mieste, vnt.</t>
  </si>
  <si>
    <t>Vertinimo kriterijaus</t>
  </si>
  <si>
    <t>Informacija apie pasiektus rezultatus, duomenys apie programai skirtų asignavimų panaudojimo tikslingumą</t>
  </si>
  <si>
    <t>Priežastys, dėl kurių planuotos rodiklių reikšmės nepasiektos</t>
  </si>
  <si>
    <t>pavadinimas</t>
  </si>
  <si>
    <t>faktinės reikšmės</t>
  </si>
  <si>
    <t xml:space="preserve">STRATEGINIO VEIKLOS PLANO VYKDYMO ATASKAITA </t>
  </si>
  <si>
    <t>MIESTO INFRASTRUKTŪROS OBJEKTŲ PRIEŽIŪROS IR MODERNIZAVIMO PROGRAMA (NR. 07)</t>
  </si>
  <si>
    <t xml:space="preserve">INFRASTRUKTŪROS OBJEKTŲ PRIEŽIŪROS IR MODERNIZAVIMO </t>
  </si>
  <si>
    <t>PROGRAMOS (NR. 07) ĮVYKDYMO ATASKAITA</t>
  </si>
  <si>
    <r>
      <t xml:space="preserve">Asignavimų valdytojai: </t>
    </r>
    <r>
      <rPr>
        <sz val="12"/>
        <rFont val="Times New Roman"/>
        <family val="1"/>
        <charset val="186"/>
      </rPr>
      <t>Investicijų ir ekonomikos departamentas (5), Miesto ūkio departamentas (6), Savivaldybės administracija (1).</t>
    </r>
  </si>
  <si>
    <r>
      <rPr>
        <b/>
        <sz val="12"/>
        <rFont val="Times New Roman"/>
        <family val="1"/>
        <charset val="186"/>
      </rPr>
      <t xml:space="preserve">Programą vykdė: </t>
    </r>
    <r>
      <rPr>
        <sz val="12"/>
        <rFont val="Times New Roman"/>
        <family val="1"/>
        <charset val="186"/>
      </rPr>
      <t>Miesto ūkio departamentas (Miesto tvarkymo skyrius, BĮ „Klaipėdos paplūdimiai“, Transporto skyrius, Socialinės infrastruktūros priežiūros skyrius), Investicijų ir ekonomikos departamentas (Statybos ir infrastruktūros plėtros skyrius, Projektų skyrius), Viešosios tvarkos skyrius.</t>
    </r>
  </si>
  <si>
    <t>faktiškai įvykdyta</t>
  </si>
  <si>
    <t>–</t>
  </si>
  <si>
    <t>(pagal planą arba geriau);</t>
  </si>
  <si>
    <t>iš dalies įvykdyta</t>
  </si>
  <si>
    <r>
      <rPr>
        <b/>
        <sz val="11"/>
        <rFont val="Times New Roman"/>
        <family val="1"/>
        <charset val="186"/>
      </rPr>
      <t>Pastaba</t>
    </r>
    <r>
      <rPr>
        <sz val="11"/>
        <rFont val="Times New Roman"/>
        <family val="1"/>
        <charset val="186"/>
      </rPr>
      <t>.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</si>
  <si>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</si>
  <si>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</si>
  <si>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</si>
  <si>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SB(ES)</t>
  </si>
  <si>
    <t>Viešosios tvarkos skyrius (Klaipėdos apskrities priešgaisrinė gelbėjimo tarnyba)</t>
  </si>
  <si>
    <t xml:space="preserve">Miesto ūkio departamentas </t>
  </si>
  <si>
    <t>(blogiau, nei planuota).</t>
  </si>
  <si>
    <t>neįvykdyta</t>
  </si>
  <si>
    <t>(nepasiekta planuota reikšmė).</t>
  </si>
  <si>
    <t xml:space="preserve">2019 M. KLAIPĖDOS MIESTO SAVIVALDYBĖS </t>
  </si>
  <si>
    <t>2019 m. SVP programos Nr. 07 įvykdymas</t>
  </si>
  <si>
    <t>P6</t>
  </si>
  <si>
    <t>Tvarkoma gėlynų ploto, tūkst. m²</t>
  </si>
  <si>
    <t xml:space="preserve">Prižiūrima tūrinių ir kitų gėlinių, vnt. </t>
  </si>
  <si>
    <t>Parengtas naujų gertuvių įrengimo projektas, vnt.</t>
  </si>
  <si>
    <t>30</t>
  </si>
  <si>
    <t>45</t>
  </si>
  <si>
    <t>Įsigyta šachmatų figūrų, vnt.</t>
  </si>
  <si>
    <t>Įsigyta želdinių apsauginių tvorelių, m</t>
  </si>
  <si>
    <t>100</t>
  </si>
  <si>
    <t>Įsigyta šunų ekskrementų šiukšliadėžių, vnt.</t>
  </si>
  <si>
    <t>20</t>
  </si>
  <si>
    <t>Įsigyta ir įrengta apsauginė tvorelė, vnt.</t>
  </si>
  <si>
    <t>Papuošta kalėdinė eglė Atgimimo aikštėje, kartai</t>
  </si>
  <si>
    <t>Įrengta vaikų žaidimų aikštelių (Pempininkų ir Debreceno aikščių prieigose), vnt.</t>
  </si>
  <si>
    <t>I. Kanto ir S. Daukanto gatvių sankryžoje esančio skvero sutvarkymas</t>
  </si>
  <si>
    <t>Parengtas inžinerinių tinklų, reikalingų Kruizinių laivų terminale tualetui eksploatuoti, techninis projektas, vnt.</t>
  </si>
  <si>
    <t>660</t>
  </si>
  <si>
    <t>Šlaitų stabilizavimo darbų Šiaurės prospekte atlikimas</t>
  </si>
  <si>
    <t>Atlikti šlaitų stabilizavimo darbai Šiaurės pr. Užbaigtumas, proc.</t>
  </si>
  <si>
    <t>Klaipėdos miesto paplūdimių sutvarkymo priemonių plano įgyvendinimas</t>
  </si>
  <si>
    <t>Parengta atraminių apsauginių įėjimo į paplūdimius sienučių techninių projektų, vnt.</t>
  </si>
  <si>
    <t>Įrengta buitinių nuotekų valymo sistema. Užbaigtumas proc.</t>
  </si>
  <si>
    <t>Pakabinta ir eksploatuojama papuošimo elementų, vnt.</t>
  </si>
  <si>
    <t>Pakabinta ir eksploatuojama šviesos elementų (LED girliandų) fasadams ir medžiams puošti, tūkst. m</t>
  </si>
  <si>
    <t>Viešųjų erdvių, gatvių ir kiemų apšvietimo įrengimas:</t>
  </si>
  <si>
    <t>Parengta techninių projektų, vnt.</t>
  </si>
  <si>
    <t>Aukštosios g. ruože nuo Daržų g. iki Turgaus a.;</t>
  </si>
  <si>
    <t>Atlikta įrengimo darbų. Užbaigtumas, proc.</t>
  </si>
  <si>
    <t>Oro linijų keitimas į kabelines Pievų Tako g.;</t>
  </si>
  <si>
    <t>Atnaujintas vaizdo stebėjimo punktas, vnt.</t>
  </si>
  <si>
    <r>
      <t xml:space="preserve">P2.4.2.2, </t>
    </r>
    <r>
      <rPr>
        <b/>
        <sz val="8"/>
        <rFont val="Times New Roman"/>
        <family val="1"/>
        <charset val="186"/>
      </rPr>
      <t>P6</t>
    </r>
  </si>
  <si>
    <t xml:space="preserve">Turgaus aikštės su prieigomis sutvarkymas, pritaikant verslo,  bendruomenės poreikiams </t>
  </si>
  <si>
    <r>
      <t xml:space="preserve">P2.4.2.5, </t>
    </r>
    <r>
      <rPr>
        <b/>
        <sz val="8"/>
        <rFont val="Times New Roman"/>
        <family val="1"/>
        <charset val="186"/>
      </rPr>
      <t>P6</t>
    </r>
  </si>
  <si>
    <t xml:space="preserve">Atlikta daugiabučių namų kiemų sutvarkymo darbų. Užbaigtumas, proc. </t>
  </si>
  <si>
    <t xml:space="preserve">Danės upės slėnio teritorijos  pritaikymas visuomenės ir rekreaciniams poreikiams </t>
  </si>
  <si>
    <t xml:space="preserve">Laivų nuleidimo prieplaukos ir saugojimo aikštelės sklype šalia Liepų g. tilto įrengimas </t>
  </si>
  <si>
    <t>P2.4.1.2.</t>
  </si>
  <si>
    <t>Suženklinta automobilių stovėjimo aikštelių (prie kapinių), vnt.</t>
  </si>
  <si>
    <t>Suremontuota takų Joniškės ir Lėbartų kapinėse, tūkst. kv. m</t>
  </si>
  <si>
    <t>Įrengta lietaus nuotekų sistema Joniškės kapinėse. Užbaigtumas, proc.</t>
  </si>
  <si>
    <t>Suremontuotas viešasis tualetas Lėbartų kapinėse. Užbaigtumas, proc.</t>
  </si>
  <si>
    <t>Daugiabučių namų kiemų infrastruktūros gerinimo priemonių plano įgyvendinimas</t>
  </si>
  <si>
    <t>Valdų, kuriose tvarkomi želdiniai, skaičius</t>
  </si>
  <si>
    <t>Automobilių stovėjimo aikštelių projektavimas, įrengimas ir atnaujinimas</t>
  </si>
  <si>
    <t>Apšvietimo projektavimas ir įrengimas</t>
  </si>
  <si>
    <t>Techninio darbo projekto koregavimas, vnt.</t>
  </si>
  <si>
    <t>Parengta projektų, vnt.</t>
  </si>
  <si>
    <t>Atnaujinta (pagerinta) sporto aikštelių daugiabučių namų kiemuose ar viešosiose miesto erdvėse, vnt.</t>
  </si>
  <si>
    <t xml:space="preserve">Prevencinio projekto„Saugus eismas – saugus Tu“ įgyvendinimas kartu su Klaipėdos apskrities vyriausiuoju policijos komisariatu </t>
  </si>
  <si>
    <t>Projekto „Tu esi svarbus“ įgyvendinimas kartu su Klaipėdos apskrities vyriausiuoju policijos komisariatu</t>
  </si>
  <si>
    <t xml:space="preserve">Prevencinio projekto „Saugi Klaipėda“ įgyvendinimas kartu su Klaipėdos apskrities vyriausiuoju policijos komisariatu </t>
  </si>
  <si>
    <t xml:space="preserve">Prevencinio projekto „Mažinkime triukšmą mieste“ įgyvendinimas kartu su Klaipėdos apskrities vyriausiuoju policijos komisariatu </t>
  </si>
  <si>
    <t>Nutiesta lietaus nuotekų tinklų, m</t>
  </si>
  <si>
    <t>60</t>
  </si>
  <si>
    <r>
      <t xml:space="preserve">Paskolos lėšos </t>
    </r>
    <r>
      <rPr>
        <b/>
        <sz val="10"/>
        <rFont val="Times New Roman"/>
        <family val="1"/>
        <charset val="186"/>
      </rPr>
      <t>SB(P)</t>
    </r>
  </si>
  <si>
    <r>
      <t xml:space="preserve">Kelių priežiūros ir plėtros programos lėšos </t>
    </r>
    <r>
      <rPr>
        <b/>
        <sz val="10"/>
        <rFont val="Times New Roman"/>
        <family val="1"/>
        <charset val="186"/>
      </rPr>
      <t>SB(KPP)</t>
    </r>
  </si>
  <si>
    <t>Atlikta fontano „Laivelis“ skvere prie „Meridiano“ atnaujinimo darbų.  Užbaigtumas, proc.</t>
  </si>
  <si>
    <t>Įsigyta kalėdinių papuošimų ir eglė:</t>
  </si>
  <si>
    <t>Atlikta vandens maudyklų tyrimų, sk.</t>
  </si>
  <si>
    <t>Sudarytas Danės upės vietinės reikšmės vidaus vandenų keliui locmano žemėlapis vnt.</t>
  </si>
  <si>
    <t>Autonominių belaidžio (Wi-Fi) ryšio stotelių priežiūra, vnt.</t>
  </si>
  <si>
    <t>Praėjime take nuo dviračių tako iki Debreceno g. 52 namo;</t>
  </si>
  <si>
    <t>Retransliuojamo vaizdo stebėjimo kamerų viešose vietose eksploatacija</t>
  </si>
  <si>
    <t>Interneto prieigų viešosiose vietose belaidžio ryšio (Wi-Fi) paslaugos teikimas</t>
  </si>
  <si>
    <t xml:space="preserve">Suteikta  belaidžio ryšio (Wi-Fi) paslauga Kruizinių laivų terminale ir Teatro aikštėje, vnt. </t>
  </si>
  <si>
    <t xml:space="preserve">Pėsčiųjų tako sutvarkymas palei Taikos pr. nuo Sausio 15-osios iki Kauno g., paverčiant viešąja erdve, pritaikyta gyventojams bei smulkiajam ir vidutiniam verslui  </t>
  </si>
  <si>
    <t>Interaktyvios tikslinės teritorijos ir susietų teritorijų ribų žemėlapio aplikacijos sukūrimas</t>
  </si>
  <si>
    <t xml:space="preserve">Parengta žemėlapio aplikacija,  skirta 2014–2020 m. integruotų investicijų programos projektų viešinimui, vnt. </t>
  </si>
  <si>
    <t xml:space="preserve">Išvežta mirusiųjų iš įvykio vietos,  skaičius </t>
  </si>
  <si>
    <t xml:space="preserve">Vaikų žaidimo aikštelių įrengimo ir atnaujinimo programos įgyvendinimas </t>
  </si>
  <si>
    <t xml:space="preserve">Privažiuojamojo kelio ties Baltijos pr. 109 lietaus nuotekų tinklų statyba
</t>
  </si>
  <si>
    <r>
      <t xml:space="preserve">Europos Sąjungos paramos lėšos, kurios įtrauktos į Savivaldybės biudžetą </t>
    </r>
    <r>
      <rPr>
        <b/>
        <sz val="10"/>
        <rFont val="Times New Roman"/>
        <family val="1"/>
        <charset val="186"/>
      </rPr>
      <t>SB(ES)</t>
    </r>
  </si>
  <si>
    <t>2019 m. asignavimų patvirtintas planas*</t>
  </si>
  <si>
    <t>2019 m. panaudotos lėšos (kasinės išlaidos)</t>
  </si>
  <si>
    <t xml:space="preserve">Prevencinio projekto „Stebima Klaipėda saugesnė“ įgyvendinimas kartu su Klaipėdos apskrities vyriausiuoju policijos komisariatu </t>
  </si>
  <si>
    <t>Įrengtas konteinerinis tualetas Smiltynės g. 33 (Naujoji perkėla), vnt.</t>
  </si>
  <si>
    <t>Įsigyta ir prižiūrėta paplūdimių inventoriaus (mobilių gelbėjimo stočių, gelbėjimosi lentų,  paplūdimių stendų, naro kostiumų, keturratis motociklas, radijo bangomis valdomų gelbėjimo plaustų), vnt.</t>
  </si>
  <si>
    <t>Parengtas projektas, vnt.</t>
  </si>
  <si>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</si>
  <si>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</si>
  <si>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</si>
  <si>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</si>
  <si>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</si>
  <si>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</si>
  <si>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</si>
  <si>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</si>
  <si>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</si>
  <si>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</si>
  <si>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</si>
  <si>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</si>
  <si>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Aprašymas</t>
  </si>
  <si>
    <t>Pastaba</t>
  </si>
  <si>
    <t>Planas</t>
  </si>
  <si>
    <t>Faktas</t>
  </si>
  <si>
    <t>Miesto infrastruktūros objektų priežiūros ir modernizavimo programa</t>
  </si>
  <si>
    <t>Liudvikas Dūda, Ričardas Zulcas</t>
  </si>
  <si>
    <t>07.01.</t>
  </si>
  <si>
    <t xml:space="preserve">Teikti miesto gyventojams kokybiškas komunalines ir viešųjų erdvių priežiūros paslaugas   </t>
  </si>
  <si>
    <t>Gintarė Kareivienė, Saulina Paulauskienė</t>
  </si>
  <si>
    <t>vnt.</t>
  </si>
  <si>
    <t>3,00</t>
  </si>
  <si>
    <t>0,00</t>
  </si>
  <si>
    <t>2,00</t>
  </si>
  <si>
    <t>Apleistų ir nenaudojamų pastatų skaičius mieste</t>
  </si>
  <si>
    <t>90,00</t>
  </si>
  <si>
    <t>Suvartota elektros energijos miesto gatvių apšvietimui vidutiniškai per metus</t>
  </si>
  <si>
    <t>kWh/1 šviestuvui</t>
  </si>
  <si>
    <t>540,00</t>
  </si>
  <si>
    <t>07.01.01.</t>
  </si>
  <si>
    <t xml:space="preserve">Siekti, kad miesto viešosios erdvės būtų tvarkingos, jaukios ir saugios  </t>
  </si>
  <si>
    <t>07.01.01.01.</t>
  </si>
  <si>
    <t>Miesto aikščių, skverų ir kitų bendro naudojimo teritorijų atnaujinimas ir priežiūra</t>
  </si>
  <si>
    <t>Irena Šakalienė</t>
  </si>
  <si>
    <t>07.01.01.01.01.</t>
  </si>
  <si>
    <t>Gėlynų atnaujinimas ir įrengimas</t>
  </si>
  <si>
    <t>Edita Valiūnienė</t>
  </si>
  <si>
    <t>Tvarkoma gėlynų ploto, tūkst.</t>
  </si>
  <si>
    <t>kv.m</t>
  </si>
  <si>
    <t>3,90</t>
  </si>
  <si>
    <t>I ketv.- atliktas pavasarinis gėlynų sanitarinis valymas, atidengimas. Apsodinta 5 vnt boružių, laivelis, Karlskronos aikštės gėlynas našlaitėmis.
II ketv. -  visi gėlynai, vazos apsodintos vasarinėmis gėlėmis.
III ketv. - atliktas gėlių atsodinimas. Rudeninis gėlių sodinimas vyks spalio mėn. 
IV ketv. priemonė įvykdyta pilnai.</t>
  </si>
  <si>
    <t>Prižiūrima tūrinių ir kitų gėlinių</t>
  </si>
  <si>
    <t>skaičius</t>
  </si>
  <si>
    <t>341,00</t>
  </si>
  <si>
    <t>I ketv. - apsodinta našlaitėmis 64 vnt pastatomų gėlinių. 
II ketv. - vasariniu apsodinimu gėlėmis apsodinta 84 vnt vazų, 5 boružės, 26 erdvinės tūrinės gėlinės ir 144 pakabinami vazonai.
III ketv. atliktas gėlių atsodinimas.
IV. priemonė įvykdyta pilnai.</t>
  </si>
  <si>
    <t>07.01.01.01.02.</t>
  </si>
  <si>
    <t>Aušra Pakalniškė, Gintarė Kareivienė</t>
  </si>
  <si>
    <t>Prižiūrima gertuvių Poilsio parke</t>
  </si>
  <si>
    <t>Geriamojo vandens fontanėlių - gertuvių eksploatavimo sezonas pradėtas nuo gegužės mėnesio pradžios ir baigiamas rugsėjo mėnesio pabaigoje.</t>
  </si>
  <si>
    <t>Prižiūrima fontanų</t>
  </si>
  <si>
    <t>4,00</t>
  </si>
  <si>
    <t>Fontanų eksploatavimo sezonas pradėtas nuo gegužės mėnesio pradžios ir baigiamas rugsėjo mėnesio pabaigoje. 
Prižiūrimi 4 miesto fontanai.</t>
  </si>
  <si>
    <t>Parengtas naujų gertuvių įrengimo projektas</t>
  </si>
  <si>
    <t>1,00</t>
  </si>
  <si>
    <t>Projektas bus parengtas 2020 m. pradžioje, likutis keliamas į 2020 m.  Užsitęsė projekto derinimo procedūros dėl Senamiesčio problemų ir numatytų papildomų užduočių projektuotojams.</t>
  </si>
  <si>
    <t>Atlikta fontano „Laivelis“ skvere prie „Meridiano“ atnaujinimo darbų.  Užbaigtumas</t>
  </si>
  <si>
    <t>proc.</t>
  </si>
  <si>
    <t>100,00</t>
  </si>
  <si>
    <t>Baigti fontano "Laivelis", esančio aikštėje prie burlaivio "Meridianas", remonto darbai su projekto parengimu.
Priemonė įvykdyta pagal planą.</t>
  </si>
  <si>
    <t>07.01.01.01.03.</t>
  </si>
  <si>
    <t>Daiva Butkuvienė, Gintarė Kareivienė</t>
  </si>
  <si>
    <t>Papuošta kalėdinė eglė Atgimimo aikštėje</t>
  </si>
  <si>
    <t>kartai</t>
  </si>
  <si>
    <t>Liko nepanaudotos lėšos, kadangi atsisakyta pirkti kalėdinę eglę Atgimimo aikštėje, po atlikto pirkimo gauta kaina buvo per didelė.</t>
  </si>
  <si>
    <t>Įsigyta želdinių apsauginių tvorelių</t>
  </si>
  <si>
    <t>m</t>
  </si>
  <si>
    <t>Kadangi poreikio nebuvo, tvorelės nebuvo perkamos.</t>
  </si>
  <si>
    <t>Įrengta gatvių pavadinimų lentelių ir gatvių krypties nuorodų</t>
  </si>
  <si>
    <t>87,00</t>
  </si>
  <si>
    <t>5,00</t>
  </si>
  <si>
    <t>Darbai vykdomi pagal poreikį. Lėšos įsisavintos pilnai.</t>
  </si>
  <si>
    <t>Įsigyta šiukšliadėžių</t>
  </si>
  <si>
    <t>30,00</t>
  </si>
  <si>
    <t>64,00</t>
  </si>
  <si>
    <t>Priemonė įvykdyta pilnai.</t>
  </si>
  <si>
    <t>Remontuota suoliukų</t>
  </si>
  <si>
    <t>162,00</t>
  </si>
  <si>
    <t>I ketv. - 46 vnt. suoliukų remontuoti: 
Sąjūdžio parke (44); 
Naujakiemio g., take (1); 
Kretingos g. Panevėžio st. (1 ).
II ketv. - Pempininkuose atnaujinti perdažyti 19 suolų;
5 remontuoti (2 vnt.-Kančių skverelis, 1 vnt.- prie Meridiano, 1 vnt.-Vėtrungės stotelė, 1 vnt.-Kretingos g.,)
III ketv. - Debreceno aikštėle remontuoti/perdažyti 85 vnt. suolai; 1 vnt. - Karslkronos aikštė; 3 vnt. Pamario g.(Girulių pl.).
IV ketv. buvo remontuojami suoliukai prie Onkologinės ligoninės.</t>
  </si>
  <si>
    <t>Įrengta vaikų žaidimų aikštelių (Pempininkų ir Debreceno aikščių prieigose)</t>
  </si>
  <si>
    <t>Aikštelės įrengtos.</t>
  </si>
  <si>
    <t>Įsigyta suoliukų</t>
  </si>
  <si>
    <t>45,00</t>
  </si>
  <si>
    <t>48,00</t>
  </si>
  <si>
    <t>Remontuota šiukšliadėžių</t>
  </si>
  <si>
    <t>11,00</t>
  </si>
  <si>
    <t>Sulūžusios šiukšliadėžės demontuojamos ir  keičiamos naujomis.
Remontuota ir perstatyta metalinė šiukšliadėžė Daržų g.</t>
  </si>
  <si>
    <t>Prižiūrima informacinės sistemos objektų (nuorodų, stendų)</t>
  </si>
  <si>
    <t>63,00</t>
  </si>
  <si>
    <t>16,00</t>
  </si>
  <si>
    <t>I ketv. : pagaminti ir sumontuoti  2 ženklai (Karklų g., Kalnupės g.) ir renovuotas 1 miesto riboženklis su miesto žemėlapiu Priestočio g. 1 (Klaipėdos geležinkelio stoties pastatas).
II ketvirtis: pagaminta ir sumontuota 10 informacinių ženklų (Naujakiemio g., Skulptūrų parke, Liepų g., Pušyno g.). 
III ketv. renovuoti 2 informaciniai ženklai su miesto žemėlapiu Kalotėje ir Smiltynėje. Demontuotas 1 vnt. Klevų g.
IV ketv. naujų ženklų pagaminta ar remontuota nebuvo.</t>
  </si>
  <si>
    <t>Įsigyta gėlinių</t>
  </si>
  <si>
    <t>10,00</t>
  </si>
  <si>
    <t>18,00</t>
  </si>
  <si>
    <t>Priemonė įvykdyta. Įsigyta 6 vnt. betoninių gėlinių, 12 metalinių gėlinių.</t>
  </si>
  <si>
    <t>Įsigyta šunų ekskrementų šiukšliadėžių</t>
  </si>
  <si>
    <t>20,00</t>
  </si>
  <si>
    <t>Pasirašyta sutartis 2019-04-11 Nr. J9-1350. Įsigyta 30 vnt</t>
  </si>
  <si>
    <t>07.01.01.01.04.</t>
  </si>
  <si>
    <t>Nijolė Vedeikienė</t>
  </si>
  <si>
    <t>Atlikta rekonstravimo darbų. Užbaigtumas</t>
  </si>
  <si>
    <t>Darbai pabaigti.</t>
  </si>
  <si>
    <t>Pastatyta skulptūra</t>
  </si>
  <si>
    <t>Atlikta.</t>
  </si>
  <si>
    <t>07.01.01.01.05.</t>
  </si>
  <si>
    <t>Parengtas techninis projektas</t>
  </si>
  <si>
    <t>Projektas parengtas.</t>
  </si>
  <si>
    <t>07.01.01.01.06.</t>
  </si>
  <si>
    <t>Karolis Šakarnis</t>
  </si>
  <si>
    <t>Atlikta  sutvarkymo darbų. Užbaigtumas</t>
  </si>
  <si>
    <t>Projektas parengtas ir gautas statybos leidimas.</t>
  </si>
  <si>
    <t>07.01.01.01.08.</t>
  </si>
  <si>
    <t>Milda Enciutė</t>
  </si>
  <si>
    <t>Parengtas projektas</t>
  </si>
  <si>
    <t>Projektas derinamas Infostatyboje. Derinimas užtruko-projektuotojas laiku nevykdė įsipareigojimų.</t>
  </si>
  <si>
    <t>Atlikta atnaujinimo darbų. Užbaigtumas</t>
  </si>
  <si>
    <t>07.01.01.01.09.</t>
  </si>
  <si>
    <t>Projektas pateiktas ekspertizei. Ilgai vyko derinimai su p/c "Maxima"</t>
  </si>
  <si>
    <t>07.01.01.01.11.</t>
  </si>
  <si>
    <t>40,00</t>
  </si>
  <si>
    <t>I ketv.-vyko dangų ardymas ir ESO kabelių apsaugojimo darbai.
II ketv.-paruošti pagrindai naujoms dangoms ir pakloti kabeliai naujam apšvietimui skvere. 
Sutartis stabdoma dėl  projekto keitimo (parengiamas papildomas susitarimas).
III ketv. -darbai bus atnaujinti spalio pabaigoje, nes dėl šrifto keitimo užtruko akmens dangos gamyba. 
IV ketvirtyje medžiagos buvo gautos gruodžio pradžioje, todėl darbai nusikėlė į 2020 m.</t>
  </si>
  <si>
    <t>07.01.01.02.</t>
  </si>
  <si>
    <t>Švaros ir tvarkos užtikrinimas bendro naudojimo teritorijose</t>
  </si>
  <si>
    <t>07.01.01.02.01.</t>
  </si>
  <si>
    <t>Edita Valiūnienė, Gintarė Kareivienė, Karolis Šakarnis, Laima Jūrevičienė</t>
  </si>
  <si>
    <t>Sutvarkyta švietimo įstaigų želdinių</t>
  </si>
  <si>
    <t>445,00</t>
  </si>
  <si>
    <t>Priemonė įvykdyta 100 proc.</t>
  </si>
  <si>
    <t>Savivaldybei priskirtų valyti ir prižiūrėti teritorijų plotas, tūkst.</t>
  </si>
  <si>
    <t>8,60</t>
  </si>
  <si>
    <t>Vyksta viešųjų teritorijų valymo ir tvarkymo darbai pagal grafiką bei poreikį. Priemonė įvykdyta 100 proc.</t>
  </si>
  <si>
    <t>Kt</t>
  </si>
  <si>
    <t>07.01.01.02.02.</t>
  </si>
  <si>
    <t>Aušra Pakalniškė</t>
  </si>
  <si>
    <t>Prižiūrima viešųjų tualetų</t>
  </si>
  <si>
    <t>46,00</t>
  </si>
  <si>
    <t>Nuomojama kilnojamųjų tualetų švenčių metu</t>
  </si>
  <si>
    <t>1 500,00</t>
  </si>
  <si>
    <t>1 554,00</t>
  </si>
  <si>
    <t>I ketvirtyje nuomota su aptarnavimu:
- biotualetų (kilnojamųjų tualetų) - 129 vnt.;
- vandens talpų - 12 vnt.
II ketvirtyje nuomota su aptarnavimu:
- biotualetų (kilnojamųjų tualetų) - 384 vnt.;
- biotualetų (kilnojamųjų tualetų) pritaikytų neįgaliųjų poreikiams - 26 vnt.;
- vandens talpų - 117 vnt.
III ketvirtyje nuomota su aptarnavimu:
- biotualetų (kilnojamųjų tualetų) - 927 vnt.;
- biotualetų (kilnojamųjų tualetų) pritaikytų neįgaliųjų poreikiams - 50 vnt.;
- vandens talpų - 181 vnt.
IV ketv. 38 vnt.</t>
  </si>
  <si>
    <t>Parengtas inžinerinių tinklų, reikalingų Kruizinių laivų terminale tualetui eksploatuoti, techninis projektas</t>
  </si>
  <si>
    <t>Dėl užsitęsusių problematiškų vandentiekio prisijungimo sąlygų gavimo,  Kruizinių laivų terminalo tualeto tinklų projektavimas bus perkamas kartu su darbais 2020 m. -perkelta į 2020 m.</t>
  </si>
  <si>
    <t>07.01.01.02.03.</t>
  </si>
  <si>
    <t>Laima Jūrevičienė</t>
  </si>
  <si>
    <t>Paimta, sugauta gyvūnų</t>
  </si>
  <si>
    <t>660,00</t>
  </si>
  <si>
    <t>1 306,00</t>
  </si>
  <si>
    <t>Paslauga įvykdyta 100 proc.</t>
  </si>
  <si>
    <t>Atlikta beglobių kačių sterilizacijų</t>
  </si>
  <si>
    <t>500,00</t>
  </si>
  <si>
    <t>385,00</t>
  </si>
  <si>
    <t>Tik 2019 m. rugpjūčio mėn. buvo pasirašyta sutartis su UAB "Nuaras" iki tol sterilizaciją vykdė tik VšĮ "Būk mano draugas", todėl nespėta sterilizuoti tiek kačių kiek buvo planuota.</t>
  </si>
  <si>
    <t>07.01.01.02.04.</t>
  </si>
  <si>
    <t>Statinių, keliančių pavojų gyvybei ir sveikatai, griovimas</t>
  </si>
  <si>
    <t>Nugriauta statinių</t>
  </si>
  <si>
    <t>13,00</t>
  </si>
  <si>
    <t>Nugriauta:
1. V/D Radastėlė, Galinio pylimo 16A, sandėliukas;
2. V/D Žilvitis, Vyšniu g. 13  – požeminis rūsys;
3. V\D Žuvėdra Debreceno g. 24 - požeminis rūsys;
4. V/D Pagrandukas Žardininkų g. 10 – pavėsinės;
5. 5.V/D Du gaideliai, Laukininkų g. 56,- pavėsinės;
6. sandėliukai Dariaus ir Girėno g. 19;
7. siurblinė Danės g. 9;
8. Informacinis stendas Perkėlos g. 8;
9. Betoniniai stulpeliai Taikos pr. 160 – Kairių g.;
10. Statinys Rūko g. 3;
11. Sandėliukai I. Kanto g. 18; 
12. Sandėliukai Bangų g. 13;
13. S. Nėries g. 12.</t>
  </si>
  <si>
    <t>07.01.01.02.05.</t>
  </si>
  <si>
    <t>Atlikti šlaitų stabilizavimo darbai Šiaurės pr. Užbaigtumas</t>
  </si>
  <si>
    <t>Pasirašyta sutartis dėl projektavimo užduoties pirkimo. Po jos parengimo bus perkamas projektas. Darbai šiais metais nebus pradėti.
Projektavimo užduotis parengta ir 2020 m. sausio mėn. pradėtas šlaitų stabilizavimo Šiaurės pr.  projektavimo paslaugos pirkimas.</t>
  </si>
  <si>
    <t>07.01.01.03.</t>
  </si>
  <si>
    <t>Miesto paplūdimių priežiūros organizavimas</t>
  </si>
  <si>
    <t>07.01.01.03.01.</t>
  </si>
  <si>
    <t>Klaipėdos miesto paplūdimių sutvarkymo priemonių 2016–2019 metų plano įgyvendinimas</t>
  </si>
  <si>
    <t>Gintarė Kareivienė, Irena Šakalienė, Rasa Jievaitienė, Saulina Paulauskienė, Violeta Gutauskienė</t>
  </si>
  <si>
    <t>Suteikta asistento paslauga neįgaliesiems</t>
  </si>
  <si>
    <t>Asistento paslauga teikta viso sezono metu gegužės-rugsėjo mėn.</t>
  </si>
  <si>
    <t>Įrengtas konteinerinis tualetas prie moterų paplūdimio I-ojoje Melnragėje, Kopų g. 40</t>
  </si>
  <si>
    <t>Projekto derinimo metu atsirado nuo Užsakovo ir Rangovo nepriklausančios aplinkybės, trukdančios prievolių savalaikiam įvykdymui: valstybės įmonės Valstybinių miškų urėdija atsisakė derinti projekto sprendinį kloti elektros kabelį valstybinės reikšmės miškams priskirtoje miško žemėje. Aplinkos ministerija nusprendė pradėti Klaipėdos miesto savivaldybės valstybinės reikšmės miškų plotų schemos tikslinimą pavesdama Valstybinei miškų tarnybai parengti patikslintą Klaipėdos miesto savivaldybės valstybinės reikšmės miškų plotų schemą.
Šiuo metu su  miškų urėdija naujai aiškinamasi, kokios yra galimybės įrengti viešąjį konteinerinį tualetą su inžineriniais tinklais. Tualetas šiais metais nebus įrengtas.</t>
  </si>
  <si>
    <t>Demontuota antžeminių dalių ir įrengta konteinerinių tualetų su išgriebimo duobėmis buvusių stacionarių tualetų vietose: Smiltynės g. 33 (Naujoji perkėla)</t>
  </si>
  <si>
    <t>Projektas parengtas, vyksta ilgos derinimo procedūros su šalia esančiu savininku dėl el. transformatorinės panaudojimo ir užsitęsusio leidimo išdavimo vykdyti darbus miško žemėje.</t>
  </si>
  <si>
    <t>Parengta atraminių apsauginių įėjimo į Girulių ir Smiltynės prie gelbėjimo stoties paplūdimius sienučių techninių projektų</t>
  </si>
  <si>
    <t>Smiltynės ir Girulių atraminės sienutės projektai parengti
.</t>
  </si>
  <si>
    <t>Atlikta vandens maudyklų tyrimų</t>
  </si>
  <si>
    <t>15,00</t>
  </si>
  <si>
    <t>Vanduo imtas iš šešių vietų: Smiltynės I bendrasis paplūdimys, Smiltynės II bendrasis paplūdimys, Melnragės I bendrasis paplūdimys, Melnragės II bendrasis paplūdimys, Melnragės neįgaliųjų paplūdimys, Girulių bendrasis paplūdimys (6 vietos).</t>
  </si>
  <si>
    <t>Suorganizuota aplinkosauginių renginių paplūdimiuose</t>
  </si>
  <si>
    <t>suorganizuoti 4 renginiai paplūdimiuose</t>
  </si>
  <si>
    <t>07.01.01.03.02.</t>
  </si>
  <si>
    <t>Gintarė Kareivienė</t>
  </si>
  <si>
    <t>Pasirasirašyta sutartis dėl dalyvavimo Mėlynosios vėliavos programoje I Smiltynės ir II Melnragės paplūdimiuose</t>
  </si>
  <si>
    <t>Sutartis pasirašyta. Mėlyna vėliava suteikta.</t>
  </si>
  <si>
    <t>07.01.01.03.03.</t>
  </si>
  <si>
    <t>Saulina Paulauskienė</t>
  </si>
  <si>
    <t>Įsigyta paplūdimiams tvarkyti reikalingo inventoriaus</t>
  </si>
  <si>
    <t>66,00</t>
  </si>
  <si>
    <t>2019 m. mobilių gelbėjimo stočių, gelbėjimosi lentų,  paplūdimių stendų, naro kostiumų, keturratis motociklas, radijo bangomis valdomų gelbėjimo plaustų</t>
  </si>
  <si>
    <t>Įsigyta mobili gelbėjimo stotis - 3 vnt., prižiūrima stendų - 60 vnt., įsigyta gelbėjimo lenta - 2 vnt., naro kostiumas - 1 vnt. Buitinių nuotekų valymo sistemos įsigijimas perkeltas į 2020 m., nes užsitęsė projekto derinimas su atsakingomis institucijomis.</t>
  </si>
  <si>
    <t>108,00</t>
  </si>
  <si>
    <t>22,50</t>
  </si>
  <si>
    <t>Sudarytas locmano žemėlapis</t>
  </si>
  <si>
    <t>Atlikti batimetriniai matavimai</t>
  </si>
  <si>
    <t>Prižiūrima konteinerinių tualetų</t>
  </si>
  <si>
    <t>Tualetai prižiūrimi sezono metu gegužės-rugsėjo mėn.</t>
  </si>
  <si>
    <t>07.01.01.03.04.</t>
  </si>
  <si>
    <t>Viešojo tualeto ir dušinės paslaugų teikimas Melnragės paplūdimyje</t>
  </si>
  <si>
    <t>Darbuotojai priimti sezono metu balandžio/gegužės-rugsėjo/spalio mėn.</t>
  </si>
  <si>
    <t>Prižiūrima stacionarių tualetų</t>
  </si>
  <si>
    <t>Priežiūra vykdoma sezono metu balandžio/gegužės-rugsėjo/spalio mėn.</t>
  </si>
  <si>
    <t>07.01.01.03.05.</t>
  </si>
  <si>
    <t>07.01.01.04.</t>
  </si>
  <si>
    <t>Miesto viešųjų erdvių ir gatvių apšvietimo užtikrinimas</t>
  </si>
  <si>
    <t>07.01.01.04.01.</t>
  </si>
  <si>
    <t>Eksploatuojama šviestuvų, tūkst.</t>
  </si>
  <si>
    <t>19,60</t>
  </si>
  <si>
    <t>17,90</t>
  </si>
  <si>
    <t>Šviestuvų mažiau nei palnuotą, nes buvo sumažintas biudžetas ir įrengta mažiau šviestuvų.</t>
  </si>
  <si>
    <t>Suvartota elektros energijos, tūkst.</t>
  </si>
  <si>
    <t>MWh</t>
  </si>
  <si>
    <t>9,40</t>
  </si>
  <si>
    <t>9,48</t>
  </si>
  <si>
    <t>Priemonė įgyvendinta 100 proc.</t>
  </si>
  <si>
    <t>07.01.01.04.02.</t>
  </si>
  <si>
    <t>Viešųjų erdvių (šviesoforų, fontanų tualetų ir kt.)  apšvietimo tinklų ir įrangos eksploatacija</t>
  </si>
  <si>
    <t>Karolis Šakarnis, Vidmantas Paliakas</t>
  </si>
  <si>
    <t>Pakabinta ir eksploatuojama papuošimo elementų</t>
  </si>
  <si>
    <t>1 206,00</t>
  </si>
  <si>
    <t>1 213,00</t>
  </si>
  <si>
    <t>pakabinti  311 tūrinių papuošimų ir 902 paprasti papuošimai ant apšvietimo stulpų.</t>
  </si>
  <si>
    <t>0,40</t>
  </si>
  <si>
    <t>0,33</t>
  </si>
  <si>
    <t>Suvartota mažiau, nes šviesoforai buvo perduoti UAB "Gatvių apšvietimas".</t>
  </si>
  <si>
    <t>Pakabinta ir eksploatuojama šviesos elementų (LED girliandų) fasadams ir medžiams puošti, tūkst.</t>
  </si>
  <si>
    <t>22,20</t>
  </si>
  <si>
    <t>17,46</t>
  </si>
  <si>
    <t>Papuošti 436 medžiai</t>
  </si>
  <si>
    <t>Autonominių belaidžio (Wi-Fi) ryšio stotelių priežiūra</t>
  </si>
  <si>
    <t>Baigiamos 3 stotelių priežiūros pirkimo procedūros. Priežiūros sutartis pasirašyta 2 metams.</t>
  </si>
  <si>
    <t>07.01.01.04.03.</t>
  </si>
  <si>
    <t>Viešųjų erdvių, gatvių ir kiemų apšvietimo tinklų išplėtimas ar įrengimas</t>
  </si>
  <si>
    <t>Parengta techninių projektų</t>
  </si>
  <si>
    <t>9,00</t>
  </si>
  <si>
    <t>Parengti techniniai projektai - Oto g.; take nuo Kretingos g. iki Geležinkelio g. 2A; praėjime nuo Taikos pr. 8 iki Sausio 15-osios 2A ; Daukanto g. 13a ir Pievų Tako g. 8, pravažiavimo nuo J. Janonio g. 5 iki Pievų  Pako g. 37 apšvietimo techninio darbo projekto parengimas ir Karlsronos aikštės apšvietimo techninio darbo projekto parengimas</t>
  </si>
  <si>
    <t>Atlikta Otų g. projekto korekcija, parengtas Pievų tako g., Ukmergės ir Šiltnamių g. projektai. Vyksta apšvietimo  projektavimas: pravažiavimo  nuo Janonio g. 5 iki Pievų tako g. 37,   tako nuo Taikos pr. 8 iki Sausio 15-osios g.  2A,  tako nuo Kretingos g. iki Gelezinkelio g. 2a. Ruošiama projektavimo užduotys 2 viešųjų erdvių projektavimo pirkimui: Karlskronos a. ir pravaižiavimas nuo Pievų Tako g. 8 iki  S. Daukanto. 13A. Iki metų pabaigos bus parengti dar 3 projektai, 2 projektų parengimas planuojamas 2020 m. pradžioje.
Parengtas Otų g. apšvietimo projektas.
Toliau rengiami 3 viešųjų erdvių projektai (Janonio g. 5 iki Pievų tako g. 37,   tako nuo Taikos pr. 8 iki Sausio 15-osios g.  2A,  tako nuo Kretingos g. iki Gelezinkelio g. 2a. Ruošiama projektavimo užduotys 2 viešųjų erdvių projektavimo pirkimui: Karlskronos a. ir pravaižiavimas nuo Pievų Tako g. 8 iki  S. Daukanto. 13A.) užtruko dėl derinimo su interesuotomis institucijomis.
Vyksta projektavimo paslaugų pirkimas  (Karlskronos a. ir pravaižiavimas nuo Pievų Tako g. 8 iki  S. Daukanto. 13A.)
Taip pat pradėtas dar 4 viešųjų erdvių (Simonaitytės kalnas, Įvažiavimas į aikštelę Pievų Tako g. 14-16, Kaštonų g. (nuo Kretingos g. iki Valstiečių g.) ,  Praėjimas nuo Veterinarijos g. iki Neringos sodų) projektavimo paslaugų pirkimas.</t>
  </si>
  <si>
    <t>Atlikta įrengimo darbų. Užbaigtumas</t>
  </si>
  <si>
    <t>Atlikta - Aukštosios g. ruožas nuo Daržų g. iki Turgaus a., takas ties Debreceno g. 52-58A.
Apšvietimo įrengimo darbai vyksta Otų g. ir Pievų tako g.
Otų g. ir Pievų tako g. apšvietimas įrengtas.</t>
  </si>
  <si>
    <t>07.01.01.05.</t>
  </si>
  <si>
    <t>Kristina Vintilaitė</t>
  </si>
  <si>
    <t>07.01.01.05.01.</t>
  </si>
  <si>
    <t>Marius Poimanskis, Rita Mikluševičiūtė</t>
  </si>
  <si>
    <t>Eksploatuojama kamerų</t>
  </si>
  <si>
    <t>151,00</t>
  </si>
  <si>
    <t>122,00</t>
  </si>
  <si>
    <t>Dėl 29 vaizdo stebėjimo kamerų pirkimo vyko teisminiai procesai, sutartis pasirašyta tik gegužės mėn. Pagal sutartį kameros turėjo būti įrengtos ir pradėtos eksploatuoti rugsėjo mėn. pabaigoje, tačiau tiekėjas vaizdo stebėjimo kameras įrengė tik 2020 m. sausio mėn.</t>
  </si>
  <si>
    <t>Atnaujintas vaizdo stebėjimo punktas</t>
  </si>
  <si>
    <t>Vaizdo stebėjimo punktas atnaujintas.</t>
  </si>
  <si>
    <t>07.01.01.06.</t>
  </si>
  <si>
    <t>Interneto prieigų įrengimas viešosiose vietose</t>
  </si>
  <si>
    <t>Vilija Venckutė-Palaitienė</t>
  </si>
  <si>
    <t>07.01.01.06.01.</t>
  </si>
  <si>
    <t>Interneto prieigų viešosiose vietose įrengimas ir belaidžio ryšio (Wi-Fi) paslaugos teikimas</t>
  </si>
  <si>
    <t>Darius Kadys</t>
  </si>
  <si>
    <t>Įrengta interneto prieigų su belaidžio ryšio (Wi-Fi) paslauga Kruizinių laivų terminale ir Teatro aikštėje</t>
  </si>
  <si>
    <t>2018-07-09 Paslaugų sutartis J9-1557</t>
  </si>
  <si>
    <t>07.01.01.07.</t>
  </si>
  <si>
    <t>Klaipėdos miesto integruotos teritorijos vystymo programos projektų įgyvendinimas</t>
  </si>
  <si>
    <t>Elona Jurkevičienė</t>
  </si>
  <si>
    <t>07.01.01.07.01.</t>
  </si>
  <si>
    <t>Atgimimo aikštės sutvarkymas, didinant patrauklumą investicijoms, skatinant lankytojų srautus</t>
  </si>
  <si>
    <t>Monika Lygnugarienė</t>
  </si>
  <si>
    <t>2019 m. rugpjūčio mėn. gauta teigiama ekspertizės išvada. TP gali būti keliamas į IS Infostatybą statybos leidimui gauti, tačiau dėl didelės TP kainos nėra  užsakovo pritarimo projektiniams sprendiams. Be pritarimo projektiniams sprendiniams negalima pradėti derinimo procedūrų IS Infostatyba. Šiuo metu rengiami pirkimo dokumentai TP audito paslaugų pirkimui.</t>
  </si>
  <si>
    <t>07.01.01.07.02.</t>
  </si>
  <si>
    <t>Danės upės krantinių rekonstrukcija ir prieigų (Danės skveras su fontanais) sutvarkymas</t>
  </si>
  <si>
    <t>Statybos leidimas gautas 2019-06-25. Vokų plėšimas rangovui parinkti įvyko 2019-09-18. 2019-12-16 pasirašyta rangos sutartis.</t>
  </si>
  <si>
    <t>07.01.01.07.03.</t>
  </si>
  <si>
    <t>Pėsčiųjų tako sutvarkymas palei Taikos pr. nuo Sausio 15-osios iki Kauno g., paverčiant viešąja erdve, pritaikyta gyventojams bei smulkiajam ir vidutiniam verslui</t>
  </si>
  <si>
    <t>Jurgita Poimanskienė</t>
  </si>
  <si>
    <t>2019-07-09 baigta pakartotinė techninio darbo projekto bendroji ekspertizė ir gautas aktas, kad techninį darbo projektą galima tvirtinti (pastaba: dėl techninio darbo projekto neatitikimo detaliojo plano sprendiniams jis buvo taisomas ir iš naujo atliekama bendroji ekspertizė). 2019-10-15 gautas statybą leidžiantis dokumentas. Tiekėjui vėluojant laiku parengti techninį darbo projektą, rangos darbų viešojo pirkimo procedūros buvo pradėtos vėliau nei planuota – 2019-10-18 patvirtintas konkurso sąlygų aprašas, 2019-11-06 gauti tiekėjų pasiūlymai, vertinami pasiūlymai. Sutartį su rangovu planuojama pasirašyti 2020 m. sausio/vasario mėn. ir per 2020 m. atlikti 30 proc. rangos darbų.
Per laikotarpį nuo 2018-06-16 iki 2019-10-14 tiekėjui paskaičiuoti delspinigiai – 1 595,59 Eur. Delspinigiai apmokėti – atliktas vienašalis sandoris.</t>
  </si>
  <si>
    <t>07.01.01.07.06.</t>
  </si>
  <si>
    <t>Turgaus aikštės su prieigomis sutvarkymas, pritaikant verslo, turizmo, bendruomenės poreikiams</t>
  </si>
  <si>
    <t>2019-02-12 pasirašyta sutartis su paslaugų teikėju dėl techninio projekto parengimo ir projekto vykdymo priežiūros teikimo paslaugų. 2019-06-20 pasirašytas papildomas susitarimas dėl papildomų Turgaus aikštės prieigų (Bružės g. ir Turgaus aikštės tęsinio (nuo Turgaus a. 21 namo iki Pilies g.)) techninio projekto parengimo, kartu su geologinių, archeologinių tyrimų atlikimu, topografinių (geodezinių) tyrinėjimo dokumentų parengimu, ir projekto vykdymo priežiūros paslaugų bei 2 mėn. pratęstas techninio projekto parengimo terminas. 2019-12-06 atlikta 40 proc. techninio projekto parengimo paslaugų. Pratęsus paslaugų atlikimo terminą, techninio projekto parengimas nusikėlė į 2020 m.</t>
  </si>
  <si>
    <t>07.01.01.07.07.</t>
  </si>
  <si>
    <t>Viešosios erdvės prie buvusio „Vaidilos“ kino teatro konversija</t>
  </si>
  <si>
    <t>2019-08-12 baigta techninio darbo projekto bendroji ekspertizė ir gautas aktas, kad techninį darbo projektą galima tvirtinti. 2019-10-17 gautas statybą leidžiantis dokumentas. Tiekėjui vėluojant laiku parengti techninį darbo projektą, rangos darbų viešojo pirkimo procedūros buvo pradėtos vėliau nei planuota – 2019-10-15 patvirtintas konkurso sąlygų aprašas, 2019-11-25 gauti tiekėjų pasiūlymai, sutartį su rangovu planuojama pasirašyti 2020 m. sausio/vasario mėn. ir per 2020 m. atlikti 40 proc. rangos darbų.
Per laikotarpį nuo 2018-09-01 iki 2019-10-20 tiekėjui paskaičiuoti delspinigiai – 3 414,62 Eur. Delspinigiai apmokėti – atliktas vienašalis sandoris.</t>
  </si>
  <si>
    <t>07.01.01.07.08.</t>
  </si>
  <si>
    <t>Statybos leidimas gautas 2019 m. rugpjūčio mėn. I ir II teritorijai. III teritorijai statybos leidimas gautas 2019 rugsėjo mėn. Vykdomos viešųjų pirkimų procedūros rangovui parinkti.</t>
  </si>
  <si>
    <t>2019 rugsėjo mėn. gauti 3 teritorijų statybų leidimai. Vokų plėšimas rangovui parinkti įvyko 2019-11-11. Šiuo metu nustatyta pasiūlymų eilė. 2020 sausio pab. planuojama pasirašyti rangos sutartis. Darbų trukmė - 24 mėn.</t>
  </si>
  <si>
    <t>07.01.01.07.09.</t>
  </si>
  <si>
    <t>Violeta Pronskuvienė</t>
  </si>
  <si>
    <t>Parengta žemėlapio aplikacija,  skirta 2014–2020 m. integruotų investicijų programos projektų viešinimui</t>
  </si>
  <si>
    <t>Žemelapis parengtas. Teikiama paraiška apmokėjimui. Nupirkta už 4900,50 Eur</t>
  </si>
  <si>
    <t>07.01.01.08.</t>
  </si>
  <si>
    <t>Danės upės slėnio teritorijos  pritaikymas visuomenės ir rekreaciniams poreikiams</t>
  </si>
  <si>
    <t>Ričardas Zulcas, Valdas Švedas</t>
  </si>
  <si>
    <t>07.01.01.08.01.</t>
  </si>
  <si>
    <t>Laivų nuleidimo prieplaukos ir saugojimo aikštelės sklype šalia Liepų g. tilto įrengimas</t>
  </si>
  <si>
    <t>Raimonda Gružienė, Valdas Švedas</t>
  </si>
  <si>
    <t>Techninis projektas bus pradėtas rengti, kai Žemėtvarkos skyrius suformuos žemės sklypą. Darbai suplanuoti 2020 m.</t>
  </si>
  <si>
    <t>07.01.02.</t>
  </si>
  <si>
    <t>07.01.02.01.</t>
  </si>
  <si>
    <t>Laidojimo paslaugų teikimas ir kapinių priežiūros organizavimas</t>
  </si>
  <si>
    <t>Zina Stankienė</t>
  </si>
  <si>
    <t>07.01.02.01.01.</t>
  </si>
  <si>
    <t>Raimondas Kazlauskas</t>
  </si>
  <si>
    <t>Išvežta mirusiųjų iš įvykio vietos</t>
  </si>
  <si>
    <t>350,00</t>
  </si>
  <si>
    <t>261,00</t>
  </si>
  <si>
    <t>vykdoma pagal faktą, vnt.</t>
  </si>
  <si>
    <t>Palaidota mirusiųjų</t>
  </si>
  <si>
    <t>36,00</t>
  </si>
  <si>
    <t>19,00</t>
  </si>
  <si>
    <t>vykdoma pagal faktą, vnt</t>
  </si>
  <si>
    <t>Mirusiųjų palaikų laikinas laikymas (saugojimas)</t>
  </si>
  <si>
    <t>300,00</t>
  </si>
  <si>
    <t>268,00</t>
  </si>
  <si>
    <t>07.01.02.01.02.</t>
  </si>
  <si>
    <t>Miesto kapinių priežiūra ir infrastruktūros atnaujinimas</t>
  </si>
  <si>
    <t>Giedrius Gylys, Ilona Daulienė</t>
  </si>
  <si>
    <t>Įrengta lietaus nuotekų sistema Joniškės kapinėse. Užbaigtumas</t>
  </si>
  <si>
    <t>50,00</t>
  </si>
  <si>
    <t>techninis projektas parengtas, infostatyba praeita, rengiama viešo pirkimo medžiaga įgyvendinimui. Vykdant techninio projekto ekspertizę, pagal pastabas teko taisyti parengtą projektą, dėl ko nusitęsė galutinis projekto patvirtinimas.</t>
  </si>
  <si>
    <t>Suremontuota takų Joniškės ir Lėbartų kapinėse, tūkst.</t>
  </si>
  <si>
    <t>m2</t>
  </si>
  <si>
    <t>7,50</t>
  </si>
  <si>
    <t>5,74</t>
  </si>
  <si>
    <t>darbai atlikti pagal sutartį. dėl išaugusios darbų kainos, darbų buvo galima atlikti mažiau nei planuota</t>
  </si>
  <si>
    <t>Atstatyta vandens kolonėlių Joniškės ir Lėbartų kapinėse</t>
  </si>
  <si>
    <t>25,00</t>
  </si>
  <si>
    <t>23,00</t>
  </si>
  <si>
    <t>Darbai atlikti pagal sutartį</t>
  </si>
  <si>
    <t>Atlikta kapinių skaitmeninimo (inventorizavimas Joniškės, Lėbartų kapinės) sistemos priežiūros darbų. Užbaigtumas</t>
  </si>
  <si>
    <t>Skaitmeninimas baigtas, %</t>
  </si>
  <si>
    <t>Prižiūrima kapinių  (įskaitant senąsias kapinaites)</t>
  </si>
  <si>
    <t>Įrengta kapaviečių ženklų</t>
  </si>
  <si>
    <t>57,00</t>
  </si>
  <si>
    <t>60,00</t>
  </si>
  <si>
    <t>Darbai atlikti</t>
  </si>
  <si>
    <t>Suženklinta automobilių stovėjimo aikštelių (prie kapinių)</t>
  </si>
  <si>
    <t>darbai atlikti, vnt.</t>
  </si>
  <si>
    <t>Suremontuotas viešasis tualetas Lėbartų kapinėse (parengtas techninis projekas 2019 m.). Užbaigtumas</t>
  </si>
  <si>
    <t>Projekto ekspertizė atlikta. projektas patvirtintas. darbai neatlikti, buvo numatyta tik parengti projektą.</t>
  </si>
  <si>
    <t>07.01.03.</t>
  </si>
  <si>
    <t xml:space="preserve">Užtikrinti švarą ir tvarką daugiabučių gyvenamųjų namų kvartaluose, skatinti gyventojus renovuoti ir prižiūrėti savo turtą  </t>
  </si>
  <si>
    <t>07.01.03.01.</t>
  </si>
  <si>
    <t>Daugiabučių gyvenamųjų namų kvartalų priežiūros vykdymas</t>
  </si>
  <si>
    <t>Inga Kubilienė, Irena Šakalienė</t>
  </si>
  <si>
    <t>07.01.03.01.01.</t>
  </si>
  <si>
    <t>Daugiabučių namų kiemų infrastruktūros gerinimo programos įgyvendinimas</t>
  </si>
  <si>
    <t>Edita Valiūnienė, Gintarė Kareivienė, Karolis Šakarnis, Nijolė Vedeikienė</t>
  </si>
  <si>
    <t>Įrengta apšvietimo infrastruktūros kiemuose, tūkst.</t>
  </si>
  <si>
    <t>10,30</t>
  </si>
  <si>
    <t>10,33</t>
  </si>
  <si>
    <t>III ketv. - vyksta 15 teritorijų apšvietimo projektavimas. 7 teritorijose apšvietimas įrengtas ir pradėtas eksploatuoti . Šiuo metu įrenginėjamas apšvietimas 9 teritorijose- planuojama įrengti iki 2019 11 01. 2019-09-19 pasirašyta sutartis dėl  apšvietimo įrengimo 4 teritorijose. Planuojamas apšvietimo įrengimas 2019-12-01.
Lėšos bus įsisavintos, priemonė įgyvendinta.
 Apšvietimas įrengtas 13 teritorijų.</t>
  </si>
  <si>
    <t>Valdų, kuriose tvarkomi želdiniai</t>
  </si>
  <si>
    <t>Įrengta ir atnaujinta automobilių stovėjimo vietų</t>
  </si>
  <si>
    <t>726,00</t>
  </si>
  <si>
    <t>I ketv. - užbaigti darbai I. Kanto g. 21, J. Janonio g. 16-18, S. Daukanto g. 26, Sportininkų g. 12, tvarkomi objektų pridavimo dokumentai. Vyksta darbai Liepų g., Taikos pr. Šaulių g. kiemuose. Pasirašyta sutartis Dzūkų g. 6 kiemo remontui. Baigiamos pirkimo procedūros Panevėžio, Vingio, Liubeko gatvių ir Šilutės plento kiemų remonto darbams.
II ketv. - pasirašytos sutartys kiemų  aikštelių remonto darbams Dzūkų g. 6, Panevėžio g. 5-19, Vingio g. 1, Šilutės pl. 82-88, Liubeko g. 7-9. Užbaigti darbai Daukanto g.26, Šaulių g, 56, Taikos pr. 55-57, Taikos pr. 21, Dzūkų g.6.
III ketv. - vykdomi darbai Panevėžio g. 5-19, Vingio g. 1, Šilutės pl. 82-88, Liepų g. 40-46A kiemuose. Planuojama užbaigti šiais metais. Priemonė bus įgyvendinta, lėšas planuojama įsisavinti.
IV ketv. - pabaigti darbai Panevėžio g. 5-19, Vingio g. 1, Šilutės pl. 82-88, Liubeko g. 7-9 kiemuose, baigiami darbai Liepų g. kiemuose.</t>
  </si>
  <si>
    <t>07.01.03.01.02.</t>
  </si>
  <si>
    <t>Daugiabučių namų savininkų bendrijų (DNSB) pirmininkų mokymų organizavimas</t>
  </si>
  <si>
    <t>Lina Smilgytė</t>
  </si>
  <si>
    <t>Mokymo programų skaičius</t>
  </si>
  <si>
    <t>Įvykdytas pirkimas bendrijos pirmininkų mokymams. Mokymų data buvo spalio 18 d. Įvykdyta</t>
  </si>
  <si>
    <t>07.01.03.01.03.</t>
  </si>
  <si>
    <t>Daugiabučio Vingio g. 35 modernizavimui techninio darbo projekto parengimas</t>
  </si>
  <si>
    <t>Inga Kubilienė</t>
  </si>
  <si>
    <t>Techninio darbo projekto koregavimas</t>
  </si>
  <si>
    <t>Įvykdyta, apmokėjimas atliktas</t>
  </si>
  <si>
    <t>07.01.03.01.04.</t>
  </si>
  <si>
    <t>Vaikų žaidimo aikštelių įrengimo ir atnaujinimo programos įgyvendinimas</t>
  </si>
  <si>
    <t>Parengta projektų</t>
  </si>
  <si>
    <t>Parengti trys supaprastinti projektai vaikų žaidimo aikštelių įrengimui daugiabučių namų kvartaluose, bei vienas projektas Poilsio parko vaikų vaikų žaidimo aikštelės</t>
  </si>
  <si>
    <t>Prižiūrima vaikų žaidimų aikštelių viešose erdvėse</t>
  </si>
  <si>
    <t>8,00</t>
  </si>
  <si>
    <t>Sudaryta rangos darbų sutartis dėl naujai įrengtų vaikų žaidimo aikštelių priežiūros. Atliekama priežiūra 13 vaikų žaidimo aikštelių.</t>
  </si>
  <si>
    <t>Įrengta vaikų žaidimų aikštelių viešose erdvėse</t>
  </si>
  <si>
    <t>Įrengtos trys naujos vaikų žaidimo aikštelės: I. Simonaitytės g., Reikjaviko g., Taikos pr.</t>
  </si>
  <si>
    <t>Atnaujinta (pagerinta) sporto aikštelių daugiabučių namų kiemuose ar viešosiose miesto erdvėse</t>
  </si>
  <si>
    <t>Atnaujintos 8 sporto aikštelės daugiabučių namų kiemuose.</t>
  </si>
  <si>
    <t>Pašalinta netinkamų naudoti vaikų žaidimų įrenginių</t>
  </si>
  <si>
    <t>110,00</t>
  </si>
  <si>
    <t>Rangovui suformuotos keturios užduotys šiais metais, Panaikinta  110 nesaugių vaikų žaidimo įrenginių ar elementų.</t>
  </si>
  <si>
    <t>07.01.03.02.</t>
  </si>
  <si>
    <t>Saugios kaimynystės bendruomenėje projektų įgyvendinimas</t>
  </si>
  <si>
    <t>07.01.03.02.01.</t>
  </si>
  <si>
    <t>Projekto „Saugus kaimynas – saugus aš“ įgyvendinimas kartu su Klaipėdos apskrities vyriausiuoju policijos komisariatu</t>
  </si>
  <si>
    <t>Įgyvendinta projektų</t>
  </si>
  <si>
    <t>Projekto pabaiga 2021 m.</t>
  </si>
  <si>
    <t>Pasirašyta bendradarbiavimo sutartis su Klaipėdos apskrities vyriausiuoju policijos komisariatu. Projekto trukmė 2019-2021 m.</t>
  </si>
  <si>
    <t>07.01.03.02.02.</t>
  </si>
  <si>
    <t>Gaisrų prevencijos projekto „Gyvenkime saugiai“ įgyvendinimas kartu su Klaipėdos apskrities priešgaisrine gelbėjimo valdyba</t>
  </si>
  <si>
    <t>07.01.03.02.03.</t>
  </si>
  <si>
    <t>Prevencinio projekto „Būk pilietiškas, būk saugus“ įgyvendinimas kartu su Klaipėdos apskrities vyriausiuoju policijos komisariatu</t>
  </si>
  <si>
    <t>Įgyvendintas projektas</t>
  </si>
  <si>
    <t>07.01.03.02.04.</t>
  </si>
  <si>
    <t>Prevencinio projekto „Saugus eismas - saugus tu“ įgyvendinimas kartu su Klaipėdos apskrities vyriausiuoju policijos komisariatu</t>
  </si>
  <si>
    <t>07.01.03.02.05.</t>
  </si>
  <si>
    <t>Pasirašyta bendradarbiavimo sutartis su Klaipėdos miesto policijos komisariatu. Projekto trukmė 2019-2021 m.</t>
  </si>
  <si>
    <t>07.01.03.02.06.</t>
  </si>
  <si>
    <t>Prevencinio projekto „Saugi Klaipėda“ įgyvendinimas kartu su Klaipėdos apskrities vyriausiuoju policijos komisariatu</t>
  </si>
  <si>
    <t>07.01.03.02.07.</t>
  </si>
  <si>
    <t>Prevencinio projekto „Mažinkime triukšmą mieste“ įgyvendinimas kartu su Klaipėdos apskrities vyriausiuoju policijos komisariatu</t>
  </si>
  <si>
    <t>07.01.03.02.08.</t>
  </si>
  <si>
    <t>Prevencinio projekto „Stebima Klaipėda saugesnė“ įgyvendinimas kartu su Klaipėdos apskrities vyriausiuoju policijos komisariatu</t>
  </si>
  <si>
    <t>07.01.04.</t>
  </si>
  <si>
    <t xml:space="preserve">Eksploatuoti, remontuoti ir plėtoti inžinerinio aprūpinimo sistemas  </t>
  </si>
  <si>
    <t>07.01.04.01.</t>
  </si>
  <si>
    <t>Klaipėdos miesto lietaus tinklų tiesimas ir rekonstrukcija</t>
  </si>
  <si>
    <t>07.01.04.01.01.</t>
  </si>
  <si>
    <t>Gintarė Kareivienė, Karolis Šakarnis</t>
  </si>
  <si>
    <t>Rekonstruota, nutiesta lietaus nuotekų tinklų</t>
  </si>
  <si>
    <t>785,00</t>
  </si>
  <si>
    <t>380,00</t>
  </si>
  <si>
    <t>Darbai užbaigti : Simonaitytės g., Panevėžio g. ir Utenos g. Tvarkomi statybos užbaigimo dokumentai. I. Kanto g. pradėta lietaus nuotekų rekonstrukcija. Planuojama, kad darbai bus užbaigti iki metų pabaigos (bus įrengta ~ 200 m).
Projektuojama Kauno g. 31-35 lietaus nuotekų rekonstrukcija. 
 Su KLASCO administracija derinami paviršinių nuotekų tinklų Janonio g. (KLASCO teritorijos kolektoriaus) rekonstrukcijos planai. Šio objekto darbai bus perkelti į 2020 m.
Simonaitytės g., Panevėžio g. ir Utenos g.  užbaigimo dokumentais sutvarkyti.
Tęsiami I. Kanto g. tinklų rekonstravimo darbai. Buvo sustoję dėl sugedusios gręžimo mašinos.
Vykdomas KLASCO kolektoriaus ir Janonio g. paviršinių nuoketų rekonstrukcijos projektavimo paslaugos pirkimas.
Vyksta Kauno g. 31-35 pav. nuotekų tinklų rekonstrukcijos darbai.</t>
  </si>
  <si>
    <t>07.01.04.02.</t>
  </si>
  <si>
    <t>47,4 ha Medelyno gyvenamojo rajono infrastruktūros išvystymas</t>
  </si>
  <si>
    <t>07.01.04.02.01.</t>
  </si>
  <si>
    <t>Audronė Orentienė</t>
  </si>
  <si>
    <t>Rengiant detalųjį planą nebuvo daryta studija dėl transporto srautų ir saugių transporto sprendinių, todėl viešojo pirkimo metu nebuvo galimybės numatyti, kad teks keisti detąlųjį planą ir kitus sprendinius.Nepakeitus detaliojo plano sprendinių ir miškų schemos, negalimas visiškas sutarties įvykdymas. Todėl 2019-03-27 d. Protokolo Nr.ADM1-113 pagrindu parengtas prie 2018-07-13 sutarties Nr.J9-1588 
2019-04-29 papildomas susitarimas Nr.J9-1469 (dėl laikino sutarties sustabdymo, kol bus pakeista miškų schema). Žemėtvarkos skyrius kreipėsi į Nacionalinę žemės tarnybą (NŽT) dėl miškų plotų schemos pakeitimo, tačiau atsakymas gautas su neigiama išvada, todėl po 2019-09-12 d. pasitarimo nutarta Į NŽT kreiptis pakartotinai. Norimo sprendinio be valstybinių miškų plotų schemos pakeitimo  nebus galima padaryti. Įvertinus keitimo procedūros terminus, projektavimo darbai nusikels ir bus baigti  2020 metais.</t>
  </si>
  <si>
    <t>07.01.04.03.</t>
  </si>
  <si>
    <t>Privažiuojamojo kelio ties Baltijos pr. 109 lietaus nuotekų tinklų, Klaipėdoje, statyba</t>
  </si>
  <si>
    <t>Valdas Švedas</t>
  </si>
  <si>
    <t>07.01.04.03.01.</t>
  </si>
  <si>
    <t>Rangovui ( 2019-05-31 pagal sutartį Nr. J9-1773) UAB"Terebro" vėluojant atlikti rangos darbus, užbaigimas numatomas 2020 m.</t>
  </si>
  <si>
    <t>Programų lėšų likučių laikinai laisvos lėšos  (apyvartos lėšų likutis)</t>
  </si>
  <si>
    <t>Įstaigų pajamos</t>
  </si>
  <si>
    <t>Pajamų imokų likutis</t>
  </si>
  <si>
    <t>Kiti šaltiniai</t>
  </si>
  <si>
    <t>Savivaldybės biudžeto</t>
  </si>
  <si>
    <t>Europos Sąjungos paramos lėšos (Savivaldybės biudžetas)</t>
  </si>
  <si>
    <t>*Pagal Klaipėdos miesto savivaldybės administracijos direktoriaus 2019-03-04 įsakymą Nr. AD1-399</t>
  </si>
  <si>
    <t xml:space="preserve">Lyginamasis variantas </t>
  </si>
  <si>
    <r>
      <t>2019 M. KLAIPĖDOS MIESTO SAVIVALDYBĖS ADMINISTRACIJOS</t>
    </r>
    <r>
      <rPr>
        <b/>
        <sz val="11"/>
        <rFont val="Times New Roman"/>
        <family val="1"/>
        <charset val="186"/>
      </rPr>
      <t xml:space="preserve">          </t>
    </r>
  </si>
  <si>
    <t>MIESTO INFRASTRUKTŪROS OBJEKTŲ PRIEŽIŪROS IR MODERNIZAVIMO PROGRAMOS (NR. 07)</t>
  </si>
  <si>
    <t xml:space="preserve"> TIKSLŲ, UŽDAVINIŲ, PRIEMONIŲ, PRIEMONIŲ IŠLAIDŲ IR PRODUKTO KRITERIJŲ DETALI SUVESTINĖ</t>
  </si>
  <si>
    <t>tūkst. Eur</t>
  </si>
  <si>
    <t>Priemonės kodas</t>
  </si>
  <si>
    <t>Papriemonės kodas</t>
  </si>
  <si>
    <t>Vykdytojas (skyrius / asmuo)</t>
  </si>
  <si>
    <t>2019-ųjų metų asignavimų planas</t>
  </si>
  <si>
    <t>Siūlomas keisti 2019-ųjų metų asignavimų planas*</t>
  </si>
  <si>
    <t>Skirtumas</t>
  </si>
  <si>
    <t>Produkto kriterijaus</t>
  </si>
  <si>
    <t>2018-ieji metai</t>
  </si>
  <si>
    <t xml:space="preserve">MŪD Miesto tvarkymo sk. </t>
  </si>
  <si>
    <t>Parengtas naujų gertuvių įrengimo prjektas, vnt.</t>
  </si>
  <si>
    <t>Įrengta vaikų žaidimų aikštelių (Pempininkų ir Debreceno aikščių prieigose 2018 m.), vnt.</t>
  </si>
  <si>
    <t>Atlikta aikštės atnaujinimo darbų. Užbaigtumas, proc.</t>
  </si>
  <si>
    <t>Atlikta aikštės sutvarkymo darbų. Užbaigtumas, proc.</t>
  </si>
  <si>
    <t>09</t>
  </si>
  <si>
    <t>Atlikta tako atnaujinimo darbų (darbų pradžia 2022 m.). Užbaigtumas, proc.</t>
  </si>
  <si>
    <t>MŪD Miesto tvarkymo skyrius</t>
  </si>
  <si>
    <t>Sutaupyta po viešųjų pirkimų</t>
  </si>
  <si>
    <t>Įgyvendintas priemonių 2019–2021 metų planas. Užbaigtumas, proc.</t>
  </si>
  <si>
    <t>MŪD Aplinkoks kokybės sk.</t>
  </si>
  <si>
    <t xml:space="preserve">MŪD BĮ "Klaipėdos paplūdimiai" </t>
  </si>
  <si>
    <t>Įrengtas konteinerinis tualetas prie moterų paplūdimio I-ojoje Melnragėje, Kopų g. 40, vnt.</t>
  </si>
  <si>
    <t>Demontuota antžeminių dalių ir įrengta konteinerinių tualetų su išgriebimo duobėmis buvusių stacionarių tualetų vietose:</t>
  </si>
  <si>
    <t>Smiltynės g. 33 (Naujoji perkėla).</t>
  </si>
  <si>
    <t>Pasirasirašyta sutartis dėl dalyvavimo Mėlynosios vėliavos programoje I Smiltynės ir II Melnragės paplūdimiuose, vnt.</t>
  </si>
  <si>
    <t>II  Melnragės gelbėjimo stotyje esančios kavinės nuoma</t>
  </si>
  <si>
    <t>Įsigytas inventorius:</t>
  </si>
  <si>
    <t xml:space="preserve">Įsigyta mobilių gelbėjimo stočių, vnt. </t>
  </si>
  <si>
    <t>Prižiūrima stendų paplūdimiuose, vnt.</t>
  </si>
  <si>
    <t>Įsigyta gelbėjimo lenta, vnt.</t>
  </si>
  <si>
    <t>Įsigyta naro kostiumų, vnt.</t>
  </si>
  <si>
    <t>Įsigyta krovininis keturratis motociklas, vnt.</t>
  </si>
  <si>
    <t xml:space="preserve">MŪD Miesto tvarkymo skyrius </t>
  </si>
  <si>
    <t>Oto g.</t>
  </si>
  <si>
    <t>Viešosios tvarkos skyrius</t>
  </si>
  <si>
    <t>Informavimo ir e. paslaugų skyrius</t>
  </si>
  <si>
    <t>IED Projektų skyrius</t>
  </si>
  <si>
    <t xml:space="preserve">Atlikta aikštės sutvarkymo darbų. Užbaigtumas, proc. </t>
  </si>
  <si>
    <t xml:space="preserve">Atlikta krantinių ir prieigų sutvarkymo darbų. Užbaigtumas, proc. </t>
  </si>
  <si>
    <t xml:space="preserve">Atlikta pėsčiųjų tako sutvarkymo darbų. Užbaigtumas, proc. </t>
  </si>
  <si>
    <t xml:space="preserve">Atlikta aikštės ir jos prieigų (8 284 m2) sutvarkymo darbų. Užbaigtumas, proc.  </t>
  </si>
  <si>
    <t xml:space="preserve">Atlikta viešosios erdvės (9075 m²) sutvarkymo darbų. Užbaigtumas, proc. </t>
  </si>
  <si>
    <t xml:space="preserve">Atlikta daugiabučių namų kiemų sutvarkymo (143403 m2) darbų. Užbaigtumas, proc. </t>
  </si>
  <si>
    <t xml:space="preserve">Buvusios AB „Klaipėdos energija“ teritorijos dalies  konversija, sudarant sąlygas vystyti komercines, rekreacines veiklas </t>
  </si>
  <si>
    <t>Atlikta teritorijos išvalymo darbų. Užbaigtumas, proc.</t>
  </si>
  <si>
    <t>MŪD Kapinių priežiūros skyrius</t>
  </si>
  <si>
    <t>MŪD  Miesto tvarkymo skyrius</t>
  </si>
  <si>
    <t xml:space="preserve">MŪD Socialinės infrastruktūros skyriaus </t>
  </si>
  <si>
    <t>Projekto administravimas, vnt.</t>
  </si>
  <si>
    <t>MŪD Miesto tvarkymo  sk.</t>
  </si>
  <si>
    <t xml:space="preserve">IED Projektų skyrius  </t>
  </si>
  <si>
    <t>(rangos darbų pradžia 2022 m.)</t>
  </si>
  <si>
    <t>IED   Statybos ir infrastruktūros plėtros sk.</t>
  </si>
  <si>
    <t xml:space="preserve">* Pagal Klaipėdos miesto savivaldybės tarybos 2019-10-24 sprendimą T2-293
</t>
  </si>
  <si>
    <t xml:space="preserve">                                                                 _____________________________________________</t>
  </si>
  <si>
    <t>2019 m. asignavimų patikslintas planas**</t>
  </si>
  <si>
    <t>patikslintos reikšmės</t>
  </si>
  <si>
    <t>šios sumos trūksta apmokėti pateiktą Prano Rimanto Olisevičiaus gėlininkystės ūkio 2019-11-29 sąskaitą faktūrą Nr. OL119911 (sąskaita pridedama).</t>
  </si>
  <si>
    <t>laisvos lėšos liko, nes šiais metais buvo nutrauktas viešasis pirkimas dėl Kalėdinės eglės puošimo Atgimimo aikštėje dėl per didelės kainos</t>
  </si>
  <si>
    <t>priemonėje trūksta lėšų apmokėti už suteiktas miesto valymo paslaugas paslaugų teikėjui UAB „Klaipėdos želdiniai“ (sąskaita pridedama).</t>
  </si>
  <si>
    <t>šios sumos trūksta apmokėti pateiktą  UAB „Ecoservice Klaipėda“ 2019-11-29 sąskaitą faktūrą Nr. KLP051739 (sąskaita pridedama)</t>
  </si>
  <si>
    <t>Faktiškai sąskaitų pateikta šiek tiek mažiau nei planuota</t>
  </si>
  <si>
    <r>
      <rPr>
        <strike/>
        <sz val="8"/>
        <color rgb="FFFF0000"/>
        <rFont val="Times New Roman"/>
        <family val="1"/>
        <charset val="186"/>
      </rPr>
      <t>16,9</t>
    </r>
    <r>
      <rPr>
        <sz val="8"/>
        <color rgb="FFFF0000"/>
        <rFont val="Times New Roman"/>
        <family val="1"/>
        <charset val="186"/>
      </rPr>
      <t xml:space="preserve">      17,8</t>
    </r>
  </si>
  <si>
    <t>sąskaitos už apšvietimo tinklų eksploataciją išaugo dėl padidėjusių naujai įrengtų šviestuvų skaičiaus daugiabučių namų kiemuose, gatvėse ir viešose erdvėse.</t>
  </si>
  <si>
    <r>
      <rPr>
        <strike/>
        <sz val="10"/>
        <color rgb="FFFF0000"/>
        <rFont val="Times New Roman"/>
        <family val="1"/>
        <charset val="186"/>
      </rPr>
      <t>9,4</t>
    </r>
    <r>
      <rPr>
        <sz val="10"/>
        <color rgb="FFFF0000"/>
        <rFont val="Times New Roman"/>
        <family val="1"/>
        <charset val="186"/>
      </rPr>
      <t xml:space="preserve">        9,5</t>
    </r>
  </si>
  <si>
    <r>
      <rPr>
        <strike/>
        <sz val="10"/>
        <color rgb="FFFF0000"/>
        <rFont val="Times New Roman"/>
        <family val="1"/>
        <charset val="186"/>
      </rPr>
      <t>0,4</t>
    </r>
    <r>
      <rPr>
        <sz val="10"/>
        <color rgb="FFFF0000"/>
        <rFont val="Times New Roman"/>
        <family val="1"/>
        <charset val="186"/>
      </rPr>
      <t xml:space="preserve">   0,38</t>
    </r>
  </si>
  <si>
    <t>Lėšų, skirtų apmokėti elektros išlaidas, liko,  nes po šviesoforų perdavimo UAB „Gatvių apšvietimas“ sumažėjo elektros išlaidos už šviesoforus</t>
  </si>
  <si>
    <t>Paslaugos nupirktos pigiau. Be to palaidota mirusių mažiau nei planuota.</t>
  </si>
  <si>
    <r>
      <rPr>
        <strike/>
        <sz val="10"/>
        <color rgb="FFFF0000"/>
        <rFont val="Times New Roman"/>
        <family val="1"/>
        <charset val="186"/>
      </rPr>
      <t>36</t>
    </r>
    <r>
      <rPr>
        <sz val="10"/>
        <color rgb="FFFF0000"/>
        <rFont val="Times New Roman"/>
        <family val="1"/>
        <charset val="186"/>
      </rPr>
      <t xml:space="preserve">      11</t>
    </r>
  </si>
  <si>
    <t>Priežiūros darbų įvykdyta daugiau nei planuota. Papildomai tvarkytos Sinagogų ir Vitės kapinių teritorijos. Buvo vežami ir grėbiami lapai. Taip pat lėšų trūkumas susidarė, nes daugiau nei planuota darbų atlikta vasarą (papildomi žolės pjovimai).</t>
  </si>
  <si>
    <t>**Pagal Klaipėdos miesto savivaldybės administracijos direktoriaus 2019-12-16 įsakymą Nr. AD1-1513</t>
  </si>
  <si>
    <t xml:space="preserve">Projektas parengtas, vyksta derinimo procedūros. Pabaiga – 2020 m. </t>
  </si>
  <si>
    <t>0</t>
  </si>
  <si>
    <t>64</t>
  </si>
  <si>
    <t>162</t>
  </si>
  <si>
    <t>48</t>
  </si>
  <si>
    <t>Metalinė šiukšliadėžė Daržų g.</t>
  </si>
  <si>
    <t>306</t>
  </si>
  <si>
    <t>385</t>
  </si>
  <si>
    <t>Statybos leidimas gautas. Pasirašyta darbų rangos sutartis. Pabaiga –2022 m.</t>
  </si>
  <si>
    <t>0,4</t>
  </si>
  <si>
    <t>2019 m. planuota parengti projektą, projekto ekspertizė atlikta. Darbai bus tęsiami 2020 m.</t>
  </si>
  <si>
    <t>Statybos leidimas gautas. Pasirašyta darbų rangos sutartis. Darbai tęsiami 2020 m.</t>
  </si>
  <si>
    <t>Aikštelės – I. Simonaitytės g., Reikjaviko g., Taikos pr.</t>
  </si>
  <si>
    <t>Projekto trukmė 2019–2021 m.</t>
  </si>
  <si>
    <t>Atlikta 30 proc. darbų. Rangovui vėluojant atlikti rangos darbus, užbaigimas numatomas 2020 m.</t>
  </si>
  <si>
    <r>
      <rPr>
        <b/>
        <sz val="12"/>
        <rFont val="Times New Roman"/>
        <family val="1"/>
        <charset val="186"/>
      </rPr>
      <t xml:space="preserve">Iš 2019 m. </t>
    </r>
    <r>
      <rPr>
        <sz val="12"/>
        <rFont val="Times New Roman"/>
        <family val="1"/>
        <charset val="186"/>
      </rPr>
      <t xml:space="preserve">planuotų įvykdyti 49 priemonių ir papriemonių (kurioms patvirtinti / skirti asignavimai): </t>
    </r>
  </si>
  <si>
    <t xml:space="preserve">(Skveras tarp Puodžių g. ir Bokštų g., skirtas Vydūno paminklui įrengti)
</t>
  </si>
  <si>
    <t>Darbai vykdomi pagal poreikį.</t>
  </si>
  <si>
    <t>Įsigytos 6 betoninės ir 12 metalinių gėlinių.</t>
  </si>
  <si>
    <t>Nebuvo poreikio.</t>
  </si>
  <si>
    <t>Kriterijaus reikšmė įvykdyta iš dalies.</t>
  </si>
  <si>
    <t>Gautas statybos leidimas.</t>
  </si>
  <si>
    <t>Kriterijaus reikšmė neįvykdyta.</t>
  </si>
  <si>
    <t>Papuošti 436 medžiai.</t>
  </si>
  <si>
    <t>Priežiūros sutartis pasirašyta 2 metams.</t>
  </si>
  <si>
    <t>Statybos leidimas gautas.</t>
  </si>
  <si>
    <t>Vykdoma pagal faktą.</t>
  </si>
  <si>
    <t xml:space="preserve"> Apšvietimas įrengtas 13 teritorijų.</t>
  </si>
  <si>
    <t>Parengti 3 supaprastinti projektai daugiabučių namų kvartaluose bei vienas projektas – Poilsio parke</t>
  </si>
  <si>
    <t>Kriterijaus reikšmė pasiekta iš dalies.</t>
  </si>
  <si>
    <t>Suvartota elektros energijos miesto gatvių apšvietimui vidutiniškai per metus, kWh vienam šviestuvui</t>
  </si>
  <si>
    <t>Kriterijaus reikšmė pasiekta š dalies.</t>
  </si>
  <si>
    <t xml:space="preserve">Atlikti darbai:
- ESO kabelių apsaugojimas;
- paruošti pagrindai naujoms dangoms ir pakloti kabeliai naujam apšvietimui skvere;
- parengtas papildomas susitarimas dėl projekto keitimo (keičiami aikštės grindinio dangos parametrai); 
- akmens grindinio danga pagaminta gruodžio pradžioje, todėl darbai bus užbaigti 2020 m.
</t>
  </si>
  <si>
    <t>Projektas parengtas, tačiau ekspertizė neatlikta. Darbai užsitęsė, kadangi vyko derinimas su  greta esančiu prekybos centru. Projektavimas bus tęsiamas 2020 m.</t>
  </si>
  <si>
    <t>Kriterijaus reikšmė nepasiekta</t>
  </si>
  <si>
    <t>Kriterijaus reikšmė nepasiekta.</t>
  </si>
  <si>
    <t xml:space="preserve">Vanduo tyrimams imtas iš 6 paplūdimių:
Smiltynės I ir II;
Melnragės I ir II;
Melnragės neįgaliųjų ir Girulių.
</t>
  </si>
  <si>
    <t>Projektas parengtas, tačiau tęsiasi derinimo procedūros su šalia esančiu savininku dėl elektros transformatorinės panaudojimo ir užsitęsusio leidimo išdavimo vykdyti darbus miško žemėje. Darbai tęsiami 2020 m.</t>
  </si>
  <si>
    <t>Vyko viešųjų pirkimų procedūros rangovui parinkti. 2020 m. sausį pasirašyta rangos sutartis.</t>
  </si>
  <si>
    <t>Techninis projektas bus pradėtas rengti, kai bus suformuos žemės sklypas, tai suplanuota atlikti 2020 m.</t>
  </si>
  <si>
    <t>Teritorijos Pempininkų tako gale (ties Debreceno g. 18) sutvarkymas</t>
  </si>
  <si>
    <t>Praėjimo take nuo dviračių tako iki Debreceno g. 52 namo;</t>
  </si>
  <si>
    <t>Otų g.</t>
  </si>
  <si>
    <t>Interaktyvios tikslinės teritorijos ir susietų teritorijų ribų žemėlapio programos sukūrimas</t>
  </si>
  <si>
    <t>Želdinių tvarkymas</t>
  </si>
  <si>
    <t xml:space="preserve">Privažiuojamojo kelio ties Baltijos pr. 109 lietaus nuotekų tinklų tiesimas
</t>
  </si>
  <si>
    <t>____________________________________</t>
  </si>
  <si>
    <r>
      <t xml:space="preserve">Europos Sąjungos paramos lėšos, kurios įtrauktos į savivaldybės biudžetą </t>
    </r>
    <r>
      <rPr>
        <b/>
        <sz val="10"/>
        <rFont val="Times New Roman"/>
        <family val="1"/>
        <charset val="186"/>
      </rPr>
      <t>SB(ES)</t>
    </r>
  </si>
  <si>
    <t>Miesto paplūdimių, turinčių mėlynosios vėliavos statusą, skaičius</t>
  </si>
  <si>
    <t xml:space="preserve">Eksploatuojami 4 fontanai: „Taravos Anikė“; „Laivelis“ skvere prie „Meridiano“; Debreceno aikštės fontanas; Pempininkų aikštės fontanas.
</t>
  </si>
  <si>
    <t xml:space="preserve">Buvo apsodinta našlaitėmis 64 vnt. pastatomų gėlinių.
Vasaros laikotarpiu apsodinta gėlėmis – 84 vazos, 5 „boružės“, 26 erdvinės tūrinės gėlinės, 144 pakabinami vazonai.
</t>
  </si>
  <si>
    <t>remontuota šiukšliadėžių, vnt.</t>
  </si>
  <si>
    <t>remontuota suoliukų, vnt.</t>
  </si>
  <si>
    <t xml:space="preserve">Sąjūdžio parke (44);
Naujakiemio g. take (1);
Pempininkų mikrorajone (19);
Debreceno a. (85);
Karslkronos a. (1);
Pamario g. (3);
prie Onkologinės ligoninės (4);
Kančių skverelyje (2);
aikštėje prie „Meridiano“ (1);
Vėtrungės ir Panevėžio stotelėse (2 ).
</t>
  </si>
  <si>
    <t>Pasiūlyta kalėdinės eglės įrengimo kaina  buvo didesnė, nei planuotas finansavimas. Nuspręsta eglės neįrengti, o lėšas panaudoti apšviečiant daugiau miesto gatvių šventiniais (kalėdiniais) papuošalais.</t>
  </si>
  <si>
    <t>Priemonės finansavimas buvo atidėtas Savivaldybės tarybos 2019-10-24 sprendimu Nr. T2-293, kadangi užsitęsė projektavimo darbai. Projektas parengtas, įvykdytas rangos darbų konkursas.</t>
  </si>
  <si>
    <t>Projektas parengtas, tačiau vyksta derinimas Informacinėje sistemoje (toliau – IS) Infostatyba. Projektuotojas laiku neįvykdė įsipareigojimų, todėl darbai bus tęsiami 2020 m. Aikštės įrengimo darbai planuojami 2021–2022 m.</t>
  </si>
  <si>
    <t>Dėl užsitęsusio prisijungimo prie vandentiekio tinklų sąlygų gavimo Kruizinių laivų terminalo tualeto tinklų projektavimas bus perkamas kartu su darbais 2020 m.</t>
  </si>
  <si>
    <t xml:space="preserve">Nugriauta:
1. L.-d. „Radastėlė“, Galinio Pylimo g. 16A, teritorijoje buvęs sandėliukas;
2. L.-d. „Žilvitis“, Vyšniu g. 13  – požeminis rūsys;
3. L.-d. „Žuvėdra“, Debreceno g. 24 – požeminis rūsys;
4. L.-d. „Pagrandukas“, Žardininkų g. 10 – pavėsinės;
5. L.-d. „Du gaideliai“, Laukininkų g. 56 – pavėsinės;
6. Sandėliukai Dariaus ir Girėno g. 19;
7. Siurblinė Danės g. 9;
8. Informacinis stendas Perkėlos g. 8;
9. Betoniniai stulpeliai Taikos pr. 160 – Kairių g.;
10. Statinys Rūko g. 3;
11. Sandėliukai I. Kanto g. 18; 
12. Sandėliukai Bangų g. 13;
13. Sandėliukai S. Nėries g. 12.
</t>
  </si>
  <si>
    <t>Finansavimas šiai papriemonei buvo sumažintas Savivaldybės tarybos 2019-10-24 sprendimu Nr. T2-293, kadangi užsitęsė projektavimo darbai. Paaiškėjo, kad paprastojo darbų aprašo šlaitų sutvirtinimui neužtenka, reikalingas techninis projektas. Projektas parengtas. 2020 m. sausio mėn. pradėtas šlaitų stabilizavimo darbų paslaugos pirkimas.</t>
  </si>
  <si>
    <t>Atlikta vandens maudyklų tyrimų, skaičius</t>
  </si>
  <si>
    <t>Antrosios Melnragės gelbėjimo stotyje esančios kavinės nuoma</t>
  </si>
  <si>
    <t>Pasirasirašyta sutartis dėl dalyvavimo Mėlynosios vėliavos programoje pagrindiniame Smiltynės ir Antrosios Melnragės paplūdimiuose, vnt.</t>
  </si>
  <si>
    <t>Suvartota elektros energijos, tūkst. MWh</t>
  </si>
  <si>
    <t xml:space="preserve">Atlikta:
Aukštosios g. ruožas nuo Daržų g. iki Turgaus a.;
takas ties Debreceno g. 52–58A;
Otų g. ir Pievų Tako g. 
</t>
  </si>
  <si>
    <t>2019 m. rugpjūčio mėn. gauta techninio projekto (toliau – TP) teigiama ekspertizės išvada. TP turėjo būti keliamas į IS „Infostatyba“ statybos leidimui gauti, tačiau dėl didelės projektuojamo objekto kainos nebuvo užsakovo pritarimo projektiniams sprendiniams. Be pritarimo projektiniams sprendiniams negalima pradėti derinimo procedūrų IS „Infostatyba“. Parengti pirkimo dokumentai TP audito paslaugų pirkimui siekiant išsiaiškinti, ar galima projektuoti konstrukcijas kitaip, siekiant sumažinti objekto kainą.</t>
  </si>
  <si>
    <t>Statybos leidimas gautas. Pasirašyta darbų rangos sutartis. Pabaiga – 2021 m.</t>
  </si>
  <si>
    <t>Statybos leidimas gautas. Pasirašyta darbų rangos sutartis. Pabaiga – 2022 m.</t>
  </si>
  <si>
    <t>Priemonės finansavimo apimtis 2019 m. ir atliktų darbų planas buvo pakeisti Savivaldybės tarybos 2019-10-24 sprendimu Nr. T2-293, kadangi užsitęsė projektavimo darbai.</t>
  </si>
  <si>
    <t>Buvo pasirašytas TP koregavimo papildomas susitarimas dėl papildomų Turgaus aikštės prieigų įtraukimo (Bružės g. ir Turgaus aikštės tęsinio (nuo Turgaus a. 21 namo iki Pilies g.)) 2019-12-06 atlikta 40 proc. projektavimo darbų. Darbai bus tęsiami 2020 m.</t>
  </si>
  <si>
    <t xml:space="preserve">Parengta žemėlapio programa,  skirta 2014–2020 m. integruotų investicijų programos projektų viešinimui, vnt. </t>
  </si>
  <si>
    <t xml:space="preserve">Išvežta mirusiųjų iš įvykio vietos, skaičius </t>
  </si>
  <si>
    <t xml:space="preserve">Darbai užbaigti – I. Simonaitytės g., Panevėžio g. ir Utenos g.; 
Tęsiami darbai – I. Kanto g. ir Kauno g. 31–35;
Vyksta projektavimas – KLASCO teritorijos kolektoriaus ir J. Janonio g.
</t>
  </si>
  <si>
    <t xml:space="preserve">Techninis projektas pradėtas rengti, tačiau paaiškėjo, kad reikia atlikti detaliojo plano sprendinių ir miškų plotų schemos pakeitimą.
Savivaldybė kreipėsi į Nacionalinę žemės tarnybą (NŽT) dėl miškų plotų schemos pakeitimo, tačiau atsakymas gautas su neigiama išvada, todėl po 2019-09-12 pasitarimo buvo nutarta Į NŽT kreiptis pakartotinai. 
Norimo sprendinio be valstybinių miškų plotų schemos pakeitimo nebus galima padaryti. Projektavimo darbai bus tęsiami  2020 m.
</t>
  </si>
  <si>
    <t xml:space="preserve">Klaipėdos miesto savivaldybės 2019–2021 m. 
strateginio veiklos plano įgyvendinimo        
</t>
  </si>
  <si>
    <t xml:space="preserve"> 2019 m. ataskaitos dalis</t>
  </si>
  <si>
    <t xml:space="preserve">Atlikti darbai kiemuose:
I. Kanto g. 21, J. Janonio g. 16–18;
S. Daukanto g. 26, Sportininkų g. 12; 
Šaulių g. 56, Panevėžio g. 5–19;
Taikos pr. 55–57, Taikos pr. 21;
Dzūkų g. 6, Vingio g. 1;
Šilutės pl. 82–88, Liubeko g. 7–9;
Liepų g. 40 iki 46A kiemuose.
</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</si>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</sst>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409]General"/>
    <numFmt numFmtId="167" formatCode="[$-10427]#,##0.00;\-#,##0.00;&quot;&quot;"/>
  </numFmts>
  <fonts count="47"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sz val="9"/>
      <name val="Times New Roman"/>
      <family val="1"/>
      <charset val="186"/>
    </font>
    <font>
      <sz val="9"/>
      <color indexed="81"/>
      <name val="Tahoma"/>
      <family val="2"/>
      <charset val="186"/>
    </font>
    <font>
      <sz val="10"/>
      <name val="Times New Roman"/>
      <family val="1"/>
    </font>
    <font>
      <b/>
      <sz val="9"/>
      <name val="Times New Roman"/>
      <family val="1"/>
      <charset val="186"/>
    </font>
    <font>
      <b/>
      <sz val="10"/>
      <name val="Times New Roman"/>
      <family val="1"/>
      <charset val="204"/>
    </font>
    <font>
      <sz val="10"/>
      <name val="Times New Roman"/>
      <family val="1"/>
      <charset val="204"/>
    </font>
    <font>
      <b/>
      <sz val="10"/>
      <name val="Times New Roman"/>
      <family val="1"/>
    </font>
    <font>
      <sz val="10"/>
      <color rgb="FFFF0000"/>
      <name val="Times New Roman"/>
      <family val="1"/>
      <charset val="186"/>
    </font>
    <font>
      <b/>
      <sz val="9"/>
      <color indexed="81"/>
      <name val="Tahoma"/>
      <family val="2"/>
      <charset val="186"/>
    </font>
    <font>
      <b/>
      <sz val="10"/>
      <name val="Arial"/>
      <family val="2"/>
      <charset val="186"/>
    </font>
    <font>
      <i/>
      <sz val="10"/>
      <name val="Times New Roman"/>
      <family val="1"/>
      <charset val="186"/>
    </font>
    <font>
      <sz val="11"/>
      <name val="Times New Roman"/>
      <family val="1"/>
      <charset val="186"/>
    </font>
    <font>
      <b/>
      <sz val="9"/>
      <name val="Arial"/>
      <family val="2"/>
      <charset val="186"/>
    </font>
    <font>
      <u/>
      <sz val="10"/>
      <name val="Times New Roman"/>
      <family val="1"/>
      <charset val="186"/>
    </font>
    <font>
      <b/>
      <sz val="10"/>
      <color theme="1"/>
      <name val="Times New Roman"/>
      <family val="1"/>
      <charset val="186"/>
    </font>
    <font>
      <sz val="10"/>
      <color rgb="FF000000"/>
      <name val="Times New Roman"/>
      <family val="1"/>
      <charset val="186"/>
    </font>
    <font>
      <sz val="11"/>
      <name val="Times New Roman"/>
      <family val="1"/>
    </font>
    <font>
      <b/>
      <sz val="11"/>
      <name val="Times New Roman"/>
      <family val="1"/>
      <charset val="186"/>
    </font>
    <font>
      <sz val="7"/>
      <name val="Times New Roman"/>
      <family val="1"/>
      <charset val="186"/>
    </font>
    <font>
      <sz val="11"/>
      <color rgb="FF000000"/>
      <name val="Calibri"/>
      <family val="2"/>
      <charset val="186"/>
    </font>
    <font>
      <b/>
      <sz val="10"/>
      <color rgb="FF000000"/>
      <name val="Times New Roman"/>
      <family val="1"/>
      <charset val="186"/>
    </font>
    <font>
      <sz val="11"/>
      <name val="Calibri"/>
      <family val="2"/>
      <charset val="186"/>
      <scheme val="minor"/>
    </font>
    <font>
      <b/>
      <i/>
      <sz val="11"/>
      <name val="Times New Roman"/>
      <family val="1"/>
      <charset val="186"/>
    </font>
    <font>
      <b/>
      <i/>
      <sz val="11"/>
      <name val="Arial"/>
      <family val="2"/>
      <charset val="186"/>
    </font>
    <font>
      <sz val="10"/>
      <color theme="1"/>
      <name val="Times New Roman"/>
      <family val="1"/>
      <charset val="186"/>
    </font>
    <font>
      <strike/>
      <sz val="10"/>
      <color rgb="FFFF0000"/>
      <name val="Times New Roman"/>
      <family val="1"/>
      <charset val="186"/>
    </font>
    <font>
      <b/>
      <sz val="10"/>
      <color rgb="FFFF0000"/>
      <name val="Times New Roman"/>
      <family val="1"/>
      <charset val="186"/>
    </font>
    <font>
      <b/>
      <sz val="10"/>
      <name val="Cambria"/>
      <family val="1"/>
      <charset val="186"/>
    </font>
    <font>
      <sz val="10"/>
      <name val="Cambria"/>
      <family val="1"/>
      <charset val="186"/>
    </font>
    <font>
      <strike/>
      <sz val="10"/>
      <name val="Times New Roman"/>
      <family val="1"/>
      <charset val="186"/>
    </font>
    <font>
      <sz val="10"/>
      <color rgb="FFFF0000"/>
      <name val="Times New Roman"/>
      <family val="1"/>
    </font>
    <font>
      <sz val="10"/>
      <color theme="0"/>
      <name val="Times New Roman"/>
      <family val="1"/>
      <charset val="186"/>
    </font>
    <font>
      <sz val="8"/>
      <color rgb="FFFF0000"/>
      <name val="Times New Roman"/>
      <family val="1"/>
      <charset val="186"/>
    </font>
    <font>
      <strike/>
      <sz val="8"/>
      <color rgb="FFFF0000"/>
      <name val="Times New Roman"/>
      <family val="1"/>
      <charset val="186"/>
    </font>
    <font>
      <b/>
      <sz val="11"/>
      <color rgb="FF000000"/>
      <name val="Times New Roman"/>
      <family val="1"/>
      <charset val="186"/>
    </font>
    <font>
      <sz val="11"/>
      <color rgb="FF000000"/>
      <name val="Times New Roman"/>
      <family val="1"/>
      <charset val="186"/>
    </font>
    <font>
      <sz val="9"/>
      <color indexed="81"/>
      <name val="Tahoma"/>
      <charset val="1"/>
    </font>
    <font>
      <b/>
      <sz val="9"/>
      <color indexed="81"/>
      <name val="Tahoma"/>
      <charset val="1"/>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theme="0"/>
        <bgColor rgb="FFD9D9D9"/>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rgb="FFFFFFFF"/>
        <bgColor indexed="64"/>
      </patternFill>
    </fill>
    <fill>
      <patternFill patternType="solid">
        <fgColor theme="4" tint="0.79998168889431442"/>
        <bgColor indexed="64"/>
      </patternFill>
    </fill>
    <fill>
      <patternFill patternType="solid">
        <fgColor theme="6" tint="0.59999389629810485"/>
        <bgColor indexed="64"/>
      </patternFill>
    </fill>
  </fills>
  <borders count="129">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diagonal/>
    </border>
    <border>
      <left style="medium">
        <color indexed="64"/>
      </left>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7" fillId="0" borderId="0"/>
    <xf numFmtId="0" fontId="3" fillId="2" borderId="1" applyBorder="0">
      <alignment horizontal="left" vertical="top" wrapText="1"/>
    </xf>
    <xf numFmtId="166" fontId="28" fillId="0" borderId="0" applyBorder="0" applyProtection="0"/>
  </cellStyleXfs>
  <cellXfs count="1404">
    <xf numFmtId="0" fontId="0" fillId="0" borderId="0" xfId="0"/>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49" fontId="5" fillId="3" borderId="3" xfId="0" applyNumberFormat="1" applyFont="1" applyFill="1" applyBorder="1" applyAlignment="1">
      <alignment horizontal="center" vertical="top"/>
    </xf>
    <xf numFmtId="0" fontId="3" fillId="0" borderId="4" xfId="0" applyFont="1" applyFill="1" applyBorder="1" applyAlignment="1">
      <alignment horizontal="center" vertical="top" wrapText="1"/>
    </xf>
    <xf numFmtId="0" fontId="3" fillId="0" borderId="0" xfId="0" applyFont="1" applyFill="1" applyBorder="1" applyAlignment="1">
      <alignment vertical="top"/>
    </xf>
    <xf numFmtId="0" fontId="3" fillId="0" borderId="0" xfId="0" applyFont="1" applyFill="1" applyAlignment="1">
      <alignment vertical="top"/>
    </xf>
    <xf numFmtId="0" fontId="3" fillId="2" borderId="0" xfId="0" applyFont="1" applyFill="1" applyAlignment="1">
      <alignment vertical="top"/>
    </xf>
    <xf numFmtId="0" fontId="7" fillId="0" borderId="0" xfId="0" applyFont="1"/>
    <xf numFmtId="0" fontId="3" fillId="0" borderId="0" xfId="0" applyFont="1" applyAlignment="1">
      <alignment vertical="center"/>
    </xf>
    <xf numFmtId="165" fontId="3" fillId="0" borderId="0" xfId="0" applyNumberFormat="1" applyFont="1" applyAlignment="1">
      <alignment vertical="top"/>
    </xf>
    <xf numFmtId="0" fontId="3" fillId="0" borderId="0" xfId="0" applyNumberFormat="1" applyFont="1" applyFill="1" applyBorder="1" applyAlignment="1">
      <alignment vertical="top" wrapText="1"/>
    </xf>
    <xf numFmtId="0" fontId="5" fillId="0" borderId="0" xfId="0" applyNumberFormat="1" applyFont="1" applyAlignment="1">
      <alignment horizontal="center" vertical="top"/>
    </xf>
    <xf numFmtId="0" fontId="3" fillId="0" borderId="0" xfId="0" applyFont="1" applyAlignment="1">
      <alignment horizontal="center" vertical="top"/>
    </xf>
    <xf numFmtId="49" fontId="5" fillId="4" borderId="51" xfId="0" applyNumberFormat="1" applyFont="1" applyFill="1" applyBorder="1" applyAlignment="1">
      <alignment horizontal="center" vertical="top"/>
    </xf>
    <xf numFmtId="0" fontId="3" fillId="0" borderId="19" xfId="0" applyFont="1" applyFill="1" applyBorder="1" applyAlignment="1">
      <alignment horizontal="center" vertical="top" wrapText="1"/>
    </xf>
    <xf numFmtId="0" fontId="3" fillId="6" borderId="7" xfId="0" applyFont="1" applyFill="1" applyBorder="1" applyAlignment="1">
      <alignment horizontal="center" vertical="top"/>
    </xf>
    <xf numFmtId="49" fontId="5" fillId="10" borderId="35" xfId="0" applyNumberFormat="1" applyFont="1" applyFill="1" applyBorder="1" applyAlignment="1">
      <alignment horizontal="center" vertical="top"/>
    </xf>
    <xf numFmtId="49" fontId="5" fillId="10" borderId="30" xfId="0" applyNumberFormat="1" applyFont="1" applyFill="1" applyBorder="1" applyAlignment="1">
      <alignment horizontal="center" vertical="top"/>
    </xf>
    <xf numFmtId="49" fontId="5" fillId="10" borderId="51" xfId="0" applyNumberFormat="1" applyFont="1" applyFill="1" applyBorder="1" applyAlignment="1">
      <alignment horizontal="center" vertical="top"/>
    </xf>
    <xf numFmtId="49" fontId="5" fillId="10" borderId="55" xfId="0" applyNumberFormat="1" applyFont="1" applyFill="1" applyBorder="1" applyAlignment="1">
      <alignment horizontal="center" vertical="top"/>
    </xf>
    <xf numFmtId="49" fontId="5" fillId="10" borderId="6" xfId="0" applyNumberFormat="1" applyFont="1" applyFill="1" applyBorder="1" applyAlignment="1">
      <alignment horizontal="center" vertical="top" wrapText="1"/>
    </xf>
    <xf numFmtId="0" fontId="3" fillId="6" borderId="69" xfId="0" applyFont="1" applyFill="1" applyBorder="1" applyAlignment="1">
      <alignment horizontal="left" vertical="top" wrapText="1"/>
    </xf>
    <xf numFmtId="3" fontId="3" fillId="6" borderId="17" xfId="0" applyNumberFormat="1" applyFont="1" applyFill="1" applyBorder="1" applyAlignment="1">
      <alignment horizontal="center" vertical="top" wrapText="1"/>
    </xf>
    <xf numFmtId="0" fontId="5" fillId="8" borderId="30" xfId="0" applyFont="1" applyFill="1" applyBorder="1" applyAlignment="1">
      <alignment horizontal="center" vertical="top"/>
    </xf>
    <xf numFmtId="49" fontId="5" fillId="10" borderId="12"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3" fontId="3" fillId="6" borderId="21" xfId="0" applyNumberFormat="1" applyFont="1" applyFill="1" applyBorder="1" applyAlignment="1">
      <alignment horizontal="center" vertical="top" wrapText="1"/>
    </xf>
    <xf numFmtId="0" fontId="3" fillId="6" borderId="69" xfId="0" applyFont="1" applyFill="1" applyBorder="1" applyAlignment="1">
      <alignment vertical="top" wrapText="1"/>
    </xf>
    <xf numFmtId="0" fontId="3" fillId="0" borderId="83" xfId="0" applyFont="1" applyFill="1" applyBorder="1" applyAlignment="1">
      <alignment vertical="top" wrapText="1"/>
    </xf>
    <xf numFmtId="3" fontId="3" fillId="0" borderId="0" xfId="0" applyNumberFormat="1" applyFont="1" applyAlignment="1">
      <alignment vertical="top"/>
    </xf>
    <xf numFmtId="0" fontId="3" fillId="2" borderId="74" xfId="0" applyFont="1" applyFill="1" applyBorder="1" applyAlignment="1">
      <alignment horizontal="left" vertical="top" wrapText="1"/>
    </xf>
    <xf numFmtId="3" fontId="3" fillId="0" borderId="0" xfId="0" applyNumberFormat="1" applyFont="1" applyBorder="1" applyAlignment="1">
      <alignment vertical="top"/>
    </xf>
    <xf numFmtId="3" fontId="15" fillId="8" borderId="30" xfId="0" applyNumberFormat="1" applyFont="1" applyFill="1" applyBorder="1" applyAlignment="1">
      <alignment horizontal="right" vertical="top"/>
    </xf>
    <xf numFmtId="0" fontId="5" fillId="6" borderId="15"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4" xfId="0" applyFont="1" applyFill="1" applyBorder="1" applyAlignment="1">
      <alignment horizontal="center" vertical="top"/>
    </xf>
    <xf numFmtId="0" fontId="3" fillId="6" borderId="19" xfId="0" applyFont="1" applyFill="1" applyBorder="1" applyAlignment="1">
      <alignment horizontal="center" vertical="top"/>
    </xf>
    <xf numFmtId="0" fontId="3" fillId="6" borderId="5" xfId="0" applyFont="1" applyFill="1" applyBorder="1" applyAlignment="1">
      <alignment horizontal="center" vertical="top" wrapText="1"/>
    </xf>
    <xf numFmtId="49" fontId="5" fillId="9" borderId="21" xfId="0" applyNumberFormat="1" applyFont="1" applyFill="1" applyBorder="1" applyAlignment="1">
      <alignment horizontal="center" vertical="top"/>
    </xf>
    <xf numFmtId="49" fontId="3" fillId="6" borderId="41" xfId="0" applyNumberFormat="1" applyFont="1" applyFill="1" applyBorder="1" applyAlignment="1">
      <alignment horizontal="center" vertical="top"/>
    </xf>
    <xf numFmtId="49" fontId="3" fillId="6" borderId="7" xfId="0" applyNumberFormat="1" applyFont="1" applyFill="1" applyBorder="1" applyAlignment="1">
      <alignment horizontal="center" vertical="top"/>
    </xf>
    <xf numFmtId="49" fontId="5" fillId="6" borderId="0" xfId="0" applyNumberFormat="1" applyFont="1" applyFill="1" applyBorder="1" applyAlignment="1">
      <alignment horizontal="center" vertical="top"/>
    </xf>
    <xf numFmtId="49" fontId="5" fillId="3" borderId="67" xfId="0" applyNumberFormat="1" applyFont="1" applyFill="1" applyBorder="1" applyAlignment="1">
      <alignment horizontal="center" vertical="top"/>
    </xf>
    <xf numFmtId="0" fontId="7" fillId="6" borderId="15" xfId="0" applyFont="1" applyFill="1" applyBorder="1" applyAlignment="1">
      <alignment horizontal="center" vertical="center" wrapText="1"/>
    </xf>
    <xf numFmtId="49" fontId="5" fillId="11" borderId="65" xfId="0" applyNumberFormat="1" applyFont="1" applyFill="1" applyBorder="1" applyAlignment="1">
      <alignment horizontal="center" vertical="top"/>
    </xf>
    <xf numFmtId="49" fontId="5" fillId="11" borderId="35" xfId="0" applyNumberFormat="1" applyFont="1" applyFill="1" applyBorder="1" applyAlignment="1">
      <alignment horizontal="center" vertical="top"/>
    </xf>
    <xf numFmtId="0" fontId="7" fillId="6" borderId="34" xfId="0" applyFont="1" applyFill="1" applyBorder="1" applyAlignment="1">
      <alignment horizontal="center" vertical="center" textRotation="90" wrapText="1"/>
    </xf>
    <xf numFmtId="0" fontId="3" fillId="6" borderId="76" xfId="0" applyFont="1" applyFill="1" applyBorder="1" applyAlignment="1">
      <alignment vertical="center" wrapText="1"/>
    </xf>
    <xf numFmtId="165" fontId="5" fillId="8" borderId="18" xfId="0" applyNumberFormat="1" applyFont="1" applyFill="1" applyBorder="1" applyAlignment="1">
      <alignment horizontal="center" vertical="top" wrapText="1"/>
    </xf>
    <xf numFmtId="165" fontId="3" fillId="0" borderId="18" xfId="0" applyNumberFormat="1" applyFont="1" applyBorder="1" applyAlignment="1">
      <alignment horizontal="center" vertical="top" wrapText="1"/>
    </xf>
    <xf numFmtId="165" fontId="3" fillId="8" borderId="18" xfId="0" applyNumberFormat="1" applyFont="1" applyFill="1" applyBorder="1" applyAlignment="1">
      <alignment horizontal="center" vertical="top" wrapText="1"/>
    </xf>
    <xf numFmtId="0" fontId="7" fillId="6" borderId="13" xfId="0" applyFont="1" applyFill="1" applyBorder="1" applyAlignment="1">
      <alignment horizontal="center" vertical="center" textRotation="90" wrapText="1"/>
    </xf>
    <xf numFmtId="165" fontId="3" fillId="6" borderId="0" xfId="0" applyNumberFormat="1" applyFont="1" applyFill="1" applyBorder="1" applyAlignment="1">
      <alignment horizontal="center" vertical="top"/>
    </xf>
    <xf numFmtId="165" fontId="3" fillId="6" borderId="4" xfId="0" applyNumberFormat="1" applyFont="1" applyFill="1" applyBorder="1" applyAlignment="1">
      <alignment horizontal="center" vertical="top"/>
    </xf>
    <xf numFmtId="165" fontId="3" fillId="6" borderId="19" xfId="0" applyNumberFormat="1" applyFont="1" applyFill="1" applyBorder="1" applyAlignment="1">
      <alignment horizontal="center" vertical="top"/>
    </xf>
    <xf numFmtId="165" fontId="3" fillId="6" borderId="18" xfId="0" applyNumberFormat="1" applyFont="1" applyFill="1" applyBorder="1" applyAlignment="1">
      <alignment horizontal="center" vertical="top"/>
    </xf>
    <xf numFmtId="165" fontId="5" fillId="3" borderId="20" xfId="0" applyNumberFormat="1" applyFont="1" applyFill="1" applyBorder="1" applyAlignment="1">
      <alignment horizontal="center" vertical="top"/>
    </xf>
    <xf numFmtId="165" fontId="3" fillId="6" borderId="52" xfId="0" applyNumberFormat="1" applyFont="1" applyFill="1" applyBorder="1" applyAlignment="1">
      <alignment horizontal="center" vertical="top"/>
    </xf>
    <xf numFmtId="165" fontId="5" fillId="4" borderId="55"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0" fontId="5" fillId="6" borderId="63" xfId="0" applyFont="1" applyFill="1" applyBorder="1" applyAlignment="1">
      <alignment horizontal="center" vertical="top" wrapText="1"/>
    </xf>
    <xf numFmtId="0" fontId="5" fillId="6" borderId="34" xfId="0" applyFont="1" applyFill="1" applyBorder="1" applyAlignment="1">
      <alignment horizontal="center" vertical="top" wrapText="1"/>
    </xf>
    <xf numFmtId="3" fontId="5" fillId="6" borderId="23" xfId="0" applyNumberFormat="1" applyFont="1" applyFill="1" applyBorder="1" applyAlignment="1">
      <alignment horizontal="center" vertical="top" wrapText="1"/>
    </xf>
    <xf numFmtId="3" fontId="5" fillId="6" borderId="13" xfId="0" applyNumberFormat="1" applyFont="1" applyFill="1" applyBorder="1" applyAlignment="1">
      <alignment horizontal="center" vertical="top" wrapText="1"/>
    </xf>
    <xf numFmtId="165" fontId="3" fillId="6" borderId="41" xfId="0" applyNumberFormat="1" applyFont="1" applyFill="1" applyBorder="1" applyAlignment="1">
      <alignment horizontal="center" vertical="top"/>
    </xf>
    <xf numFmtId="165" fontId="3" fillId="6" borderId="65" xfId="0" applyNumberFormat="1" applyFont="1" applyFill="1" applyBorder="1" applyAlignment="1">
      <alignment horizontal="center" vertical="top"/>
    </xf>
    <xf numFmtId="0" fontId="3" fillId="6" borderId="0" xfId="0" applyFont="1" applyFill="1" applyBorder="1" applyAlignment="1">
      <alignment vertical="top" wrapText="1"/>
    </xf>
    <xf numFmtId="165" fontId="3" fillId="0" borderId="19" xfId="0" applyNumberFormat="1" applyFont="1" applyBorder="1" applyAlignment="1">
      <alignment horizontal="center" vertical="top"/>
    </xf>
    <xf numFmtId="3" fontId="3" fillId="6" borderId="45" xfId="0" applyNumberFormat="1" applyFont="1" applyFill="1" applyBorder="1" applyAlignment="1">
      <alignment horizontal="center" vertical="top" wrapText="1"/>
    </xf>
    <xf numFmtId="3" fontId="3" fillId="6" borderId="27" xfId="0" applyNumberFormat="1" applyFont="1" applyFill="1" applyBorder="1" applyAlignment="1">
      <alignment horizontal="center" vertical="top" wrapText="1"/>
    </xf>
    <xf numFmtId="165" fontId="3" fillId="6" borderId="48" xfId="0" applyNumberFormat="1" applyFont="1" applyFill="1" applyBorder="1" applyAlignment="1">
      <alignment horizontal="center" vertical="top" wrapText="1"/>
    </xf>
    <xf numFmtId="165" fontId="3" fillId="2" borderId="72" xfId="0" applyNumberFormat="1" applyFont="1" applyFill="1" applyBorder="1" applyAlignment="1">
      <alignment horizontal="center" vertical="top"/>
    </xf>
    <xf numFmtId="3" fontId="3" fillId="6" borderId="13" xfId="1" applyNumberFormat="1" applyFont="1" applyFill="1" applyBorder="1" applyAlignment="1">
      <alignment horizontal="center" vertical="top"/>
    </xf>
    <xf numFmtId="164" fontId="2" fillId="6" borderId="17" xfId="0" applyNumberFormat="1" applyFont="1" applyFill="1" applyBorder="1" applyAlignment="1">
      <alignment horizontal="center" vertical="center" wrapText="1"/>
    </xf>
    <xf numFmtId="4" fontId="3" fillId="2" borderId="45" xfId="0" applyNumberFormat="1" applyFont="1" applyFill="1" applyBorder="1" applyAlignment="1">
      <alignment horizontal="center" vertical="top"/>
    </xf>
    <xf numFmtId="165" fontId="3" fillId="6" borderId="5" xfId="0" applyNumberFormat="1" applyFont="1" applyFill="1" applyBorder="1" applyAlignment="1">
      <alignment horizontal="center" vertical="top"/>
    </xf>
    <xf numFmtId="165" fontId="3" fillId="6" borderId="48" xfId="0" applyNumberFormat="1" applyFont="1" applyFill="1" applyBorder="1" applyAlignment="1">
      <alignment horizontal="center" vertical="top"/>
    </xf>
    <xf numFmtId="165" fontId="3" fillId="6" borderId="50" xfId="0" applyNumberFormat="1" applyFont="1" applyFill="1" applyBorder="1" applyAlignment="1">
      <alignment horizontal="center" vertical="top"/>
    </xf>
    <xf numFmtId="165" fontId="3" fillId="6" borderId="47" xfId="0" applyNumberFormat="1" applyFont="1" applyFill="1" applyBorder="1" applyAlignment="1">
      <alignment horizontal="center" vertical="top"/>
    </xf>
    <xf numFmtId="165" fontId="3" fillId="6" borderId="48" xfId="0" applyNumberFormat="1" applyFont="1" applyFill="1" applyBorder="1" applyAlignment="1">
      <alignment horizontal="center" vertical="center"/>
    </xf>
    <xf numFmtId="165" fontId="3" fillId="6" borderId="7" xfId="0" applyNumberFormat="1" applyFont="1" applyFill="1" applyBorder="1" applyAlignment="1">
      <alignment horizontal="center" vertical="center"/>
    </xf>
    <xf numFmtId="49" fontId="3" fillId="6" borderId="0" xfId="0" applyNumberFormat="1" applyFont="1" applyFill="1" applyBorder="1" applyAlignment="1">
      <alignment horizontal="center" vertical="top" wrapText="1"/>
    </xf>
    <xf numFmtId="165" fontId="5" fillId="8" borderId="57" xfId="0" applyNumberFormat="1" applyFont="1" applyFill="1" applyBorder="1" applyAlignment="1">
      <alignment horizontal="center" vertical="top"/>
    </xf>
    <xf numFmtId="165" fontId="3" fillId="6" borderId="7" xfId="0" applyNumberFormat="1" applyFont="1" applyFill="1" applyBorder="1" applyAlignment="1">
      <alignment horizontal="center" vertical="top" wrapText="1"/>
    </xf>
    <xf numFmtId="165" fontId="3" fillId="6" borderId="19" xfId="0" applyNumberFormat="1" applyFont="1" applyFill="1" applyBorder="1" applyAlignment="1">
      <alignment horizontal="center" vertical="top" wrapText="1"/>
    </xf>
    <xf numFmtId="3" fontId="3" fillId="6" borderId="45" xfId="0" applyNumberFormat="1" applyFont="1" applyFill="1" applyBorder="1" applyAlignment="1">
      <alignment horizontal="center" vertical="top"/>
    </xf>
    <xf numFmtId="0" fontId="3" fillId="6" borderId="13" xfId="0" applyFont="1" applyFill="1" applyBorder="1" applyAlignment="1">
      <alignment horizontal="center" vertical="top"/>
    </xf>
    <xf numFmtId="3" fontId="3" fillId="6" borderId="13" xfId="0" applyNumberFormat="1" applyFont="1" applyFill="1" applyBorder="1" applyAlignment="1">
      <alignment horizontal="center" vertical="top"/>
    </xf>
    <xf numFmtId="3" fontId="3" fillId="6" borderId="17" xfId="0" applyNumberFormat="1" applyFont="1" applyFill="1" applyBorder="1" applyAlignment="1">
      <alignment horizontal="center" vertical="top"/>
    </xf>
    <xf numFmtId="3" fontId="3" fillId="6" borderId="29" xfId="0" applyNumberFormat="1" applyFont="1" applyFill="1" applyBorder="1" applyAlignment="1">
      <alignment horizontal="center" vertical="top"/>
    </xf>
    <xf numFmtId="165" fontId="5" fillId="8" borderId="30" xfId="0" applyNumberFormat="1" applyFont="1" applyFill="1" applyBorder="1" applyAlignment="1">
      <alignment horizontal="center" vertical="top"/>
    </xf>
    <xf numFmtId="0" fontId="3" fillId="6" borderId="41" xfId="0" applyFont="1" applyFill="1" applyBorder="1" applyAlignment="1">
      <alignment horizontal="center" vertical="top" wrapText="1"/>
    </xf>
    <xf numFmtId="3" fontId="3" fillId="6" borderId="22" xfId="0" applyNumberFormat="1" applyFont="1" applyFill="1" applyBorder="1" applyAlignment="1">
      <alignment horizontal="center" vertical="top"/>
    </xf>
    <xf numFmtId="165" fontId="3" fillId="6" borderId="49" xfId="0" applyNumberFormat="1" applyFont="1" applyFill="1" applyBorder="1" applyAlignment="1">
      <alignment horizontal="center" vertical="top"/>
    </xf>
    <xf numFmtId="0" fontId="3" fillId="6" borderId="13" xfId="0" applyFont="1" applyFill="1" applyBorder="1" applyAlignment="1">
      <alignment horizontal="center" vertical="top" wrapText="1"/>
    </xf>
    <xf numFmtId="0" fontId="3" fillId="6" borderId="29" xfId="0" applyFont="1" applyFill="1" applyBorder="1" applyAlignment="1">
      <alignment horizontal="center" vertical="top" wrapText="1"/>
    </xf>
    <xf numFmtId="1" fontId="3" fillId="6" borderId="70"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xf>
    <xf numFmtId="3" fontId="3" fillId="6" borderId="17" xfId="1" applyNumberFormat="1" applyFont="1" applyFill="1" applyBorder="1" applyAlignment="1">
      <alignment horizontal="center" vertical="top"/>
    </xf>
    <xf numFmtId="0" fontId="3" fillId="6" borderId="83" xfId="1" applyFont="1" applyFill="1" applyBorder="1" applyAlignment="1">
      <alignment vertical="top" wrapText="1"/>
    </xf>
    <xf numFmtId="0" fontId="3" fillId="6" borderId="77" xfId="0" applyFont="1" applyFill="1" applyBorder="1" applyAlignment="1">
      <alignment vertical="top" wrapText="1"/>
    </xf>
    <xf numFmtId="0" fontId="3" fillId="0" borderId="40" xfId="0" applyFont="1" applyBorder="1" applyAlignment="1">
      <alignment vertical="top"/>
    </xf>
    <xf numFmtId="0" fontId="3" fillId="0" borderId="17" xfId="0" applyFont="1" applyBorder="1" applyAlignment="1">
      <alignment vertical="top"/>
    </xf>
    <xf numFmtId="0" fontId="5" fillId="2" borderId="13" xfId="0" applyFont="1" applyFill="1" applyBorder="1" applyAlignment="1">
      <alignment horizontal="center" vertical="top" wrapText="1"/>
    </xf>
    <xf numFmtId="3" fontId="11" fillId="6" borderId="65" xfId="0" applyNumberFormat="1" applyFont="1" applyFill="1" applyBorder="1" applyAlignment="1">
      <alignment horizontal="center" vertical="top"/>
    </xf>
    <xf numFmtId="165" fontId="11" fillId="6" borderId="41" xfId="0" applyNumberFormat="1" applyFont="1" applyFill="1" applyBorder="1" applyAlignment="1">
      <alignment horizontal="center" vertical="top"/>
    </xf>
    <xf numFmtId="3" fontId="3" fillId="6" borderId="54" xfId="0" applyNumberFormat="1" applyFont="1" applyFill="1" applyBorder="1" applyAlignment="1">
      <alignment vertical="top" wrapText="1"/>
    </xf>
    <xf numFmtId="3" fontId="3" fillId="6" borderId="22" xfId="0" applyNumberFormat="1" applyFont="1" applyFill="1" applyBorder="1" applyAlignment="1">
      <alignment vertical="top" wrapText="1"/>
    </xf>
    <xf numFmtId="0" fontId="5" fillId="6" borderId="11" xfId="0" applyFont="1" applyFill="1" applyBorder="1" applyAlignment="1">
      <alignment vertical="top" wrapText="1"/>
    </xf>
    <xf numFmtId="49" fontId="5" fillId="6" borderId="25" xfId="0" applyNumberFormat="1" applyFont="1" applyFill="1" applyBorder="1" applyAlignment="1">
      <alignment horizontal="center" vertical="top"/>
    </xf>
    <xf numFmtId="0" fontId="3" fillId="6" borderId="26" xfId="0" applyFont="1" applyFill="1" applyBorder="1" applyAlignment="1">
      <alignment vertical="top" wrapText="1"/>
    </xf>
    <xf numFmtId="0" fontId="3" fillId="6" borderId="9" xfId="0" applyFont="1" applyFill="1" applyBorder="1" applyAlignment="1">
      <alignment vertical="top" wrapText="1"/>
    </xf>
    <xf numFmtId="0" fontId="5" fillId="6" borderId="62" xfId="0" applyFont="1" applyFill="1" applyBorder="1" applyAlignment="1">
      <alignment horizontal="center" vertical="center" wrapText="1"/>
    </xf>
    <xf numFmtId="0" fontId="3" fillId="3" borderId="59" xfId="0" applyFont="1" applyFill="1" applyBorder="1" applyAlignment="1">
      <alignment horizontal="center" vertical="top" wrapText="1"/>
    </xf>
    <xf numFmtId="0" fontId="5" fillId="3" borderId="59" xfId="0" applyFont="1" applyFill="1" applyBorder="1" applyAlignment="1">
      <alignment horizontal="left" vertical="top" wrapText="1"/>
    </xf>
    <xf numFmtId="49" fontId="5" fillId="3" borderId="23" xfId="0" applyNumberFormat="1" applyFont="1" applyFill="1" applyBorder="1" applyAlignment="1">
      <alignment horizontal="center" vertical="top" wrapText="1"/>
    </xf>
    <xf numFmtId="49" fontId="5" fillId="9" borderId="45" xfId="0" applyNumberFormat="1" applyFont="1" applyFill="1" applyBorder="1" applyAlignment="1">
      <alignment horizontal="center" vertical="top"/>
    </xf>
    <xf numFmtId="0" fontId="19" fillId="6" borderId="30" xfId="0" applyFont="1" applyFill="1" applyBorder="1" applyAlignment="1">
      <alignment vertical="top" wrapText="1"/>
    </xf>
    <xf numFmtId="49" fontId="3" fillId="6" borderId="85" xfId="0" applyNumberFormat="1" applyFont="1" applyFill="1" applyBorder="1" applyAlignment="1">
      <alignment horizontal="center" vertical="top" wrapText="1"/>
    </xf>
    <xf numFmtId="165" fontId="3" fillId="0" borderId="0" xfId="0" applyNumberFormat="1" applyFont="1" applyBorder="1" applyAlignment="1">
      <alignment vertical="top"/>
    </xf>
    <xf numFmtId="165" fontId="3" fillId="6" borderId="29" xfId="0" applyNumberFormat="1" applyFont="1" applyFill="1" applyBorder="1" applyAlignment="1">
      <alignment horizontal="center" vertical="top" wrapText="1"/>
    </xf>
    <xf numFmtId="49" fontId="3" fillId="6" borderId="72" xfId="0" applyNumberFormat="1" applyFont="1" applyFill="1" applyBorder="1" applyAlignment="1">
      <alignment horizontal="center" vertical="top" wrapText="1"/>
    </xf>
    <xf numFmtId="0" fontId="3" fillId="6" borderId="65" xfId="0" applyFont="1" applyFill="1" applyBorder="1" applyAlignment="1">
      <alignment vertical="top" wrapText="1"/>
    </xf>
    <xf numFmtId="49" fontId="3" fillId="6" borderId="45" xfId="0" applyNumberFormat="1" applyFont="1" applyFill="1" applyBorder="1" applyAlignment="1">
      <alignment horizontal="center" vertical="top" wrapText="1"/>
    </xf>
    <xf numFmtId="3" fontId="3" fillId="6" borderId="15" xfId="0" applyNumberFormat="1" applyFont="1" applyFill="1" applyBorder="1" applyAlignment="1">
      <alignment horizontal="center" vertical="top"/>
    </xf>
    <xf numFmtId="165" fontId="3" fillId="6" borderId="7" xfId="0" applyNumberFormat="1" applyFont="1" applyFill="1" applyBorder="1" applyAlignment="1">
      <alignment horizontal="center" vertical="top"/>
    </xf>
    <xf numFmtId="165" fontId="3" fillId="6" borderId="0" xfId="0" applyNumberFormat="1" applyFont="1" applyFill="1" applyBorder="1" applyAlignment="1">
      <alignment horizontal="center" vertical="top" wrapText="1"/>
    </xf>
    <xf numFmtId="165" fontId="3" fillId="0" borderId="0" xfId="0" applyNumberFormat="1" applyFont="1" applyAlignment="1">
      <alignment horizontal="center" vertical="top"/>
    </xf>
    <xf numFmtId="0" fontId="3" fillId="3" borderId="58" xfId="0" applyFont="1" applyFill="1" applyBorder="1" applyAlignment="1">
      <alignment horizontal="center" vertical="top" wrapText="1"/>
    </xf>
    <xf numFmtId="49" fontId="5" fillId="3" borderId="13" xfId="0" applyNumberFormat="1" applyFont="1" applyFill="1" applyBorder="1" applyAlignment="1">
      <alignment horizontal="center" vertical="top" wrapText="1"/>
    </xf>
    <xf numFmtId="49" fontId="5" fillId="3" borderId="21" xfId="0" applyNumberFormat="1" applyFont="1" applyFill="1" applyBorder="1" applyAlignment="1">
      <alignment horizontal="center" vertical="top"/>
    </xf>
    <xf numFmtId="0" fontId="5" fillId="3" borderId="58" xfId="0" applyFont="1" applyFill="1" applyBorder="1" applyAlignment="1">
      <alignment horizontal="left" vertical="top" wrapText="1"/>
    </xf>
    <xf numFmtId="0" fontId="3" fillId="2" borderId="8" xfId="0" applyFont="1" applyFill="1" applyBorder="1" applyAlignment="1">
      <alignment horizontal="left" vertical="top" wrapText="1"/>
    </xf>
    <xf numFmtId="49" fontId="5" fillId="10" borderId="8" xfId="0" applyNumberFormat="1" applyFont="1" applyFill="1" applyBorder="1" applyAlignment="1">
      <alignment horizontal="center" vertical="top" wrapText="1"/>
    </xf>
    <xf numFmtId="165" fontId="3" fillId="8" borderId="19" xfId="0" applyNumberFormat="1" applyFont="1" applyFill="1" applyBorder="1" applyAlignment="1">
      <alignment horizontal="center" vertical="top"/>
    </xf>
    <xf numFmtId="0" fontId="5" fillId="2" borderId="29" xfId="0" applyFont="1" applyFill="1" applyBorder="1" applyAlignment="1">
      <alignment horizontal="center" vertical="top" wrapText="1"/>
    </xf>
    <xf numFmtId="0" fontId="3" fillId="6" borderId="2" xfId="0" applyFont="1" applyFill="1" applyBorder="1" applyAlignment="1">
      <alignment vertical="top" wrapText="1"/>
    </xf>
    <xf numFmtId="0" fontId="3" fillId="6" borderId="19" xfId="0" applyFont="1" applyFill="1" applyBorder="1" applyAlignment="1">
      <alignment horizontal="center" vertical="top" wrapText="1"/>
    </xf>
    <xf numFmtId="165" fontId="3" fillId="6" borderId="13" xfId="0" applyNumberFormat="1" applyFont="1" applyFill="1" applyBorder="1" applyAlignment="1">
      <alignment horizontal="center" vertical="top" wrapText="1"/>
    </xf>
    <xf numFmtId="49" fontId="5" fillId="6" borderId="22" xfId="0" applyNumberFormat="1" applyFont="1" applyFill="1" applyBorder="1" applyAlignment="1">
      <alignment horizontal="center" vertical="top" wrapText="1"/>
    </xf>
    <xf numFmtId="49" fontId="3" fillId="6" borderId="86" xfId="0" applyNumberFormat="1" applyFont="1" applyFill="1" applyBorder="1" applyAlignment="1">
      <alignment horizontal="center" vertical="top" wrapText="1"/>
    </xf>
    <xf numFmtId="3" fontId="3" fillId="6" borderId="70" xfId="1" applyNumberFormat="1" applyFont="1" applyFill="1" applyBorder="1" applyAlignment="1">
      <alignment horizontal="center" vertical="top"/>
    </xf>
    <xf numFmtId="3" fontId="5" fillId="6" borderId="45" xfId="0" applyNumberFormat="1" applyFont="1" applyFill="1" applyBorder="1" applyAlignment="1">
      <alignment horizontal="center" vertical="top" wrapText="1"/>
    </xf>
    <xf numFmtId="0" fontId="3" fillId="6" borderId="8" xfId="0" applyFont="1" applyFill="1" applyBorder="1" applyAlignment="1">
      <alignment vertical="top"/>
    </xf>
    <xf numFmtId="165" fontId="5" fillId="0" borderId="0" xfId="0" applyNumberFormat="1" applyFont="1" applyAlignment="1">
      <alignment horizontal="left" vertical="top"/>
    </xf>
    <xf numFmtId="165" fontId="5" fillId="10" borderId="20" xfId="0" applyNumberFormat="1" applyFont="1" applyFill="1" applyBorder="1" applyAlignment="1">
      <alignment horizontal="center" vertical="top"/>
    </xf>
    <xf numFmtId="165" fontId="5" fillId="4" borderId="20" xfId="0" applyNumberFormat="1" applyFont="1" applyFill="1" applyBorder="1" applyAlignment="1">
      <alignment horizontal="center" vertical="top"/>
    </xf>
    <xf numFmtId="3" fontId="3" fillId="6" borderId="2" xfId="0" applyNumberFormat="1" applyFont="1" applyFill="1" applyBorder="1" applyAlignment="1">
      <alignment horizontal="center" vertical="top" wrapText="1"/>
    </xf>
    <xf numFmtId="0" fontId="22" fillId="6" borderId="82" xfId="0" applyFont="1" applyFill="1" applyBorder="1" applyAlignment="1">
      <alignment vertical="top" wrapText="1"/>
    </xf>
    <xf numFmtId="0" fontId="3" fillId="6" borderId="35" xfId="0" applyFont="1" applyFill="1" applyBorder="1" applyAlignment="1">
      <alignment vertical="top" wrapText="1"/>
    </xf>
    <xf numFmtId="49" fontId="15" fillId="10" borderId="30" xfId="0" applyNumberFormat="1" applyFont="1" applyFill="1" applyBorder="1" applyAlignment="1">
      <alignment horizontal="center" vertical="top"/>
    </xf>
    <xf numFmtId="49" fontId="15" fillId="9" borderId="21" xfId="0" applyNumberFormat="1" applyFont="1" applyFill="1" applyBorder="1" applyAlignment="1">
      <alignment horizontal="center" vertical="top"/>
    </xf>
    <xf numFmtId="3" fontId="3" fillId="6" borderId="21" xfId="0" applyNumberFormat="1" applyFont="1" applyFill="1" applyBorder="1" applyAlignment="1">
      <alignment horizontal="left" vertical="top" wrapText="1"/>
    </xf>
    <xf numFmtId="3" fontId="5" fillId="6" borderId="25" xfId="0" applyNumberFormat="1" applyFont="1" applyFill="1" applyBorder="1" applyAlignment="1">
      <alignment horizontal="center" vertical="top" wrapText="1"/>
    </xf>
    <xf numFmtId="49" fontId="15" fillId="6" borderId="25" xfId="0" applyNumberFormat="1" applyFont="1" applyFill="1" applyBorder="1" applyAlignment="1">
      <alignment horizontal="center" vertical="top"/>
    </xf>
    <xf numFmtId="165" fontId="3" fillId="6" borderId="17" xfId="1" applyNumberFormat="1" applyFont="1" applyFill="1" applyBorder="1" applyAlignment="1">
      <alignment horizontal="center" vertical="top" wrapText="1"/>
    </xf>
    <xf numFmtId="1" fontId="3" fillId="6" borderId="13" xfId="1" applyNumberFormat="1" applyFont="1" applyFill="1" applyBorder="1" applyAlignment="1">
      <alignment horizontal="center" vertical="top" wrapText="1"/>
    </xf>
    <xf numFmtId="3" fontId="3" fillId="6" borderId="84" xfId="1" applyNumberFormat="1" applyFont="1" applyFill="1" applyBorder="1" applyAlignment="1">
      <alignment horizontal="center" vertical="top" wrapText="1"/>
    </xf>
    <xf numFmtId="165" fontId="3" fillId="6" borderId="43" xfId="0" applyNumberFormat="1" applyFont="1" applyFill="1" applyBorder="1" applyAlignment="1">
      <alignment horizontal="center" vertical="top" wrapText="1"/>
    </xf>
    <xf numFmtId="165" fontId="5" fillId="3" borderId="51" xfId="0" applyNumberFormat="1" applyFont="1" applyFill="1" applyBorder="1" applyAlignment="1">
      <alignment horizontal="center" vertical="top"/>
    </xf>
    <xf numFmtId="1" fontId="3" fillId="6" borderId="45"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xf>
    <xf numFmtId="0" fontId="3" fillId="6" borderId="83" xfId="0" applyFont="1" applyFill="1" applyBorder="1" applyAlignment="1">
      <alignment vertical="top" wrapText="1"/>
    </xf>
    <xf numFmtId="0" fontId="18" fillId="6" borderId="13" xfId="0" applyFont="1" applyFill="1" applyBorder="1" applyAlignment="1">
      <alignment horizontal="left" vertical="top" wrapText="1"/>
    </xf>
    <xf numFmtId="0" fontId="3" fillId="6" borderId="12" xfId="0" applyFont="1" applyFill="1" applyBorder="1" applyAlignment="1">
      <alignment horizontal="left" vertical="top" wrapText="1"/>
    </xf>
    <xf numFmtId="3" fontId="11" fillId="6" borderId="60" xfId="0" applyNumberFormat="1" applyFont="1" applyFill="1" applyBorder="1" applyAlignment="1">
      <alignment horizontal="center" vertical="top"/>
    </xf>
    <xf numFmtId="165" fontId="11" fillId="6" borderId="19" xfId="0" applyNumberFormat="1" applyFont="1" applyFill="1" applyBorder="1" applyAlignment="1">
      <alignment horizontal="center" vertical="top"/>
    </xf>
    <xf numFmtId="165" fontId="5" fillId="4" borderId="5" xfId="0" applyNumberFormat="1" applyFont="1" applyFill="1" applyBorder="1" applyAlignment="1">
      <alignment horizontal="center" vertical="top"/>
    </xf>
    <xf numFmtId="165" fontId="5" fillId="5" borderId="57" xfId="0" applyNumberFormat="1" applyFont="1" applyFill="1" applyBorder="1" applyAlignment="1">
      <alignment horizontal="center" vertical="top"/>
    </xf>
    <xf numFmtId="0" fontId="3" fillId="6" borderId="45" xfId="0" applyFont="1" applyFill="1" applyBorder="1" applyAlignment="1">
      <alignment horizontal="center" vertical="top"/>
    </xf>
    <xf numFmtId="0" fontId="3" fillId="6" borderId="27" xfId="0" applyFont="1" applyFill="1" applyBorder="1" applyAlignment="1">
      <alignment horizontal="center" vertical="top"/>
    </xf>
    <xf numFmtId="0" fontId="3" fillId="6" borderId="60" xfId="0" applyFont="1" applyFill="1" applyBorder="1" applyAlignment="1">
      <alignment horizontal="center" vertical="top" wrapText="1"/>
    </xf>
    <xf numFmtId="0" fontId="3" fillId="6" borderId="35" xfId="0" applyFont="1" applyFill="1" applyBorder="1" applyAlignment="1">
      <alignment horizontal="center" vertical="top" wrapText="1"/>
    </xf>
    <xf numFmtId="0" fontId="3" fillId="6" borderId="65" xfId="0" applyFont="1" applyFill="1" applyBorder="1" applyAlignment="1">
      <alignment horizontal="center" vertical="top" wrapText="1"/>
    </xf>
    <xf numFmtId="0" fontId="3" fillId="6" borderId="71" xfId="0" applyFont="1" applyFill="1" applyBorder="1" applyAlignment="1">
      <alignment horizontal="center" vertical="top"/>
    </xf>
    <xf numFmtId="49" fontId="3" fillId="6" borderId="29" xfId="0" applyNumberFormat="1" applyFont="1" applyFill="1" applyBorder="1" applyAlignment="1">
      <alignment horizontal="center" vertical="top" wrapText="1"/>
    </xf>
    <xf numFmtId="3" fontId="3" fillId="6" borderId="84" xfId="0" applyNumberFormat="1" applyFont="1" applyFill="1" applyBorder="1" applyAlignment="1">
      <alignment horizontal="center" vertical="top" wrapText="1"/>
    </xf>
    <xf numFmtId="0" fontId="3" fillId="6" borderId="29" xfId="0" applyFont="1" applyFill="1" applyBorder="1" applyAlignment="1">
      <alignment horizontal="center" vertical="top"/>
    </xf>
    <xf numFmtId="0" fontId="3" fillId="6" borderId="28" xfId="0" applyFont="1" applyFill="1" applyBorder="1" applyAlignment="1">
      <alignment horizontal="center" vertical="top"/>
    </xf>
    <xf numFmtId="3" fontId="3" fillId="6" borderId="44" xfId="0" applyNumberFormat="1" applyFont="1" applyFill="1" applyBorder="1" applyAlignment="1">
      <alignment horizontal="center" vertical="top"/>
    </xf>
    <xf numFmtId="49" fontId="5" fillId="6" borderId="22" xfId="0" applyNumberFormat="1" applyFont="1" applyFill="1" applyBorder="1" applyAlignment="1">
      <alignment horizontal="center" vertical="top"/>
    </xf>
    <xf numFmtId="3" fontId="3" fillId="6" borderId="44"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xf>
    <xf numFmtId="3" fontId="3" fillId="6" borderId="25" xfId="0" applyNumberFormat="1" applyFont="1" applyFill="1" applyBorder="1" applyAlignment="1">
      <alignment horizontal="center" vertical="top" wrapText="1"/>
    </xf>
    <xf numFmtId="3" fontId="3" fillId="6" borderId="92" xfId="1" applyNumberFormat="1" applyFont="1" applyFill="1" applyBorder="1" applyAlignment="1">
      <alignment horizontal="center" vertical="top"/>
    </xf>
    <xf numFmtId="3" fontId="3" fillId="6" borderId="37" xfId="0" applyNumberFormat="1" applyFont="1" applyFill="1" applyBorder="1" applyAlignment="1">
      <alignment horizontal="center" vertical="top" wrapText="1"/>
    </xf>
    <xf numFmtId="3" fontId="5" fillId="6" borderId="42" xfId="0" applyNumberFormat="1" applyFont="1" applyFill="1" applyBorder="1" applyAlignment="1">
      <alignment horizontal="center" vertical="top" wrapText="1"/>
    </xf>
    <xf numFmtId="49" fontId="3" fillId="6" borderId="88" xfId="0" applyNumberFormat="1" applyFont="1" applyFill="1" applyBorder="1" applyAlignment="1">
      <alignment horizontal="center" vertical="top" wrapText="1"/>
    </xf>
    <xf numFmtId="3" fontId="3" fillId="6" borderId="54" xfId="0" applyNumberFormat="1" applyFont="1" applyFill="1" applyBorder="1" applyAlignment="1">
      <alignment horizontal="center" vertical="top"/>
    </xf>
    <xf numFmtId="165" fontId="3" fillId="6" borderId="60" xfId="0" applyNumberFormat="1" applyFont="1" applyFill="1" applyBorder="1" applyAlignment="1">
      <alignment horizontal="center" vertical="top"/>
    </xf>
    <xf numFmtId="165" fontId="3" fillId="8" borderId="64" xfId="0" applyNumberFormat="1" applyFont="1" applyFill="1" applyBorder="1" applyAlignment="1">
      <alignment horizontal="center" vertical="top" wrapText="1"/>
    </xf>
    <xf numFmtId="0" fontId="3" fillId="0" borderId="43" xfId="0" applyFont="1" applyBorder="1" applyAlignment="1">
      <alignment vertical="top"/>
    </xf>
    <xf numFmtId="0" fontId="7" fillId="6" borderId="28" xfId="0" applyFont="1" applyFill="1" applyBorder="1" applyAlignment="1">
      <alignment horizontal="center" vertical="center" wrapText="1"/>
    </xf>
    <xf numFmtId="0" fontId="5" fillId="6" borderId="16" xfId="0" applyFont="1" applyFill="1" applyBorder="1" applyAlignment="1">
      <alignment horizontal="center"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center" vertical="top"/>
    </xf>
    <xf numFmtId="3" fontId="3" fillId="6" borderId="36"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165" fontId="3" fillId="6" borderId="35" xfId="0" applyNumberFormat="1" applyFont="1" applyFill="1" applyBorder="1" applyAlignment="1">
      <alignment horizontal="center" vertical="top"/>
    </xf>
    <xf numFmtId="0" fontId="3" fillId="6" borderId="18" xfId="0" applyFont="1" applyFill="1" applyBorder="1" applyAlignment="1">
      <alignment horizontal="center" vertical="top" wrapText="1"/>
    </xf>
    <xf numFmtId="0" fontId="3" fillId="6" borderId="45" xfId="0" applyNumberFormat="1" applyFont="1" applyFill="1" applyBorder="1" applyAlignment="1">
      <alignment horizontal="center" vertical="top" wrapText="1"/>
    </xf>
    <xf numFmtId="0" fontId="24" fillId="10" borderId="2" xfId="0" applyFont="1" applyFill="1" applyBorder="1" applyAlignment="1">
      <alignment vertical="top" wrapText="1"/>
    </xf>
    <xf numFmtId="0" fontId="3" fillId="10" borderId="2" xfId="0" applyFont="1" applyFill="1" applyBorder="1" applyAlignment="1">
      <alignment horizontal="center" vertical="top" wrapText="1"/>
    </xf>
    <xf numFmtId="0" fontId="3" fillId="0" borderId="0" xfId="0" applyFont="1"/>
    <xf numFmtId="0" fontId="5" fillId="10" borderId="45" xfId="0" applyFont="1" applyFill="1" applyBorder="1" applyAlignment="1">
      <alignment horizontal="left" vertical="top"/>
    </xf>
    <xf numFmtId="0" fontId="0" fillId="10" borderId="0" xfId="0" applyFill="1" applyBorder="1" applyAlignment="1">
      <alignment horizontal="left" vertical="top"/>
    </xf>
    <xf numFmtId="165" fontId="3" fillId="6" borderId="17" xfId="0" applyNumberFormat="1" applyFont="1" applyFill="1" applyBorder="1" applyAlignment="1">
      <alignment horizontal="center" vertical="top" wrapText="1"/>
    </xf>
    <xf numFmtId="165" fontId="3" fillId="0" borderId="0" xfId="0" applyNumberFormat="1" applyFont="1" applyAlignment="1">
      <alignment vertical="center"/>
    </xf>
    <xf numFmtId="0" fontId="3" fillId="6" borderId="42" xfId="0" applyNumberFormat="1" applyFont="1" applyFill="1" applyBorder="1" applyAlignment="1">
      <alignment horizontal="center" vertical="top" wrapText="1"/>
    </xf>
    <xf numFmtId="0" fontId="6" fillId="0" borderId="0" xfId="1" applyFont="1" applyAlignment="1">
      <alignment horizontal="center"/>
    </xf>
    <xf numFmtId="49" fontId="6" fillId="0" borderId="0" xfId="1" applyNumberFormat="1" applyFont="1" applyAlignment="1">
      <alignment horizontal="left" vertical="top" wrapText="1"/>
    </xf>
    <xf numFmtId="0" fontId="4" fillId="0" borderId="0" xfId="1" applyFont="1" applyAlignment="1">
      <alignment horizontal="left" vertical="top" wrapText="1"/>
    </xf>
    <xf numFmtId="0" fontId="3" fillId="0" borderId="0" xfId="1" applyFont="1"/>
    <xf numFmtId="0" fontId="4" fillId="0" borderId="0" xfId="1" applyFont="1" applyAlignment="1">
      <alignment horizontal="right"/>
    </xf>
    <xf numFmtId="0" fontId="4" fillId="0" borderId="0" xfId="1" applyFont="1" applyAlignment="1">
      <alignment horizontal="right" vertical="top"/>
    </xf>
    <xf numFmtId="0" fontId="4" fillId="0" borderId="0" xfId="0" applyFont="1" applyAlignment="1">
      <alignment horizontal="left" vertical="top"/>
    </xf>
    <xf numFmtId="0" fontId="4" fillId="0" borderId="0" xfId="1" applyFont="1" applyAlignment="1">
      <alignment horizontal="left"/>
    </xf>
    <xf numFmtId="0" fontId="4" fillId="0" borderId="0" xfId="0" applyFont="1"/>
    <xf numFmtId="0" fontId="6" fillId="0" borderId="0" xfId="0" applyFont="1"/>
    <xf numFmtId="0" fontId="6" fillId="0" borderId="0" xfId="0" applyFont="1" applyAlignment="1">
      <alignment horizontal="center" vertical="top"/>
    </xf>
    <xf numFmtId="0" fontId="20" fillId="0" borderId="0" xfId="0" applyFont="1" applyBorder="1" applyAlignment="1">
      <alignment horizontal="left" vertical="top" wrapText="1"/>
    </xf>
    <xf numFmtId="0" fontId="20" fillId="0" borderId="0" xfId="0" applyFont="1" applyAlignment="1">
      <alignment horizontal="left" vertical="center" wrapText="1"/>
    </xf>
    <xf numFmtId="1" fontId="3" fillId="6" borderId="71" xfId="0" applyNumberFormat="1" applyFont="1" applyFill="1" applyBorder="1" applyAlignment="1">
      <alignment horizontal="center" vertical="top" wrapText="1"/>
    </xf>
    <xf numFmtId="0" fontId="3" fillId="6" borderId="60" xfId="0" applyFont="1" applyFill="1" applyBorder="1" applyAlignment="1">
      <alignment vertical="top" wrapText="1"/>
    </xf>
    <xf numFmtId="3" fontId="3" fillId="6" borderId="46" xfId="0" applyNumberFormat="1" applyFont="1" applyFill="1" applyBorder="1" applyAlignment="1">
      <alignment horizontal="center" vertical="top" wrapText="1"/>
    </xf>
    <xf numFmtId="3" fontId="3" fillId="6" borderId="16" xfId="0" applyNumberFormat="1" applyFont="1" applyFill="1" applyBorder="1" applyAlignment="1">
      <alignment horizontal="center" vertical="top" wrapText="1"/>
    </xf>
    <xf numFmtId="49" fontId="5" fillId="6" borderId="45"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3" fontId="5" fillId="6" borderId="29" xfId="0" applyNumberFormat="1" applyFont="1" applyFill="1" applyBorder="1" applyAlignment="1">
      <alignment horizontal="center" vertical="top" wrapText="1"/>
    </xf>
    <xf numFmtId="0" fontId="3" fillId="6" borderId="70" xfId="0" applyFont="1" applyFill="1" applyBorder="1" applyAlignment="1">
      <alignment horizontal="left" vertical="top" wrapText="1"/>
    </xf>
    <xf numFmtId="0" fontId="3" fillId="6" borderId="70" xfId="0" applyFont="1" applyFill="1" applyBorder="1" applyAlignment="1">
      <alignment horizontal="center" vertical="top"/>
    </xf>
    <xf numFmtId="0" fontId="3" fillId="10" borderId="29" xfId="0" applyFont="1" applyFill="1" applyBorder="1" applyAlignment="1">
      <alignment vertical="top" wrapText="1"/>
    </xf>
    <xf numFmtId="0" fontId="3" fillId="6" borderId="4" xfId="0" applyFont="1" applyFill="1" applyBorder="1" applyAlignment="1">
      <alignment horizontal="center" vertical="top" wrapText="1"/>
    </xf>
    <xf numFmtId="3" fontId="3" fillId="6" borderId="23" xfId="0" applyNumberFormat="1" applyFont="1" applyFill="1" applyBorder="1" applyAlignment="1">
      <alignment horizontal="center" vertical="top" wrapText="1"/>
    </xf>
    <xf numFmtId="3" fontId="3" fillId="6" borderId="29" xfId="0" applyNumberFormat="1" applyFont="1" applyFill="1" applyBorder="1" applyAlignment="1">
      <alignment horizontal="center" vertical="top" wrapText="1"/>
    </xf>
    <xf numFmtId="165" fontId="3" fillId="6" borderId="40" xfId="0" applyNumberFormat="1" applyFont="1" applyFill="1" applyBorder="1" applyAlignment="1">
      <alignment horizontal="center" vertical="top"/>
    </xf>
    <xf numFmtId="165" fontId="3" fillId="6" borderId="8" xfId="0" applyNumberFormat="1" applyFont="1" applyFill="1" applyBorder="1" applyAlignment="1">
      <alignment horizontal="center" vertical="top"/>
    </xf>
    <xf numFmtId="0" fontId="4" fillId="0" borderId="0" xfId="0" applyFont="1" applyAlignment="1">
      <alignment horizontal="right" vertical="top"/>
    </xf>
    <xf numFmtId="0" fontId="4" fillId="0" borderId="0" xfId="0" applyFont="1" applyAlignment="1">
      <alignment horizontal="right"/>
    </xf>
    <xf numFmtId="3" fontId="3" fillId="6" borderId="13" xfId="0" applyNumberFormat="1" applyFont="1" applyFill="1" applyBorder="1" applyAlignment="1">
      <alignment horizontal="center" vertical="top" wrapText="1"/>
    </xf>
    <xf numFmtId="0" fontId="3" fillId="6" borderId="82" xfId="0" applyFont="1" applyFill="1" applyBorder="1" applyAlignment="1">
      <alignment horizontal="left" vertical="top" wrapText="1"/>
    </xf>
    <xf numFmtId="49" fontId="5" fillId="6" borderId="1" xfId="0" applyNumberFormat="1" applyFont="1" applyFill="1" applyBorder="1" applyAlignment="1">
      <alignment horizontal="center" vertical="top"/>
    </xf>
    <xf numFmtId="0" fontId="3" fillId="6" borderId="46" xfId="0" applyFont="1" applyFill="1" applyBorder="1" applyAlignment="1">
      <alignment horizontal="center" vertical="center" textRotation="90" wrapText="1"/>
    </xf>
    <xf numFmtId="0" fontId="3" fillId="6" borderId="16" xfId="0" applyFont="1" applyFill="1" applyBorder="1" applyAlignment="1">
      <alignment horizontal="center" vertical="center" textRotation="90" wrapText="1"/>
    </xf>
    <xf numFmtId="0" fontId="3" fillId="6" borderId="89" xfId="0" applyFont="1" applyFill="1" applyBorder="1" applyAlignment="1">
      <alignment horizontal="left" vertical="top" wrapText="1"/>
    </xf>
    <xf numFmtId="165" fontId="3" fillId="0" borderId="4" xfId="0" applyNumberFormat="1" applyFont="1" applyFill="1" applyBorder="1" applyAlignment="1">
      <alignment horizontal="center" vertical="top"/>
    </xf>
    <xf numFmtId="165" fontId="3"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wrapText="1"/>
    </xf>
    <xf numFmtId="0" fontId="5" fillId="6" borderId="23" xfId="0" applyFont="1" applyFill="1" applyBorder="1" applyAlignment="1">
      <alignment vertical="top" wrapText="1"/>
    </xf>
    <xf numFmtId="0" fontId="3" fillId="6" borderId="40" xfId="0" applyFont="1" applyFill="1" applyBorder="1" applyAlignment="1">
      <alignment vertical="top" wrapText="1"/>
    </xf>
    <xf numFmtId="4" fontId="3" fillId="2" borderId="1"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3" fillId="0" borderId="7" xfId="0" applyFont="1" applyBorder="1" applyAlignment="1">
      <alignment horizontal="center" vertical="top"/>
    </xf>
    <xf numFmtId="0" fontId="3" fillId="6" borderId="0" xfId="0" applyNumberFormat="1" applyFont="1" applyFill="1" applyBorder="1" applyAlignment="1">
      <alignment horizontal="center" vertical="top" wrapText="1"/>
    </xf>
    <xf numFmtId="0" fontId="3" fillId="6" borderId="15" xfId="0" applyNumberFormat="1" applyFont="1" applyFill="1" applyBorder="1" applyAlignment="1">
      <alignment horizontal="center" vertical="top" wrapText="1"/>
    </xf>
    <xf numFmtId="3" fontId="3" fillId="6" borderId="15" xfId="0" applyNumberFormat="1" applyFont="1" applyFill="1" applyBorder="1" applyAlignment="1">
      <alignment horizontal="center" vertical="top" wrapText="1"/>
    </xf>
    <xf numFmtId="3" fontId="3" fillId="6" borderId="28" xfId="0" applyNumberFormat="1" applyFont="1" applyFill="1" applyBorder="1" applyAlignment="1">
      <alignment horizontal="center" vertical="top" wrapText="1"/>
    </xf>
    <xf numFmtId="3" fontId="3" fillId="6" borderId="93" xfId="0" applyNumberFormat="1" applyFont="1" applyFill="1" applyBorder="1" applyAlignment="1">
      <alignment horizontal="center" vertical="top" wrapText="1"/>
    </xf>
    <xf numFmtId="3" fontId="3" fillId="6" borderId="96" xfId="0" applyNumberFormat="1" applyFont="1" applyFill="1" applyBorder="1" applyAlignment="1">
      <alignment horizontal="center" vertical="top" wrapText="1"/>
    </xf>
    <xf numFmtId="3" fontId="3" fillId="6" borderId="86" xfId="0" applyNumberFormat="1" applyFont="1" applyFill="1" applyBorder="1" applyAlignment="1">
      <alignment horizontal="center" vertical="top" wrapText="1"/>
    </xf>
    <xf numFmtId="3" fontId="3" fillId="6" borderId="97" xfId="0" applyNumberFormat="1" applyFont="1" applyFill="1" applyBorder="1" applyAlignment="1">
      <alignment horizontal="center" vertical="top" wrapText="1"/>
    </xf>
    <xf numFmtId="49" fontId="3" fillId="6" borderId="96" xfId="0" applyNumberFormat="1" applyFont="1" applyFill="1" applyBorder="1" applyAlignment="1">
      <alignment horizontal="center" vertical="top" wrapText="1"/>
    </xf>
    <xf numFmtId="49" fontId="3" fillId="6" borderId="15" xfId="0" applyNumberFormat="1" applyFont="1" applyFill="1" applyBorder="1" applyAlignment="1">
      <alignment horizontal="center" vertical="top" wrapText="1"/>
    </xf>
    <xf numFmtId="0" fontId="22" fillId="6" borderId="89" xfId="0" applyFont="1" applyFill="1" applyBorder="1" applyAlignment="1">
      <alignment vertical="top" wrapText="1"/>
    </xf>
    <xf numFmtId="1" fontId="3" fillId="6" borderId="15" xfId="0" applyNumberFormat="1" applyFont="1" applyFill="1" applyBorder="1" applyAlignment="1">
      <alignment horizontal="center" vertical="top" wrapText="1"/>
    </xf>
    <xf numFmtId="49" fontId="3" fillId="6" borderId="97" xfId="0" applyNumberFormat="1" applyFont="1" applyFill="1" applyBorder="1" applyAlignment="1">
      <alignment horizontal="center" vertical="top" wrapText="1"/>
    </xf>
    <xf numFmtId="1" fontId="3" fillId="6" borderId="98" xfId="0" applyNumberFormat="1" applyFont="1" applyFill="1" applyBorder="1" applyAlignment="1">
      <alignment horizontal="center" vertical="top" wrapText="1"/>
    </xf>
    <xf numFmtId="1" fontId="3" fillId="6" borderId="79" xfId="0" applyNumberFormat="1" applyFont="1" applyFill="1" applyBorder="1" applyAlignment="1">
      <alignment horizontal="center" vertical="top" wrapText="1"/>
    </xf>
    <xf numFmtId="3" fontId="3" fillId="6" borderId="28" xfId="0" applyNumberFormat="1" applyFont="1" applyFill="1" applyBorder="1" applyAlignment="1">
      <alignment horizontal="center" vertical="top"/>
    </xf>
    <xf numFmtId="3" fontId="3" fillId="6" borderId="43" xfId="0" applyNumberFormat="1" applyFont="1" applyFill="1" applyBorder="1" applyAlignment="1">
      <alignment horizontal="center" vertical="top"/>
    </xf>
    <xf numFmtId="3" fontId="3" fillId="6" borderId="1" xfId="1" applyNumberFormat="1" applyFont="1" applyFill="1" applyBorder="1" applyAlignment="1">
      <alignment horizontal="center" vertical="top"/>
    </xf>
    <xf numFmtId="3" fontId="3" fillId="6" borderId="22" xfId="0" applyNumberFormat="1" applyFont="1" applyFill="1" applyBorder="1" applyAlignment="1">
      <alignment horizontal="center" vertical="top" wrapText="1"/>
    </xf>
    <xf numFmtId="165" fontId="3" fillId="6" borderId="15" xfId="0" applyNumberFormat="1" applyFont="1" applyFill="1" applyBorder="1" applyAlignment="1">
      <alignment horizontal="center" vertical="top" wrapText="1"/>
    </xf>
    <xf numFmtId="0" fontId="3" fillId="6" borderId="37" xfId="0" applyFont="1" applyFill="1" applyBorder="1" applyAlignment="1">
      <alignment vertical="top" wrapText="1"/>
    </xf>
    <xf numFmtId="165" fontId="3" fillId="6" borderId="37" xfId="0" applyNumberFormat="1" applyFont="1" applyFill="1" applyBorder="1" applyAlignment="1">
      <alignment horizontal="center" vertical="top" wrapText="1"/>
    </xf>
    <xf numFmtId="165" fontId="3" fillId="6" borderId="1" xfId="0" applyNumberFormat="1" applyFont="1" applyFill="1" applyBorder="1" applyAlignment="1">
      <alignment horizontal="center" vertical="top" wrapText="1"/>
    </xf>
    <xf numFmtId="0" fontId="3" fillId="6" borderId="90" xfId="0" applyFont="1" applyFill="1" applyBorder="1" applyAlignment="1">
      <alignment vertical="top" wrapText="1"/>
    </xf>
    <xf numFmtId="3" fontId="3" fillId="0" borderId="1" xfId="0" applyNumberFormat="1" applyFont="1" applyFill="1" applyBorder="1" applyAlignment="1">
      <alignment horizontal="center" vertical="top" wrapText="1"/>
    </xf>
    <xf numFmtId="1" fontId="3" fillId="6" borderId="0" xfId="0" applyNumberFormat="1" applyFont="1" applyFill="1" applyBorder="1" applyAlignment="1">
      <alignment horizontal="center" vertical="top" wrapText="1"/>
    </xf>
    <xf numFmtId="1" fontId="3" fillId="6" borderId="75" xfId="0" applyNumberFormat="1" applyFont="1" applyFill="1" applyBorder="1" applyAlignment="1">
      <alignment horizontal="center" vertical="top" wrapText="1"/>
    </xf>
    <xf numFmtId="0" fontId="3" fillId="0" borderId="64" xfId="0" applyFont="1" applyFill="1" applyBorder="1" applyAlignment="1">
      <alignment vertical="top" wrapText="1"/>
    </xf>
    <xf numFmtId="3" fontId="3" fillId="6" borderId="32" xfId="0" applyNumberFormat="1" applyFont="1" applyFill="1" applyBorder="1" applyAlignment="1">
      <alignment horizontal="center" vertical="top" wrapText="1"/>
    </xf>
    <xf numFmtId="3" fontId="3" fillId="6" borderId="14" xfId="0" applyNumberFormat="1" applyFont="1" applyFill="1" applyBorder="1" applyAlignment="1">
      <alignment horizontal="center" vertical="top" wrapText="1"/>
    </xf>
    <xf numFmtId="3" fontId="3" fillId="6" borderId="37" xfId="1" applyNumberFormat="1" applyFont="1" applyFill="1" applyBorder="1" applyAlignment="1">
      <alignment horizontal="center" vertical="top"/>
    </xf>
    <xf numFmtId="0" fontId="3" fillId="0" borderId="69" xfId="0" applyFont="1" applyBorder="1" applyAlignment="1">
      <alignment vertical="top" wrapText="1"/>
    </xf>
    <xf numFmtId="0" fontId="5" fillId="6" borderId="13" xfId="0" applyFont="1" applyFill="1" applyBorder="1" applyAlignment="1">
      <alignment horizontal="center" vertical="center"/>
    </xf>
    <xf numFmtId="3" fontId="3" fillId="6" borderId="15" xfId="1" applyNumberFormat="1" applyFont="1" applyFill="1" applyBorder="1" applyAlignment="1">
      <alignment horizontal="center" vertical="top"/>
    </xf>
    <xf numFmtId="165" fontId="3" fillId="6" borderId="37" xfId="1" applyNumberFormat="1" applyFont="1" applyFill="1" applyBorder="1" applyAlignment="1">
      <alignment horizontal="center" vertical="top" wrapText="1"/>
    </xf>
    <xf numFmtId="165" fontId="3" fillId="6" borderId="1" xfId="1" applyNumberFormat="1" applyFont="1" applyFill="1" applyBorder="1" applyAlignment="1">
      <alignment horizontal="center" vertical="top" wrapText="1"/>
    </xf>
    <xf numFmtId="0" fontId="3" fillId="0" borderId="34" xfId="0" applyFont="1" applyBorder="1" applyAlignment="1">
      <alignment horizontal="center" vertical="center" textRotation="90"/>
    </xf>
    <xf numFmtId="1" fontId="3" fillId="6" borderId="78" xfId="0" applyNumberFormat="1" applyFont="1" applyFill="1" applyBorder="1" applyAlignment="1">
      <alignment horizontal="center" vertical="top" wrapText="1"/>
    </xf>
    <xf numFmtId="164" fontId="2" fillId="6" borderId="37" xfId="0" applyNumberFormat="1" applyFont="1" applyFill="1" applyBorder="1" applyAlignment="1">
      <alignment horizontal="center" vertical="center" wrapText="1"/>
    </xf>
    <xf numFmtId="165" fontId="3" fillId="6" borderId="27" xfId="0" applyNumberFormat="1" applyFont="1" applyFill="1" applyBorder="1" applyAlignment="1">
      <alignment horizontal="center" vertical="top" wrapText="1"/>
    </xf>
    <xf numFmtId="165" fontId="3" fillId="6" borderId="28" xfId="0" applyNumberFormat="1" applyFont="1" applyFill="1" applyBorder="1" applyAlignment="1">
      <alignment horizontal="center" vertical="top" wrapText="1"/>
    </xf>
    <xf numFmtId="0" fontId="3" fillId="6" borderId="34" xfId="0" applyFont="1" applyFill="1" applyBorder="1" applyAlignment="1">
      <alignment horizontal="center" vertical="top" wrapText="1"/>
    </xf>
    <xf numFmtId="165" fontId="3" fillId="6" borderId="92" xfId="0" applyNumberFormat="1" applyFont="1" applyFill="1" applyBorder="1" applyAlignment="1">
      <alignment horizontal="center" vertical="top" wrapText="1"/>
    </xf>
    <xf numFmtId="165" fontId="3" fillId="6" borderId="71" xfId="0" applyNumberFormat="1" applyFont="1" applyFill="1" applyBorder="1" applyAlignment="1">
      <alignment horizontal="center" vertical="top" wrapText="1"/>
    </xf>
    <xf numFmtId="0" fontId="3" fillId="6" borderId="27" xfId="0" applyNumberFormat="1" applyFont="1" applyFill="1" applyBorder="1" applyAlignment="1">
      <alignment horizontal="center" vertical="top" wrapText="1"/>
    </xf>
    <xf numFmtId="0" fontId="3" fillId="6" borderId="43" xfId="0" applyFont="1" applyFill="1" applyBorder="1" applyAlignment="1">
      <alignment horizontal="center" vertical="top"/>
    </xf>
    <xf numFmtId="3" fontId="3" fillId="6" borderId="43" xfId="0" applyNumberFormat="1" applyFont="1" applyFill="1" applyBorder="1" applyAlignment="1">
      <alignment horizontal="center" vertical="top" wrapText="1"/>
    </xf>
    <xf numFmtId="0" fontId="3" fillId="6" borderId="100" xfId="0" applyFont="1" applyFill="1" applyBorder="1" applyAlignment="1">
      <alignment horizontal="center" vertical="top" wrapText="1"/>
    </xf>
    <xf numFmtId="165" fontId="3" fillId="6" borderId="100" xfId="0" applyNumberFormat="1" applyFont="1" applyFill="1" applyBorder="1" applyAlignment="1">
      <alignment horizontal="center" vertical="top"/>
    </xf>
    <xf numFmtId="0" fontId="3" fillId="6" borderId="15" xfId="0" applyFont="1" applyFill="1" applyBorder="1" applyAlignment="1">
      <alignment horizontal="center" vertical="top"/>
    </xf>
    <xf numFmtId="3" fontId="3" fillId="6" borderId="24" xfId="0" applyNumberFormat="1" applyFont="1" applyFill="1" applyBorder="1" applyAlignment="1">
      <alignment horizontal="center" vertical="top" wrapText="1"/>
    </xf>
    <xf numFmtId="3" fontId="5" fillId="6" borderId="24" xfId="0" applyNumberFormat="1" applyFont="1" applyFill="1" applyBorder="1" applyAlignment="1">
      <alignment horizontal="center" vertical="top" wrapText="1"/>
    </xf>
    <xf numFmtId="3" fontId="5" fillId="6" borderId="15" xfId="0" applyNumberFormat="1" applyFont="1" applyFill="1" applyBorder="1" applyAlignment="1">
      <alignment horizontal="center" vertical="top" wrapText="1"/>
    </xf>
    <xf numFmtId="0" fontId="3" fillId="6" borderId="7" xfId="0" applyFont="1" applyFill="1" applyBorder="1" applyAlignment="1">
      <alignment horizontal="center" vertical="center"/>
    </xf>
    <xf numFmtId="165" fontId="3" fillId="0" borderId="52" xfId="0" applyNumberFormat="1" applyFont="1" applyFill="1" applyBorder="1" applyAlignment="1">
      <alignment horizontal="center" vertical="top"/>
    </xf>
    <xf numFmtId="0" fontId="3" fillId="6" borderId="70" xfId="0" applyFont="1" applyFill="1" applyBorder="1" applyAlignment="1">
      <alignment horizontal="center" vertical="center"/>
    </xf>
    <xf numFmtId="0" fontId="3" fillId="6" borderId="71" xfId="0" applyFont="1" applyFill="1" applyBorder="1" applyAlignment="1">
      <alignment horizontal="center" vertical="center"/>
    </xf>
    <xf numFmtId="0" fontId="3" fillId="6" borderId="75" xfId="0" applyFont="1" applyFill="1" applyBorder="1" applyAlignment="1">
      <alignment horizontal="center" vertical="center"/>
    </xf>
    <xf numFmtId="0" fontId="3" fillId="6" borderId="89" xfId="0" applyFont="1" applyFill="1" applyBorder="1" applyAlignment="1">
      <alignment vertical="top" wrapText="1"/>
    </xf>
    <xf numFmtId="0" fontId="3" fillId="6" borderId="85" xfId="0" applyFont="1" applyFill="1" applyBorder="1" applyAlignment="1">
      <alignment horizontal="center" vertical="center"/>
    </xf>
    <xf numFmtId="0" fontId="3" fillId="6" borderId="88" xfId="0" applyFont="1" applyFill="1" applyBorder="1" applyAlignment="1">
      <alignment horizontal="center" vertical="center"/>
    </xf>
    <xf numFmtId="0" fontId="3" fillId="6" borderId="96" xfId="0" applyFont="1" applyFill="1" applyBorder="1" applyAlignment="1">
      <alignment horizontal="center" vertical="center"/>
    </xf>
    <xf numFmtId="0" fontId="3" fillId="6" borderId="76" xfId="0" applyFont="1" applyFill="1" applyBorder="1" applyAlignment="1">
      <alignment vertical="top" wrapText="1"/>
    </xf>
    <xf numFmtId="0" fontId="3" fillId="6" borderId="75" xfId="0" applyFont="1" applyFill="1" applyBorder="1" applyAlignment="1">
      <alignment horizontal="center" vertical="top"/>
    </xf>
    <xf numFmtId="0" fontId="5" fillId="2" borderId="45" xfId="0" applyFont="1" applyFill="1" applyBorder="1" applyAlignment="1">
      <alignment horizontal="center" vertical="top" wrapText="1"/>
    </xf>
    <xf numFmtId="165" fontId="3" fillId="6" borderId="44" xfId="0" applyNumberFormat="1" applyFont="1" applyFill="1" applyBorder="1" applyAlignment="1">
      <alignment vertical="top"/>
    </xf>
    <xf numFmtId="165" fontId="3" fillId="6" borderId="29" xfId="0" applyNumberFormat="1" applyFont="1" applyFill="1" applyBorder="1" applyAlignment="1">
      <alignment vertical="top"/>
    </xf>
    <xf numFmtId="165" fontId="3" fillId="6" borderId="28" xfId="0" applyNumberFormat="1" applyFont="1" applyFill="1" applyBorder="1" applyAlignment="1">
      <alignment vertical="top"/>
    </xf>
    <xf numFmtId="0" fontId="3" fillId="6" borderId="0" xfId="0" applyFont="1" applyFill="1" applyBorder="1" applyAlignment="1">
      <alignment vertical="top"/>
    </xf>
    <xf numFmtId="0" fontId="3" fillId="6" borderId="15" xfId="0" applyFont="1" applyFill="1" applyBorder="1" applyAlignment="1">
      <alignment vertical="top"/>
    </xf>
    <xf numFmtId="0" fontId="3" fillId="6" borderId="70" xfId="0" applyFont="1" applyFill="1" applyBorder="1" applyAlignment="1">
      <alignment vertical="top" wrapText="1"/>
    </xf>
    <xf numFmtId="165" fontId="3" fillId="0" borderId="8" xfId="0" applyNumberFormat="1" applyFont="1" applyFill="1" applyBorder="1" applyAlignment="1">
      <alignment horizontal="center" vertical="top"/>
    </xf>
    <xf numFmtId="3" fontId="3" fillId="6" borderId="88" xfId="0" applyNumberFormat="1" applyFont="1" applyFill="1" applyBorder="1" applyAlignment="1">
      <alignment horizontal="center" vertical="top"/>
    </xf>
    <xf numFmtId="3" fontId="3" fillId="6" borderId="90" xfId="0" applyNumberFormat="1" applyFont="1" applyFill="1" applyBorder="1" applyAlignment="1">
      <alignment horizontal="center" vertical="top"/>
    </xf>
    <xf numFmtId="3" fontId="3" fillId="6" borderId="86" xfId="0" applyNumberFormat="1" applyFont="1" applyFill="1" applyBorder="1" applyAlignment="1">
      <alignment horizontal="center" vertical="top"/>
    </xf>
    <xf numFmtId="3" fontId="3" fillId="6" borderId="97" xfId="0" applyNumberFormat="1" applyFont="1" applyFill="1" applyBorder="1" applyAlignment="1">
      <alignment horizontal="center" vertical="top"/>
    </xf>
    <xf numFmtId="0" fontId="3" fillId="6" borderId="84" xfId="0" applyFont="1" applyFill="1" applyBorder="1" applyAlignment="1">
      <alignment vertical="top" wrapText="1"/>
    </xf>
    <xf numFmtId="3" fontId="3" fillId="6" borderId="70" xfId="0" applyNumberFormat="1" applyFont="1" applyFill="1" applyBorder="1" applyAlignment="1">
      <alignment horizontal="center" vertical="top"/>
    </xf>
    <xf numFmtId="0" fontId="5" fillId="6" borderId="62" xfId="0" applyFont="1" applyFill="1" applyBorder="1" applyAlignment="1">
      <alignment horizontal="center" vertical="top" wrapText="1"/>
    </xf>
    <xf numFmtId="3" fontId="3" fillId="0" borderId="23"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0" borderId="24"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3" fontId="3" fillId="0" borderId="38" xfId="0" applyNumberFormat="1" applyFont="1" applyFill="1" applyBorder="1" applyAlignment="1">
      <alignment horizontal="center" vertical="top"/>
    </xf>
    <xf numFmtId="3" fontId="3" fillId="0" borderId="14"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15" xfId="0" applyNumberFormat="1" applyFont="1" applyFill="1" applyBorder="1" applyAlignment="1">
      <alignment horizontal="center" vertical="top"/>
    </xf>
    <xf numFmtId="0" fontId="5" fillId="9" borderId="58" xfId="0" applyFont="1" applyFill="1" applyBorder="1" applyAlignment="1">
      <alignment horizontal="left" vertical="top" wrapText="1"/>
    </xf>
    <xf numFmtId="0" fontId="3" fillId="6" borderId="24" xfId="0" applyNumberFormat="1" applyFont="1" applyFill="1" applyBorder="1" applyAlignment="1">
      <alignment horizontal="center" vertical="top" wrapText="1"/>
    </xf>
    <xf numFmtId="3" fontId="3" fillId="6" borderId="8" xfId="0" applyNumberFormat="1" applyFont="1" applyFill="1" applyBorder="1" applyAlignment="1">
      <alignment vertical="top" wrapText="1"/>
    </xf>
    <xf numFmtId="3" fontId="11" fillId="6" borderId="54" xfId="0" applyNumberFormat="1" applyFont="1" applyFill="1" applyBorder="1" applyAlignment="1">
      <alignment horizontal="center" vertical="top"/>
    </xf>
    <xf numFmtId="0" fontId="3" fillId="3" borderId="101" xfId="0" applyFont="1" applyFill="1" applyBorder="1" applyAlignment="1">
      <alignment horizontal="center" vertical="top" wrapText="1"/>
    </xf>
    <xf numFmtId="0" fontId="5" fillId="0" borderId="0" xfId="0" applyFont="1" applyAlignment="1">
      <alignment horizontal="left" vertical="top"/>
    </xf>
    <xf numFmtId="164" fontId="3" fillId="0" borderId="0" xfId="0" applyNumberFormat="1" applyFont="1" applyAlignment="1">
      <alignment vertical="top"/>
    </xf>
    <xf numFmtId="165" fontId="3" fillId="0" borderId="0" xfId="0" applyNumberFormat="1" applyFont="1" applyAlignment="1">
      <alignment horizontal="left" vertical="top"/>
    </xf>
    <xf numFmtId="165" fontId="5" fillId="4" borderId="64" xfId="0" applyNumberFormat="1" applyFont="1" applyFill="1" applyBorder="1" applyAlignment="1">
      <alignment horizontal="center" vertical="top" wrapText="1"/>
    </xf>
    <xf numFmtId="165" fontId="5" fillId="4" borderId="18" xfId="0" applyNumberFormat="1" applyFont="1" applyFill="1" applyBorder="1" applyAlignment="1">
      <alignment horizontal="center" vertical="top" wrapText="1"/>
    </xf>
    <xf numFmtId="3" fontId="7" fillId="0" borderId="0" xfId="0" applyNumberFormat="1" applyFont="1" applyFill="1" applyAlignment="1">
      <alignment horizontal="left" vertical="top"/>
    </xf>
    <xf numFmtId="4" fontId="3" fillId="0" borderId="0" xfId="0" applyNumberFormat="1" applyFont="1" applyFill="1" applyAlignment="1">
      <alignment vertical="top"/>
    </xf>
    <xf numFmtId="0" fontId="5" fillId="6" borderId="29" xfId="0" applyFont="1" applyFill="1" applyBorder="1" applyAlignment="1">
      <alignment horizontal="left" vertical="top" wrapText="1"/>
    </xf>
    <xf numFmtId="0" fontId="3" fillId="0" borderId="29" xfId="0" applyFont="1" applyFill="1" applyBorder="1" applyAlignment="1">
      <alignment horizontal="center" vertical="top" wrapText="1"/>
    </xf>
    <xf numFmtId="0" fontId="3" fillId="0" borderId="19" xfId="0" applyFont="1" applyBorder="1" applyAlignment="1">
      <alignment horizontal="center" vertical="top"/>
    </xf>
    <xf numFmtId="165" fontId="3" fillId="2" borderId="94" xfId="0" applyNumberFormat="1" applyFont="1" applyFill="1" applyBorder="1" applyAlignment="1">
      <alignment horizontal="center" vertical="top"/>
    </xf>
    <xf numFmtId="165" fontId="3" fillId="2" borderId="73" xfId="0" applyNumberFormat="1" applyFont="1" applyFill="1" applyBorder="1" applyAlignment="1">
      <alignment horizontal="center" vertical="top"/>
    </xf>
    <xf numFmtId="0" fontId="3" fillId="0" borderId="82" xfId="0" applyFont="1" applyFill="1" applyBorder="1" applyAlignment="1">
      <alignment horizontal="left" vertical="top" wrapText="1"/>
    </xf>
    <xf numFmtId="0" fontId="3" fillId="6" borderId="93" xfId="0" applyNumberFormat="1" applyFont="1" applyFill="1" applyBorder="1" applyAlignment="1">
      <alignment horizontal="center" vertical="top" wrapText="1"/>
    </xf>
    <xf numFmtId="0" fontId="3" fillId="6" borderId="88" xfId="0" applyNumberFormat="1" applyFont="1" applyFill="1" applyBorder="1" applyAlignment="1">
      <alignment horizontal="center" vertical="top" wrapText="1"/>
    </xf>
    <xf numFmtId="0" fontId="19" fillId="2" borderId="8" xfId="0" applyFont="1" applyFill="1" applyBorder="1" applyAlignment="1">
      <alignment horizontal="left" vertical="top" wrapText="1"/>
    </xf>
    <xf numFmtId="0" fontId="3" fillId="6" borderId="27" xfId="0" applyNumberFormat="1" applyFont="1" applyFill="1" applyBorder="1" applyAlignment="1">
      <alignment horizontal="center" vertical="top"/>
    </xf>
    <xf numFmtId="0" fontId="3" fillId="6" borderId="28" xfId="0" applyNumberFormat="1" applyFont="1" applyFill="1" applyBorder="1" applyAlignment="1">
      <alignment horizontal="center" vertical="top"/>
    </xf>
    <xf numFmtId="3" fontId="3" fillId="6" borderId="85" xfId="0" applyNumberFormat="1" applyFont="1" applyFill="1" applyBorder="1" applyAlignment="1">
      <alignment horizontal="center" vertical="top" wrapText="1"/>
    </xf>
    <xf numFmtId="3" fontId="3" fillId="6" borderId="75" xfId="0" applyNumberFormat="1" applyFont="1" applyFill="1" applyBorder="1" applyAlignment="1">
      <alignment horizontal="center" vertical="top" wrapText="1"/>
    </xf>
    <xf numFmtId="0" fontId="22" fillId="0" borderId="89" xfId="0" applyFont="1" applyFill="1" applyBorder="1" applyAlignment="1">
      <alignment vertical="top" wrapText="1"/>
    </xf>
    <xf numFmtId="1" fontId="3" fillId="6" borderId="81" xfId="0" applyNumberFormat="1" applyFont="1" applyFill="1" applyBorder="1" applyAlignment="1">
      <alignment horizontal="center" vertical="top" wrapText="1"/>
    </xf>
    <xf numFmtId="0" fontId="3" fillId="6" borderId="100" xfId="0" applyFont="1" applyFill="1" applyBorder="1" applyAlignment="1">
      <alignment horizontal="center" vertical="top"/>
    </xf>
    <xf numFmtId="0" fontId="19" fillId="6" borderId="26" xfId="0" applyFont="1" applyFill="1" applyBorder="1" applyAlignment="1">
      <alignment horizontal="left" vertical="top" wrapText="1"/>
    </xf>
    <xf numFmtId="0" fontId="3" fillId="6" borderId="60" xfId="1" applyFont="1" applyFill="1" applyBorder="1" applyAlignment="1">
      <alignment vertical="top" wrapText="1"/>
    </xf>
    <xf numFmtId="0" fontId="3" fillId="6" borderId="61" xfId="0" applyFont="1" applyFill="1" applyBorder="1" applyAlignment="1">
      <alignment horizontal="center" vertical="center" textRotation="90" wrapText="1"/>
    </xf>
    <xf numFmtId="165" fontId="3" fillId="6" borderId="66" xfId="0" applyNumberFormat="1" applyFont="1" applyFill="1" applyBorder="1" applyAlignment="1">
      <alignment horizontal="center" vertical="top"/>
    </xf>
    <xf numFmtId="0" fontId="9" fillId="0" borderId="61" xfId="0" applyFont="1" applyFill="1" applyBorder="1" applyAlignment="1">
      <alignment vertical="top" wrapText="1"/>
    </xf>
    <xf numFmtId="165" fontId="3" fillId="0" borderId="11" xfId="0" applyNumberFormat="1" applyFont="1" applyFill="1" applyBorder="1" applyAlignment="1">
      <alignment horizontal="center" vertical="top" wrapText="1"/>
    </xf>
    <xf numFmtId="165" fontId="3" fillId="0" borderId="61" xfId="0" applyNumberFormat="1" applyFont="1" applyFill="1" applyBorder="1" applyAlignment="1">
      <alignment horizontal="center" vertical="top" wrapText="1"/>
    </xf>
    <xf numFmtId="165" fontId="3" fillId="0" borderId="95" xfId="0" applyNumberFormat="1" applyFont="1" applyFill="1" applyBorder="1" applyAlignment="1">
      <alignment horizontal="center" vertical="top" wrapText="1"/>
    </xf>
    <xf numFmtId="1" fontId="3" fillId="6" borderId="96" xfId="0" applyNumberFormat="1" applyFont="1" applyFill="1" applyBorder="1" applyAlignment="1">
      <alignment horizontal="center" vertical="top" wrapText="1"/>
    </xf>
    <xf numFmtId="0" fontId="3" fillId="6" borderId="103" xfId="0" applyFont="1" applyFill="1" applyBorder="1" applyAlignment="1">
      <alignment vertical="top" wrapText="1"/>
    </xf>
    <xf numFmtId="49" fontId="3" fillId="6" borderId="73" xfId="0" applyNumberFormat="1" applyFont="1" applyFill="1" applyBorder="1" applyAlignment="1">
      <alignment horizontal="center" vertical="top" wrapText="1"/>
    </xf>
    <xf numFmtId="49" fontId="3" fillId="6" borderId="68" xfId="0" applyNumberFormat="1" applyFont="1" applyFill="1" applyBorder="1" applyAlignment="1">
      <alignment horizontal="center" vertical="top" wrapText="1"/>
    </xf>
    <xf numFmtId="165" fontId="3" fillId="6" borderId="12" xfId="0" applyNumberFormat="1" applyFont="1" applyFill="1" applyBorder="1" applyAlignment="1">
      <alignment horizontal="center" vertical="top"/>
    </xf>
    <xf numFmtId="0" fontId="3" fillId="0" borderId="12" xfId="0" applyFont="1" applyFill="1" applyBorder="1" applyAlignment="1">
      <alignment vertical="top" wrapText="1"/>
    </xf>
    <xf numFmtId="0" fontId="2" fillId="6" borderId="11" xfId="0" applyFont="1" applyFill="1" applyBorder="1" applyAlignment="1">
      <alignment horizontal="center" vertical="center" textRotation="90"/>
    </xf>
    <xf numFmtId="165" fontId="3" fillId="6" borderId="56" xfId="0" applyNumberFormat="1" applyFont="1" applyFill="1" applyBorder="1" applyAlignment="1">
      <alignment horizontal="center" vertical="top"/>
    </xf>
    <xf numFmtId="0" fontId="3" fillId="0" borderId="10" xfId="0" applyFont="1" applyFill="1" applyBorder="1" applyAlignment="1">
      <alignment vertical="top" wrapText="1"/>
    </xf>
    <xf numFmtId="0" fontId="5" fillId="6" borderId="17" xfId="0" applyFont="1" applyFill="1" applyBorder="1" applyAlignment="1">
      <alignment horizontal="center" vertical="center"/>
    </xf>
    <xf numFmtId="165" fontId="3" fillId="6" borderId="91" xfId="0" applyNumberFormat="1" applyFont="1" applyFill="1" applyBorder="1" applyAlignment="1">
      <alignment horizontal="center" vertical="top"/>
    </xf>
    <xf numFmtId="3" fontId="3" fillId="6" borderId="29" xfId="1" applyNumberFormat="1" applyFont="1" applyFill="1" applyBorder="1" applyAlignment="1">
      <alignment horizontal="center" vertical="top"/>
    </xf>
    <xf numFmtId="3" fontId="3" fillId="6" borderId="44" xfId="1" applyNumberFormat="1" applyFont="1" applyFill="1" applyBorder="1" applyAlignment="1">
      <alignment horizontal="center" vertical="top"/>
    </xf>
    <xf numFmtId="3" fontId="3" fillId="6" borderId="28" xfId="1" applyNumberFormat="1" applyFont="1" applyFill="1" applyBorder="1" applyAlignment="1">
      <alignment horizontal="center" vertical="top"/>
    </xf>
    <xf numFmtId="1" fontId="3" fillId="6" borderId="0" xfId="1" applyNumberFormat="1" applyFont="1" applyFill="1" applyBorder="1" applyAlignment="1">
      <alignment horizontal="center" vertical="top" wrapText="1"/>
    </xf>
    <xf numFmtId="1" fontId="3" fillId="6" borderId="15" xfId="1" applyNumberFormat="1" applyFont="1" applyFill="1" applyBorder="1" applyAlignment="1">
      <alignment horizontal="center" vertical="top" wrapText="1"/>
    </xf>
    <xf numFmtId="3" fontId="3" fillId="6" borderId="90" xfId="1" applyNumberFormat="1" applyFont="1" applyFill="1" applyBorder="1" applyAlignment="1">
      <alignment horizontal="center" vertical="top" wrapText="1"/>
    </xf>
    <xf numFmtId="3" fontId="3" fillId="6" borderId="17" xfId="1" applyNumberFormat="1" applyFont="1" applyFill="1" applyBorder="1" applyAlignment="1">
      <alignment horizontal="center" vertical="top" wrapText="1"/>
    </xf>
    <xf numFmtId="3" fontId="3" fillId="6" borderId="37" xfId="1" applyNumberFormat="1" applyFont="1" applyFill="1" applyBorder="1" applyAlignment="1">
      <alignment horizontal="center" vertical="top" wrapText="1"/>
    </xf>
    <xf numFmtId="3" fontId="3" fillId="6" borderId="1" xfId="1" applyNumberFormat="1" applyFont="1" applyFill="1" applyBorder="1" applyAlignment="1">
      <alignment horizontal="center" vertical="top" wrapText="1"/>
    </xf>
    <xf numFmtId="0" fontId="3" fillId="6" borderId="8" xfId="0" applyFont="1" applyFill="1" applyBorder="1" applyAlignment="1">
      <alignment horizontal="left" wrapText="1"/>
    </xf>
    <xf numFmtId="3" fontId="3" fillId="6" borderId="13" xfId="0" applyNumberFormat="1" applyFont="1" applyFill="1" applyBorder="1" applyAlignment="1">
      <alignment horizontal="center" wrapText="1"/>
    </xf>
    <xf numFmtId="3" fontId="3" fillId="6" borderId="0" xfId="0" applyNumberFormat="1" applyFont="1" applyFill="1" applyBorder="1" applyAlignment="1">
      <alignment horizontal="center" wrapText="1"/>
    </xf>
    <xf numFmtId="3" fontId="3" fillId="6" borderId="15" xfId="0" applyNumberFormat="1" applyFont="1" applyFill="1" applyBorder="1" applyAlignment="1">
      <alignment horizontal="center" wrapText="1"/>
    </xf>
    <xf numFmtId="0" fontId="16" fillId="6" borderId="7" xfId="0" applyFont="1" applyFill="1" applyBorder="1" applyAlignment="1">
      <alignment horizontal="center" vertical="top" wrapText="1"/>
    </xf>
    <xf numFmtId="165" fontId="16" fillId="6" borderId="7" xfId="0" applyNumberFormat="1" applyFont="1" applyFill="1" applyBorder="1" applyAlignment="1">
      <alignment horizontal="center" vertical="top"/>
    </xf>
    <xf numFmtId="165" fontId="3" fillId="12" borderId="7" xfId="3" applyNumberFormat="1" applyFont="1" applyFill="1" applyBorder="1" applyAlignment="1">
      <alignment horizontal="center" vertical="top"/>
    </xf>
    <xf numFmtId="165" fontId="3" fillId="12" borderId="19" xfId="3" applyNumberFormat="1" applyFont="1" applyFill="1" applyBorder="1" applyAlignment="1">
      <alignment horizontal="center" vertical="top"/>
    </xf>
    <xf numFmtId="165" fontId="3" fillId="6" borderId="4" xfId="0" applyNumberFormat="1" applyFont="1" applyFill="1" applyBorder="1" applyAlignment="1">
      <alignment horizontal="center" vertical="top" wrapText="1"/>
    </xf>
    <xf numFmtId="165" fontId="5" fillId="6" borderId="19" xfId="0" applyNumberFormat="1" applyFont="1" applyFill="1" applyBorder="1" applyAlignment="1">
      <alignment horizontal="center" vertical="top"/>
    </xf>
    <xf numFmtId="0" fontId="3" fillId="0" borderId="53" xfId="0" applyFont="1" applyBorder="1" applyAlignment="1">
      <alignment horizontal="center" vertical="center" textRotation="90" wrapText="1"/>
    </xf>
    <xf numFmtId="0" fontId="5" fillId="0" borderId="24" xfId="0" applyFont="1" applyBorder="1" applyAlignment="1">
      <alignment horizontal="center" vertical="center"/>
    </xf>
    <xf numFmtId="0" fontId="3" fillId="0" borderId="5" xfId="0" applyFont="1" applyBorder="1" applyAlignment="1">
      <alignment horizontal="center" vertical="center"/>
    </xf>
    <xf numFmtId="3" fontId="3" fillId="6" borderId="41" xfId="0" applyNumberFormat="1" applyFont="1" applyFill="1" applyBorder="1" applyAlignment="1">
      <alignment horizontal="right" vertical="center"/>
    </xf>
    <xf numFmtId="3" fontId="3" fillId="6" borderId="65" xfId="0" applyNumberFormat="1" applyFont="1" applyFill="1" applyBorder="1" applyAlignment="1">
      <alignment horizontal="right" vertical="center"/>
    </xf>
    <xf numFmtId="0" fontId="3" fillId="0" borderId="65" xfId="0" applyFont="1" applyBorder="1" applyAlignment="1">
      <alignment vertical="center" wrapText="1"/>
    </xf>
    <xf numFmtId="0" fontId="3" fillId="0" borderId="23" xfId="0" applyFont="1" applyBorder="1" applyAlignment="1">
      <alignment horizontal="center" vertical="center"/>
    </xf>
    <xf numFmtId="0" fontId="3" fillId="0" borderId="42" xfId="0" applyFont="1" applyBorder="1" applyAlignment="1">
      <alignment horizontal="center" vertical="center"/>
    </xf>
    <xf numFmtId="0" fontId="3" fillId="0" borderId="24" xfId="0" applyFont="1" applyBorder="1" applyAlignment="1">
      <alignment horizontal="center" vertical="center"/>
    </xf>
    <xf numFmtId="0" fontId="3" fillId="6" borderId="4" xfId="0" applyFont="1" applyFill="1" applyBorder="1" applyAlignment="1">
      <alignment horizontal="center" vertical="center"/>
    </xf>
    <xf numFmtId="0" fontId="7" fillId="6" borderId="16" xfId="0" applyFont="1" applyFill="1" applyBorder="1" applyAlignment="1">
      <alignment horizontal="center" vertical="center" textRotation="90" wrapText="1"/>
    </xf>
    <xf numFmtId="0" fontId="3" fillId="6" borderId="87" xfId="0" applyFont="1" applyFill="1" applyBorder="1" applyAlignment="1">
      <alignment vertical="top" wrapText="1"/>
    </xf>
    <xf numFmtId="0" fontId="3" fillId="0" borderId="19" xfId="0" applyFont="1" applyBorder="1" applyAlignment="1">
      <alignment horizontal="center" vertical="top" wrapText="1"/>
    </xf>
    <xf numFmtId="3" fontId="3" fillId="2" borderId="26" xfId="0" applyNumberFormat="1" applyFont="1" applyFill="1" applyBorder="1" applyAlignment="1">
      <alignment horizontal="right" vertical="top"/>
    </xf>
    <xf numFmtId="3" fontId="3" fillId="2" borderId="5" xfId="0" applyNumberFormat="1" applyFont="1" applyFill="1" applyBorder="1" applyAlignment="1">
      <alignment horizontal="right" vertical="top"/>
    </xf>
    <xf numFmtId="0" fontId="3" fillId="0" borderId="1" xfId="0" applyFont="1" applyBorder="1" applyAlignment="1">
      <alignment vertical="top"/>
    </xf>
    <xf numFmtId="0" fontId="3" fillId="6" borderId="45" xfId="0" applyFont="1" applyFill="1" applyBorder="1" applyAlignment="1">
      <alignment vertical="top"/>
    </xf>
    <xf numFmtId="0" fontId="5" fillId="2" borderId="27" xfId="0" applyFont="1" applyFill="1" applyBorder="1" applyAlignment="1">
      <alignment horizontal="center" vertical="top" wrapText="1"/>
    </xf>
    <xf numFmtId="0" fontId="5" fillId="6" borderId="33" xfId="0" applyFont="1" applyFill="1" applyBorder="1" applyAlignment="1">
      <alignment horizontal="center" vertical="top" wrapText="1"/>
    </xf>
    <xf numFmtId="3" fontId="3" fillId="0" borderId="29" xfId="0" applyNumberFormat="1" applyFont="1" applyFill="1" applyBorder="1" applyAlignment="1">
      <alignment horizontal="center" vertical="top"/>
    </xf>
    <xf numFmtId="3" fontId="3" fillId="0" borderId="44"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165" fontId="15" fillId="8" borderId="57" xfId="0" applyNumberFormat="1" applyFont="1" applyFill="1" applyBorder="1" applyAlignment="1">
      <alignment horizontal="center" vertical="top"/>
    </xf>
    <xf numFmtId="165" fontId="3" fillId="0" borderId="0" xfId="0" applyNumberFormat="1" applyFont="1" applyFill="1" applyAlignment="1">
      <alignment vertical="top"/>
    </xf>
    <xf numFmtId="0" fontId="5" fillId="10" borderId="0" xfId="0" applyFont="1" applyFill="1" applyBorder="1" applyAlignment="1">
      <alignment horizontal="left" vertical="top"/>
    </xf>
    <xf numFmtId="0" fontId="5" fillId="9" borderId="59" xfId="0" applyFont="1" applyFill="1" applyBorder="1" applyAlignment="1">
      <alignment horizontal="left" vertical="top" wrapText="1"/>
    </xf>
    <xf numFmtId="165" fontId="3" fillId="6" borderId="11" xfId="0" applyNumberFormat="1" applyFont="1" applyFill="1" applyBorder="1" applyAlignment="1">
      <alignment vertical="top"/>
    </xf>
    <xf numFmtId="0" fontId="3" fillId="6" borderId="13" xfId="0" applyFont="1" applyFill="1" applyBorder="1" applyAlignment="1">
      <alignment vertical="top"/>
    </xf>
    <xf numFmtId="1" fontId="3" fillId="6" borderId="1" xfId="0" applyNumberFormat="1" applyFont="1" applyFill="1" applyBorder="1" applyAlignment="1">
      <alignment horizontal="center" vertical="top" wrapText="1"/>
    </xf>
    <xf numFmtId="165" fontId="3" fillId="6" borderId="83" xfId="0" applyNumberFormat="1" applyFont="1" applyFill="1" applyBorder="1" applyAlignment="1">
      <alignment horizontal="center" vertical="top"/>
    </xf>
    <xf numFmtId="3" fontId="3" fillId="0" borderId="15" xfId="1" applyNumberFormat="1" applyFont="1" applyFill="1" applyBorder="1" applyAlignment="1">
      <alignment horizontal="center" vertical="top"/>
    </xf>
    <xf numFmtId="0" fontId="3" fillId="6" borderId="87" xfId="1" applyFont="1" applyFill="1" applyBorder="1" applyAlignment="1">
      <alignment horizontal="left" vertical="top" wrapText="1"/>
    </xf>
    <xf numFmtId="165" fontId="3" fillId="6" borderId="8" xfId="0" applyNumberFormat="1" applyFont="1" applyFill="1" applyBorder="1" applyAlignment="1">
      <alignment vertical="top" wrapText="1"/>
    </xf>
    <xf numFmtId="0" fontId="19" fillId="6" borderId="26" xfId="1" applyFont="1" applyFill="1" applyBorder="1" applyAlignment="1">
      <alignment vertical="top" wrapText="1"/>
    </xf>
    <xf numFmtId="0" fontId="5" fillId="2" borderId="28" xfId="0" applyFont="1" applyFill="1" applyBorder="1" applyAlignment="1">
      <alignment horizontal="center" vertical="top" wrapText="1"/>
    </xf>
    <xf numFmtId="165" fontId="3" fillId="6" borderId="26" xfId="0" applyNumberFormat="1" applyFont="1" applyFill="1" applyBorder="1" applyAlignment="1">
      <alignment horizontal="center" vertical="top"/>
    </xf>
    <xf numFmtId="3" fontId="3" fillId="6" borderId="78" xfId="1" applyNumberFormat="1" applyFont="1" applyFill="1" applyBorder="1" applyAlignment="1">
      <alignment horizontal="center" vertical="top" wrapText="1"/>
    </xf>
    <xf numFmtId="3" fontId="3" fillId="6" borderId="98" xfId="1" applyNumberFormat="1" applyFont="1" applyFill="1" applyBorder="1" applyAlignment="1">
      <alignment horizontal="center" vertical="top" wrapText="1"/>
    </xf>
    <xf numFmtId="3" fontId="3" fillId="6" borderId="13" xfId="1" applyNumberFormat="1" applyFont="1" applyFill="1" applyBorder="1" applyAlignment="1">
      <alignment horizontal="center" vertical="top" wrapText="1"/>
    </xf>
    <xf numFmtId="3" fontId="3" fillId="6" borderId="15" xfId="1" applyNumberFormat="1" applyFont="1" applyFill="1" applyBorder="1" applyAlignment="1">
      <alignment horizontal="center" vertical="top" wrapText="1"/>
    </xf>
    <xf numFmtId="165" fontId="3" fillId="0" borderId="60" xfId="0" applyNumberFormat="1" applyFont="1" applyFill="1" applyBorder="1" applyAlignment="1">
      <alignment horizontal="center" vertical="top"/>
    </xf>
    <xf numFmtId="0" fontId="3" fillId="6" borderId="12" xfId="1" applyFont="1" applyFill="1" applyBorder="1" applyAlignment="1">
      <alignment vertical="top" wrapText="1"/>
    </xf>
    <xf numFmtId="3" fontId="3" fillId="6" borderId="2" xfId="1" applyNumberFormat="1" applyFont="1" applyFill="1" applyBorder="1" applyAlignment="1">
      <alignment horizontal="center" vertical="top" wrapText="1"/>
    </xf>
    <xf numFmtId="3" fontId="3" fillId="6" borderId="38" xfId="1" applyNumberFormat="1" applyFont="1" applyFill="1" applyBorder="1" applyAlignment="1">
      <alignment horizontal="center" vertical="top" wrapText="1"/>
    </xf>
    <xf numFmtId="49" fontId="3" fillId="6" borderId="19" xfId="0" applyNumberFormat="1" applyFont="1" applyFill="1" applyBorder="1" applyAlignment="1">
      <alignment horizontal="center" vertical="top"/>
    </xf>
    <xf numFmtId="49" fontId="3" fillId="6" borderId="27" xfId="0" applyNumberFormat="1" applyFont="1" applyFill="1" applyBorder="1" applyAlignment="1">
      <alignment horizontal="center" vertical="top" wrapText="1"/>
    </xf>
    <xf numFmtId="49" fontId="3" fillId="6" borderId="43" xfId="0" applyNumberFormat="1" applyFont="1" applyFill="1" applyBorder="1" applyAlignment="1">
      <alignment horizontal="center" vertical="top" wrapText="1"/>
    </xf>
    <xf numFmtId="0" fontId="3" fillId="6" borderId="84" xfId="0" applyFont="1" applyFill="1" applyBorder="1" applyAlignment="1">
      <alignment horizontal="center" vertical="center"/>
    </xf>
    <xf numFmtId="0" fontId="3" fillId="6" borderId="86" xfId="0" applyFont="1" applyFill="1" applyBorder="1" applyAlignment="1">
      <alignment horizontal="center" vertical="center"/>
    </xf>
    <xf numFmtId="3" fontId="3" fillId="6" borderId="93" xfId="0" applyNumberFormat="1" applyFont="1" applyFill="1" applyBorder="1" applyAlignment="1">
      <alignment horizontal="center" vertical="top"/>
    </xf>
    <xf numFmtId="0" fontId="3" fillId="0" borderId="0" xfId="0" applyNumberFormat="1" applyFont="1" applyFill="1" applyBorder="1" applyAlignment="1">
      <alignment horizontal="left" vertical="top" wrapText="1"/>
    </xf>
    <xf numFmtId="0" fontId="7" fillId="0" borderId="0" xfId="0" applyFont="1" applyBorder="1" applyAlignment="1">
      <alignment horizontal="left" vertical="top" wrapText="1"/>
    </xf>
    <xf numFmtId="165" fontId="3" fillId="6" borderId="38" xfId="0" applyNumberFormat="1" applyFont="1" applyFill="1" applyBorder="1" applyAlignment="1">
      <alignment horizontal="center" vertical="top"/>
    </xf>
    <xf numFmtId="165" fontId="3" fillId="6" borderId="44"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165" fontId="3" fillId="6" borderId="36" xfId="0" applyNumberFormat="1" applyFont="1" applyFill="1" applyBorder="1" applyAlignment="1">
      <alignment horizontal="center" vertical="top"/>
    </xf>
    <xf numFmtId="165" fontId="5" fillId="3" borderId="55" xfId="0" applyNumberFormat="1" applyFont="1" applyFill="1" applyBorder="1" applyAlignment="1">
      <alignment horizontal="center" vertical="top"/>
    </xf>
    <xf numFmtId="165" fontId="3" fillId="6" borderId="39" xfId="0" applyNumberFormat="1" applyFont="1" applyFill="1" applyBorder="1" applyAlignment="1">
      <alignment horizontal="center" vertical="top"/>
    </xf>
    <xf numFmtId="165" fontId="5" fillId="3" borderId="59" xfId="0" applyNumberFormat="1" applyFont="1" applyFill="1" applyBorder="1" applyAlignment="1">
      <alignment horizontal="center" vertical="top"/>
    </xf>
    <xf numFmtId="49" fontId="5" fillId="6" borderId="102" xfId="0" applyNumberFormat="1" applyFont="1" applyFill="1" applyBorder="1" applyAlignment="1">
      <alignment horizontal="center" vertical="top"/>
    </xf>
    <xf numFmtId="49" fontId="5" fillId="6" borderId="54" xfId="0" applyNumberFormat="1" applyFont="1" applyFill="1" applyBorder="1" applyAlignment="1">
      <alignment horizontal="center" vertical="top" wrapText="1"/>
    </xf>
    <xf numFmtId="0" fontId="3" fillId="6" borderId="104" xfId="0" applyFont="1" applyFill="1" applyBorder="1" applyAlignment="1">
      <alignment vertical="top" wrapText="1"/>
    </xf>
    <xf numFmtId="0" fontId="5" fillId="6" borderId="104" xfId="0" applyFont="1" applyFill="1" applyBorder="1" applyAlignment="1">
      <alignment horizontal="center" vertical="top" wrapText="1"/>
    </xf>
    <xf numFmtId="0" fontId="5" fillId="6" borderId="11" xfId="0" applyFont="1" applyFill="1" applyBorder="1" applyAlignment="1">
      <alignment horizontal="left" vertical="top" wrapText="1"/>
    </xf>
    <xf numFmtId="0" fontId="13" fillId="6" borderId="11" xfId="0" applyFont="1" applyFill="1" applyBorder="1" applyAlignment="1">
      <alignment horizontal="left" vertical="top" wrapText="1"/>
    </xf>
    <xf numFmtId="49" fontId="5" fillId="6" borderId="23" xfId="0" applyNumberFormat="1" applyFont="1" applyFill="1" applyBorder="1" applyAlignment="1">
      <alignment horizontal="center" vertical="top" wrapText="1"/>
    </xf>
    <xf numFmtId="0" fontId="29" fillId="0" borderId="105" xfId="0" applyNumberFormat="1" applyFont="1" applyFill="1" applyBorder="1" applyAlignment="1" applyProtection="1">
      <alignment horizontal="center" wrapText="1" readingOrder="1"/>
    </xf>
    <xf numFmtId="0" fontId="29" fillId="0" borderId="106" xfId="0" applyNumberFormat="1" applyFont="1" applyFill="1" applyBorder="1" applyAlignment="1" applyProtection="1">
      <alignment horizontal="center" wrapText="1" readingOrder="1"/>
    </xf>
    <xf numFmtId="0" fontId="29" fillId="0" borderId="106" xfId="0" applyNumberFormat="1" applyFont="1" applyFill="1" applyBorder="1" applyAlignment="1" applyProtection="1">
      <alignment horizontal="center" vertical="center" wrapText="1" readingOrder="1"/>
    </xf>
    <xf numFmtId="0" fontId="24" fillId="0" borderId="0" xfId="0" applyNumberFormat="1" applyFont="1" applyFill="1" applyAlignment="1" applyProtection="1">
      <alignment wrapText="1" readingOrder="1"/>
    </xf>
    <xf numFmtId="0" fontId="29" fillId="0" borderId="108" xfId="0" applyNumberFormat="1" applyFont="1" applyFill="1" applyBorder="1" applyAlignment="1" applyProtection="1">
      <alignment horizontal="center" wrapText="1" readingOrder="1"/>
    </xf>
    <xf numFmtId="0" fontId="29" fillId="0" borderId="109" xfId="0" applyNumberFormat="1" applyFont="1" applyFill="1" applyBorder="1" applyAlignment="1" applyProtection="1">
      <alignment horizontal="center" wrapText="1" readingOrder="1"/>
    </xf>
    <xf numFmtId="0" fontId="29" fillId="0" borderId="109" xfId="0" applyNumberFormat="1" applyFont="1" applyFill="1" applyBorder="1" applyAlignment="1" applyProtection="1">
      <alignment horizontal="center" vertical="center" wrapText="1" readingOrder="1"/>
    </xf>
    <xf numFmtId="0" fontId="29" fillId="0" borderId="111" xfId="0" applyNumberFormat="1" applyFont="1" applyFill="1" applyBorder="1" applyAlignment="1" applyProtection="1">
      <alignment horizontal="center" wrapText="1" readingOrder="1"/>
    </xf>
    <xf numFmtId="0" fontId="29" fillId="0" borderId="112" xfId="0" applyNumberFormat="1" applyFont="1" applyFill="1" applyBorder="1" applyAlignment="1" applyProtection="1">
      <alignment horizontal="center" wrapText="1" readingOrder="1"/>
    </xf>
    <xf numFmtId="0" fontId="29" fillId="0" borderId="112" xfId="0" applyNumberFormat="1" applyFont="1" applyFill="1" applyBorder="1" applyAlignment="1" applyProtection="1">
      <alignment horizontal="center" vertical="center" wrapText="1" readingOrder="1"/>
    </xf>
    <xf numFmtId="0" fontId="29" fillId="13" borderId="105" xfId="0" applyNumberFormat="1" applyFont="1" applyFill="1" applyBorder="1" applyAlignment="1" applyProtection="1">
      <alignment vertical="top" wrapText="1" readingOrder="1"/>
      <protection locked="0"/>
    </xf>
    <xf numFmtId="0" fontId="29" fillId="13" borderId="106" xfId="0" applyNumberFormat="1" applyFont="1" applyFill="1" applyBorder="1" applyAlignment="1" applyProtection="1">
      <alignment vertical="top" wrapText="1" readingOrder="1"/>
      <protection locked="0"/>
    </xf>
    <xf numFmtId="0" fontId="29" fillId="13" borderId="106" xfId="0" applyNumberFormat="1" applyFont="1" applyFill="1" applyBorder="1" applyAlignment="1" applyProtection="1">
      <alignment horizontal="left" vertical="top" wrapText="1" readingOrder="1"/>
      <protection locked="0"/>
    </xf>
    <xf numFmtId="0" fontId="29" fillId="13" borderId="106" xfId="0" applyNumberFormat="1" applyFont="1" applyFill="1" applyBorder="1" applyAlignment="1" applyProtection="1">
      <alignment horizontal="center" vertical="center" wrapText="1" readingOrder="1"/>
      <protection locked="0"/>
    </xf>
    <xf numFmtId="167" fontId="29" fillId="13" borderId="106" xfId="0" applyNumberFormat="1" applyFont="1" applyFill="1" applyBorder="1" applyAlignment="1" applyProtection="1">
      <alignment horizontal="right" vertical="top" wrapText="1" readingOrder="1"/>
    </xf>
    <xf numFmtId="0" fontId="29" fillId="13" borderId="106" xfId="0" applyNumberFormat="1" applyFont="1" applyFill="1" applyBorder="1" applyAlignment="1" applyProtection="1">
      <alignment horizontal="center" vertical="top" wrapText="1" readingOrder="1"/>
      <protection locked="0"/>
    </xf>
    <xf numFmtId="0" fontId="29" fillId="13" borderId="106" xfId="0" applyNumberFormat="1" applyFont="1" applyFill="1" applyBorder="1" applyAlignment="1" applyProtection="1">
      <alignment horizontal="right" vertical="top" wrapText="1" readingOrder="1"/>
      <protection locked="0"/>
    </xf>
    <xf numFmtId="0" fontId="29" fillId="14" borderId="105" xfId="0" applyNumberFormat="1" applyFont="1" applyFill="1" applyBorder="1" applyAlignment="1" applyProtection="1">
      <alignment vertical="top" wrapText="1" readingOrder="1"/>
      <protection locked="0"/>
    </xf>
    <xf numFmtId="0" fontId="29" fillId="14" borderId="106" xfId="0" applyNumberFormat="1" applyFont="1" applyFill="1" applyBorder="1" applyAlignment="1" applyProtection="1">
      <alignment vertical="top" wrapText="1" readingOrder="1"/>
      <protection locked="0"/>
    </xf>
    <xf numFmtId="0" fontId="29" fillId="14" borderId="106" xfId="0" applyNumberFormat="1" applyFont="1" applyFill="1" applyBorder="1" applyAlignment="1" applyProtection="1">
      <alignment horizontal="left" vertical="top" wrapText="1" readingOrder="1"/>
      <protection locked="0"/>
    </xf>
    <xf numFmtId="0" fontId="29" fillId="14" borderId="106" xfId="0" applyNumberFormat="1" applyFont="1" applyFill="1" applyBorder="1" applyAlignment="1" applyProtection="1">
      <alignment horizontal="center" vertical="center" wrapText="1" readingOrder="1"/>
      <protection locked="0"/>
    </xf>
    <xf numFmtId="167" fontId="29" fillId="14" borderId="106" xfId="0" applyNumberFormat="1" applyFont="1" applyFill="1" applyBorder="1" applyAlignment="1" applyProtection="1">
      <alignment horizontal="right" vertical="top" wrapText="1" readingOrder="1"/>
    </xf>
    <xf numFmtId="0" fontId="29" fillId="14" borderId="106" xfId="0" applyNumberFormat="1" applyFont="1" applyFill="1" applyBorder="1" applyAlignment="1" applyProtection="1">
      <alignment horizontal="center" vertical="top" wrapText="1" readingOrder="1"/>
      <protection locked="0"/>
    </xf>
    <xf numFmtId="0" fontId="29" fillId="14" borderId="106" xfId="0" applyNumberFormat="1" applyFont="1" applyFill="1" applyBorder="1" applyAlignment="1" applyProtection="1">
      <alignment horizontal="right" vertical="top" wrapText="1" readingOrder="1"/>
      <protection locked="0"/>
    </xf>
    <xf numFmtId="0" fontId="24" fillId="0" borderId="108" xfId="0" applyNumberFormat="1" applyFont="1" applyFill="1" applyBorder="1" applyAlignment="1" applyProtection="1">
      <alignment vertical="top" wrapText="1" readingOrder="1"/>
      <protection locked="0"/>
    </xf>
    <xf numFmtId="0" fontId="24" fillId="0" borderId="109" xfId="0" applyNumberFormat="1" applyFont="1" applyFill="1" applyBorder="1" applyAlignment="1" applyProtection="1">
      <alignment vertical="top" wrapText="1" readingOrder="1"/>
      <protection locked="0"/>
    </xf>
    <xf numFmtId="0" fontId="24" fillId="0" borderId="109" xfId="0" applyNumberFormat="1" applyFont="1" applyFill="1" applyBorder="1" applyAlignment="1" applyProtection="1">
      <alignment horizontal="left" vertical="top" wrapText="1" readingOrder="1"/>
      <protection locked="0"/>
    </xf>
    <xf numFmtId="0" fontId="24" fillId="0" borderId="109" xfId="0" applyNumberFormat="1" applyFont="1" applyFill="1" applyBorder="1" applyAlignment="1" applyProtection="1">
      <alignment horizontal="center" vertical="center" wrapText="1" readingOrder="1"/>
      <protection locked="0"/>
    </xf>
    <xf numFmtId="167" fontId="24" fillId="0" borderId="109" xfId="0" applyNumberFormat="1" applyFont="1" applyFill="1" applyBorder="1" applyAlignment="1" applyProtection="1">
      <alignment horizontal="right" vertical="top" wrapText="1" readingOrder="1"/>
      <protection locked="0"/>
    </xf>
    <xf numFmtId="0" fontId="24" fillId="0" borderId="109" xfId="0" applyNumberFormat="1" applyFont="1" applyFill="1" applyBorder="1" applyAlignment="1" applyProtection="1">
      <alignment horizontal="center" vertical="top" wrapText="1" readingOrder="1"/>
      <protection locked="0"/>
    </xf>
    <xf numFmtId="0" fontId="24" fillId="0" borderId="109" xfId="0" applyNumberFormat="1" applyFont="1" applyFill="1" applyBorder="1" applyAlignment="1" applyProtection="1">
      <alignment horizontal="right" vertical="top" wrapText="1" readingOrder="1"/>
      <protection locked="0"/>
    </xf>
    <xf numFmtId="0" fontId="29" fillId="15" borderId="105" xfId="0" applyNumberFormat="1" applyFont="1" applyFill="1" applyBorder="1" applyAlignment="1" applyProtection="1">
      <alignment vertical="top" wrapText="1" readingOrder="1"/>
      <protection locked="0"/>
    </xf>
    <xf numFmtId="0" fontId="29" fillId="15" borderId="106" xfId="0" applyNumberFormat="1" applyFont="1" applyFill="1" applyBorder="1" applyAlignment="1" applyProtection="1">
      <alignment vertical="top" wrapText="1" readingOrder="1"/>
      <protection locked="0"/>
    </xf>
    <xf numFmtId="0" fontId="29" fillId="15" borderId="106" xfId="0" applyNumberFormat="1" applyFont="1" applyFill="1" applyBorder="1" applyAlignment="1" applyProtection="1">
      <alignment horizontal="left" vertical="top" wrapText="1" readingOrder="1"/>
      <protection locked="0"/>
    </xf>
    <xf numFmtId="0" fontId="29" fillId="15" borderId="106" xfId="0" applyNumberFormat="1" applyFont="1" applyFill="1" applyBorder="1" applyAlignment="1" applyProtection="1">
      <alignment horizontal="center" vertical="center" wrapText="1" readingOrder="1"/>
      <protection locked="0"/>
    </xf>
    <xf numFmtId="167" fontId="29" fillId="15" borderId="106" xfId="0" applyNumberFormat="1" applyFont="1" applyFill="1" applyBorder="1" applyAlignment="1" applyProtection="1">
      <alignment horizontal="right" vertical="top" wrapText="1" readingOrder="1"/>
    </xf>
    <xf numFmtId="0" fontId="29" fillId="15" borderId="106" xfId="0" applyNumberFormat="1" applyFont="1" applyFill="1" applyBorder="1" applyAlignment="1" applyProtection="1">
      <alignment horizontal="center" vertical="top" wrapText="1" readingOrder="1"/>
      <protection locked="0"/>
    </xf>
    <xf numFmtId="0" fontId="29" fillId="15" borderId="106" xfId="0" applyNumberFormat="1" applyFont="1" applyFill="1" applyBorder="1" applyAlignment="1" applyProtection="1">
      <alignment horizontal="right" vertical="top" wrapText="1" readingOrder="1"/>
      <protection locked="0"/>
    </xf>
    <xf numFmtId="0" fontId="24" fillId="0" borderId="105" xfId="0" applyNumberFormat="1" applyFont="1" applyFill="1" applyBorder="1" applyAlignment="1" applyProtection="1">
      <alignment vertical="top" wrapText="1" readingOrder="1"/>
      <protection locked="0"/>
    </xf>
    <xf numFmtId="0" fontId="24" fillId="0" borderId="106" xfId="0" applyNumberFormat="1" applyFont="1" applyFill="1" applyBorder="1" applyAlignment="1" applyProtection="1">
      <alignment vertical="top" wrapText="1" readingOrder="1"/>
      <protection locked="0"/>
    </xf>
    <xf numFmtId="0" fontId="24" fillId="0" borderId="106" xfId="0" applyNumberFormat="1" applyFont="1" applyFill="1" applyBorder="1" applyAlignment="1" applyProtection="1">
      <alignment horizontal="left" vertical="top" wrapText="1" readingOrder="1"/>
      <protection locked="0"/>
    </xf>
    <xf numFmtId="0" fontId="24" fillId="0" borderId="106" xfId="0" applyNumberFormat="1" applyFont="1" applyFill="1" applyBorder="1" applyAlignment="1" applyProtection="1">
      <alignment horizontal="center" vertical="center" wrapText="1" readingOrder="1"/>
      <protection locked="0"/>
    </xf>
    <xf numFmtId="167" fontId="24" fillId="0" borderId="106" xfId="0" applyNumberFormat="1" applyFont="1" applyFill="1" applyBorder="1" applyAlignment="1" applyProtection="1">
      <alignment horizontal="right" vertical="top" wrapText="1" readingOrder="1"/>
    </xf>
    <xf numFmtId="0" fontId="24" fillId="0" borderId="106" xfId="0" applyNumberFormat="1" applyFont="1" applyFill="1" applyBorder="1" applyAlignment="1" applyProtection="1">
      <alignment horizontal="center" vertical="top" wrapText="1" readingOrder="1"/>
      <protection locked="0"/>
    </xf>
    <xf numFmtId="0" fontId="24" fillId="0" borderId="106" xfId="0" applyNumberFormat="1" applyFont="1" applyFill="1" applyBorder="1" applyAlignment="1" applyProtection="1">
      <alignment horizontal="right" vertical="top" wrapText="1" readingOrder="1"/>
      <protection locked="0"/>
    </xf>
    <xf numFmtId="167" fontId="24" fillId="0" borderId="106" xfId="0" applyNumberFormat="1" applyFont="1" applyFill="1" applyBorder="1" applyAlignment="1" applyProtection="1">
      <alignment horizontal="right" vertical="top" wrapText="1" readingOrder="1"/>
      <protection locked="0"/>
    </xf>
    <xf numFmtId="0" fontId="24" fillId="0" borderId="114" xfId="0" applyNumberFormat="1" applyFont="1" applyFill="1" applyBorder="1" applyAlignment="1" applyProtection="1">
      <alignment vertical="top" wrapText="1" readingOrder="1"/>
      <protection locked="0"/>
    </xf>
    <xf numFmtId="0" fontId="24" fillId="0" borderId="115" xfId="0" applyNumberFormat="1" applyFont="1" applyFill="1" applyBorder="1" applyAlignment="1" applyProtection="1">
      <alignment vertical="top" wrapText="1" readingOrder="1"/>
      <protection locked="0"/>
    </xf>
    <xf numFmtId="0" fontId="24" fillId="0" borderId="115" xfId="0" applyNumberFormat="1" applyFont="1" applyFill="1" applyBorder="1" applyAlignment="1" applyProtection="1">
      <alignment horizontal="left" vertical="top" wrapText="1" readingOrder="1"/>
      <protection locked="0"/>
    </xf>
    <xf numFmtId="0" fontId="24" fillId="0" borderId="115" xfId="0" applyNumberFormat="1" applyFont="1" applyFill="1" applyBorder="1" applyAlignment="1" applyProtection="1">
      <alignment horizontal="center" vertical="center" wrapText="1" readingOrder="1"/>
      <protection locked="0"/>
    </xf>
    <xf numFmtId="167" fontId="24" fillId="0" borderId="115" xfId="0" applyNumberFormat="1" applyFont="1" applyFill="1" applyBorder="1" applyAlignment="1" applyProtection="1">
      <alignment horizontal="right" vertical="top" wrapText="1" readingOrder="1"/>
      <protection locked="0"/>
    </xf>
    <xf numFmtId="0" fontId="24" fillId="0" borderId="115" xfId="0" applyNumberFormat="1" applyFont="1" applyFill="1" applyBorder="1" applyAlignment="1" applyProtection="1">
      <alignment horizontal="center" vertical="top" wrapText="1" readingOrder="1"/>
      <protection locked="0"/>
    </xf>
    <xf numFmtId="0" fontId="24" fillId="0" borderId="115" xfId="0" applyNumberFormat="1" applyFont="1" applyFill="1" applyBorder="1" applyAlignment="1" applyProtection="1">
      <alignment horizontal="right" vertical="top" wrapText="1" readingOrder="1"/>
      <protection locked="0"/>
    </xf>
    <xf numFmtId="0" fontId="24" fillId="0" borderId="0" xfId="0" applyNumberFormat="1" applyFont="1" applyFill="1" applyAlignment="1" applyProtection="1">
      <alignment vertical="top" wrapText="1" readingOrder="1"/>
      <protection locked="0"/>
    </xf>
    <xf numFmtId="0" fontId="24" fillId="0" borderId="0" xfId="0" applyNumberFormat="1" applyFont="1" applyFill="1" applyAlignment="1" applyProtection="1">
      <alignment horizontal="left" vertical="top" wrapText="1" readingOrder="1"/>
      <protection locked="0"/>
    </xf>
    <xf numFmtId="0" fontId="24" fillId="0" borderId="0" xfId="0" applyNumberFormat="1" applyFont="1" applyFill="1" applyAlignment="1" applyProtection="1">
      <alignment horizontal="center" vertical="center" wrapText="1" readingOrder="1"/>
      <protection locked="0"/>
    </xf>
    <xf numFmtId="167" fontId="24" fillId="0" borderId="0" xfId="0" applyNumberFormat="1" applyFont="1" applyFill="1" applyAlignment="1" applyProtection="1">
      <alignment horizontal="right" vertical="top" wrapText="1" readingOrder="1"/>
      <protection locked="0"/>
    </xf>
    <xf numFmtId="0" fontId="24" fillId="0" borderId="0" xfId="0" applyNumberFormat="1" applyFont="1" applyFill="1" applyAlignment="1" applyProtection="1">
      <alignment horizontal="center" vertical="top" wrapText="1" readingOrder="1"/>
      <protection locked="0"/>
    </xf>
    <xf numFmtId="0" fontId="24" fillId="0" borderId="0" xfId="0" applyNumberFormat="1" applyFont="1" applyFill="1" applyAlignment="1" applyProtection="1">
      <alignment horizontal="right" vertical="top" wrapText="1" readingOrder="1"/>
      <protection locked="0"/>
    </xf>
    <xf numFmtId="167" fontId="24" fillId="0" borderId="109" xfId="0" applyNumberFormat="1" applyFont="1" applyFill="1" applyBorder="1" applyAlignment="1" applyProtection="1">
      <alignment horizontal="center" vertical="center" wrapText="1" readingOrder="1"/>
      <protection locked="0"/>
    </xf>
    <xf numFmtId="0" fontId="29" fillId="16" borderId="109" xfId="0" applyNumberFormat="1" applyFont="1" applyFill="1" applyBorder="1" applyAlignment="1" applyProtection="1">
      <alignment vertical="top" wrapText="1" readingOrder="1"/>
      <protection locked="0"/>
    </xf>
    <xf numFmtId="0" fontId="29" fillId="16" borderId="109" xfId="0" applyNumberFormat="1" applyFont="1" applyFill="1" applyBorder="1" applyAlignment="1" applyProtection="1">
      <alignment horizontal="right" vertical="top" wrapText="1" readingOrder="1"/>
      <protection locked="0"/>
    </xf>
    <xf numFmtId="167" fontId="29" fillId="16" borderId="109" xfId="0" applyNumberFormat="1" applyFont="1" applyFill="1" applyBorder="1" applyAlignment="1" applyProtection="1">
      <alignment horizontal="right" vertical="top" wrapText="1" readingOrder="1"/>
    </xf>
    <xf numFmtId="167" fontId="29" fillId="16" borderId="109" xfId="0" applyNumberFormat="1" applyFont="1" applyFill="1" applyBorder="1" applyAlignment="1" applyProtection="1">
      <alignment horizontal="center" vertical="center" wrapText="1" readingOrder="1"/>
    </xf>
    <xf numFmtId="0" fontId="24" fillId="0" borderId="0" xfId="0" applyNumberFormat="1" applyFont="1" applyFill="1" applyAlignment="1" applyProtection="1">
      <alignment horizontal="center" vertical="center" wrapText="1" readingOrder="1"/>
    </xf>
    <xf numFmtId="0" fontId="0" fillId="0" borderId="0" xfId="0" applyAlignment="1">
      <alignment horizontal="left" vertical="top" wrapText="1"/>
    </xf>
    <xf numFmtId="0" fontId="3" fillId="6" borderId="43" xfId="0" applyFont="1" applyFill="1" applyBorder="1" applyAlignment="1">
      <alignment horizontal="center" vertical="center" textRotation="90" wrapText="1"/>
    </xf>
    <xf numFmtId="0" fontId="3" fillId="6" borderId="45" xfId="0" applyFont="1" applyFill="1" applyBorder="1" applyAlignment="1">
      <alignment horizontal="center" vertical="center" textRotation="90" wrapText="1"/>
    </xf>
    <xf numFmtId="49" fontId="5" fillId="6" borderId="15" xfId="0" applyNumberFormat="1" applyFont="1" applyFill="1" applyBorder="1" applyAlignment="1">
      <alignment horizontal="center" vertical="top"/>
    </xf>
    <xf numFmtId="0" fontId="3" fillId="6" borderId="17"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3" fillId="6" borderId="29" xfId="0" applyFont="1" applyFill="1" applyBorder="1" applyAlignment="1">
      <alignment horizontal="center" vertical="center" textRotation="90" wrapText="1"/>
    </xf>
    <xf numFmtId="0" fontId="3" fillId="6" borderId="29" xfId="0" applyFont="1" applyFill="1" applyBorder="1" applyAlignment="1">
      <alignment horizontal="left" vertical="top" wrapText="1"/>
    </xf>
    <xf numFmtId="0" fontId="3" fillId="6" borderId="43" xfId="0" applyFont="1" applyFill="1" applyBorder="1" applyAlignment="1">
      <alignment horizontal="left" vertical="top" wrapText="1"/>
    </xf>
    <xf numFmtId="0" fontId="3" fillId="6" borderId="13" xfId="0" applyFont="1" applyFill="1" applyBorder="1" applyAlignment="1">
      <alignment horizontal="left" vertical="top" wrapText="1"/>
    </xf>
    <xf numFmtId="49" fontId="5" fillId="10" borderId="8"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0" fontId="3" fillId="6" borderId="8" xfId="0" applyFont="1" applyFill="1" applyBorder="1" applyAlignment="1">
      <alignment horizontal="left" vertical="top" wrapText="1"/>
    </xf>
    <xf numFmtId="0" fontId="3" fillId="6" borderId="26" xfId="0" applyFont="1" applyFill="1" applyBorder="1" applyAlignment="1">
      <alignment horizontal="left" vertical="top" wrapText="1"/>
    </xf>
    <xf numFmtId="0" fontId="7" fillId="6" borderId="13" xfId="0" applyFont="1" applyFill="1" applyBorder="1" applyAlignment="1">
      <alignment vertical="top" wrapText="1"/>
    </xf>
    <xf numFmtId="49" fontId="5" fillId="3" borderId="45" xfId="0" applyNumberFormat="1" applyFont="1" applyFill="1" applyBorder="1" applyAlignment="1">
      <alignment horizontal="center" vertical="top"/>
    </xf>
    <xf numFmtId="0" fontId="3" fillId="6" borderId="45" xfId="0" applyFont="1" applyFill="1" applyBorder="1" applyAlignment="1">
      <alignment horizontal="left" vertical="top" wrapText="1"/>
    </xf>
    <xf numFmtId="0" fontId="3" fillId="6" borderId="40" xfId="1" applyFont="1" applyFill="1" applyBorder="1" applyAlignment="1">
      <alignment vertical="top" wrapText="1"/>
    </xf>
    <xf numFmtId="0" fontId="7" fillId="6" borderId="26" xfId="0" applyFont="1" applyFill="1" applyBorder="1" applyAlignment="1">
      <alignment vertical="top" wrapText="1"/>
    </xf>
    <xf numFmtId="0" fontId="3" fillId="6" borderId="35" xfId="0" applyFont="1" applyFill="1" applyBorder="1" applyAlignment="1">
      <alignment horizontal="left" vertical="top" wrapText="1"/>
    </xf>
    <xf numFmtId="0" fontId="3" fillId="6" borderId="34" xfId="0" applyFont="1" applyFill="1" applyBorder="1" applyAlignment="1">
      <alignment horizontal="center" vertical="center" textRotation="90" wrapText="1"/>
    </xf>
    <xf numFmtId="49" fontId="5" fillId="10" borderId="6"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0" fontId="3" fillId="6" borderId="6"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3" borderId="54" xfId="0" applyNumberFormat="1" applyFont="1" applyFill="1" applyBorder="1" applyAlignment="1">
      <alignment horizontal="center" vertical="top"/>
    </xf>
    <xf numFmtId="0" fontId="3" fillId="6" borderId="40" xfId="1" applyFont="1" applyFill="1" applyBorder="1" applyAlignment="1">
      <alignment horizontal="left" vertical="top" wrapText="1"/>
    </xf>
    <xf numFmtId="0" fontId="3" fillId="6" borderId="8" xfId="1" applyFont="1" applyFill="1" applyBorder="1" applyAlignment="1">
      <alignment horizontal="left" vertical="top" wrapText="1"/>
    </xf>
    <xf numFmtId="0" fontId="2" fillId="6" borderId="17" xfId="0" applyFont="1" applyFill="1" applyBorder="1" applyAlignment="1">
      <alignment horizontal="center" vertical="center" textRotation="90" wrapText="1"/>
    </xf>
    <xf numFmtId="0" fontId="2" fillId="6" borderId="13" xfId="0" applyFont="1" applyFill="1" applyBorder="1" applyAlignment="1">
      <alignment horizontal="center" vertical="center" textRotation="90" wrapText="1"/>
    </xf>
    <xf numFmtId="49" fontId="5" fillId="6" borderId="28" xfId="0" applyNumberFormat="1" applyFont="1" applyFill="1" applyBorder="1" applyAlignment="1">
      <alignment horizontal="center" vertical="top"/>
    </xf>
    <xf numFmtId="0" fontId="3" fillId="6" borderId="60" xfId="0"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0" fontId="7" fillId="0" borderId="0" xfId="0" applyFont="1" applyBorder="1" applyAlignment="1">
      <alignment horizontal="left" vertical="top" wrapText="1"/>
    </xf>
    <xf numFmtId="49" fontId="5" fillId="6" borderId="13" xfId="0" applyNumberFormat="1" applyFont="1" applyFill="1" applyBorder="1" applyAlignment="1">
      <alignment horizontal="center" vertical="top" wrapText="1"/>
    </xf>
    <xf numFmtId="0" fontId="3" fillId="6" borderId="29" xfId="0" applyFont="1" applyFill="1" applyBorder="1" applyAlignment="1">
      <alignment vertical="top" wrapText="1"/>
    </xf>
    <xf numFmtId="0" fontId="3" fillId="6" borderId="13" xfId="0" applyFont="1" applyFill="1" applyBorder="1" applyAlignment="1">
      <alignment vertical="top" wrapText="1"/>
    </xf>
    <xf numFmtId="0" fontId="7" fillId="6" borderId="29" xfId="0" applyFont="1" applyFill="1" applyBorder="1" applyAlignment="1">
      <alignment vertical="top" wrapText="1"/>
    </xf>
    <xf numFmtId="0" fontId="7" fillId="9" borderId="58" xfId="0" applyFont="1" applyFill="1" applyBorder="1" applyAlignment="1">
      <alignment horizontal="left" vertical="top" wrapText="1"/>
    </xf>
    <xf numFmtId="0" fontId="3" fillId="6" borderId="40" xfId="0" applyFont="1" applyFill="1" applyBorder="1" applyAlignment="1">
      <alignment horizontal="left" vertical="top" wrapText="1"/>
    </xf>
    <xf numFmtId="0" fontId="3" fillId="6" borderId="52" xfId="0" applyFont="1" applyFill="1" applyBorder="1" applyAlignment="1">
      <alignment vertical="top" wrapText="1"/>
    </xf>
    <xf numFmtId="0" fontId="3" fillId="6" borderId="99" xfId="0" applyFont="1" applyFill="1" applyBorder="1" applyAlignment="1">
      <alignment vertical="top" wrapText="1"/>
    </xf>
    <xf numFmtId="0" fontId="3" fillId="6" borderId="8" xfId="1" applyFont="1" applyFill="1" applyBorder="1" applyAlignment="1">
      <alignment vertical="top" wrapText="1"/>
    </xf>
    <xf numFmtId="0" fontId="3" fillId="6" borderId="82" xfId="0" applyFont="1" applyFill="1" applyBorder="1" applyAlignment="1">
      <alignment vertical="top" wrapText="1"/>
    </xf>
    <xf numFmtId="0" fontId="3" fillId="6" borderId="1" xfId="0" applyFont="1" applyFill="1" applyBorder="1" applyAlignment="1">
      <alignment horizontal="center" vertical="top"/>
    </xf>
    <xf numFmtId="0" fontId="30" fillId="0" borderId="0" xfId="0" applyFont="1"/>
    <xf numFmtId="0" fontId="3" fillId="0" borderId="0" xfId="0" applyNumberFormat="1" applyFont="1" applyAlignment="1">
      <alignment vertical="top"/>
    </xf>
    <xf numFmtId="0" fontId="20" fillId="0" borderId="0" xfId="0" applyFont="1" applyAlignment="1">
      <alignment horizontal="center" vertical="top" wrapText="1"/>
    </xf>
    <xf numFmtId="0" fontId="3" fillId="0" borderId="14" xfId="0" applyFont="1" applyBorder="1" applyAlignment="1">
      <alignment horizontal="center" vertical="center" wrapText="1"/>
    </xf>
    <xf numFmtId="0" fontId="3" fillId="0" borderId="117" xfId="0" applyFont="1" applyBorder="1" applyAlignment="1">
      <alignment horizontal="center" vertical="center" textRotation="90" wrapText="1"/>
    </xf>
    <xf numFmtId="49" fontId="5" fillId="10" borderId="12" xfId="0" applyNumberFormat="1" applyFont="1" applyFill="1" applyBorder="1" applyAlignment="1">
      <alignment horizontal="center" vertical="top" wrapText="1"/>
    </xf>
    <xf numFmtId="4" fontId="3" fillId="2" borderId="15" xfId="0" applyNumberFormat="1" applyFont="1" applyFill="1" applyBorder="1" applyAlignment="1">
      <alignment horizontal="center" vertical="top"/>
    </xf>
    <xf numFmtId="49" fontId="3" fillId="6" borderId="7" xfId="0" applyNumberFormat="1" applyFont="1" applyFill="1" applyBorder="1" applyAlignment="1">
      <alignment horizontal="center" vertical="center" wrapText="1"/>
    </xf>
    <xf numFmtId="165" fontId="3" fillId="2" borderId="118" xfId="0" applyNumberFormat="1" applyFont="1" applyFill="1" applyBorder="1" applyAlignment="1">
      <alignment horizontal="center" vertical="top"/>
    </xf>
    <xf numFmtId="0" fontId="3" fillId="6" borderId="119" xfId="0" applyNumberFormat="1" applyFont="1" applyFill="1" applyBorder="1" applyAlignment="1">
      <alignment horizontal="center" vertical="top" wrapText="1"/>
    </xf>
    <xf numFmtId="0" fontId="3" fillId="6" borderId="48" xfId="0" applyNumberFormat="1" applyFont="1" applyFill="1" applyBorder="1" applyAlignment="1">
      <alignment horizontal="center" vertical="top" wrapText="1"/>
    </xf>
    <xf numFmtId="49" fontId="5" fillId="8" borderId="13" xfId="0" applyNumberFormat="1" applyFont="1" applyFill="1" applyBorder="1" applyAlignment="1">
      <alignment horizontal="center" vertical="top"/>
    </xf>
    <xf numFmtId="49" fontId="5" fillId="6" borderId="17" xfId="0" applyNumberFormat="1" applyFont="1" applyFill="1" applyBorder="1" applyAlignment="1">
      <alignment horizontal="center" vertical="top"/>
    </xf>
    <xf numFmtId="165" fontId="16" fillId="6" borderId="4" xfId="0" applyNumberFormat="1" applyFont="1" applyFill="1" applyBorder="1" applyAlignment="1">
      <alignment horizontal="center" vertical="top"/>
    </xf>
    <xf numFmtId="49" fontId="3" fillId="6" borderId="7" xfId="0" applyNumberFormat="1" applyFont="1" applyFill="1" applyBorder="1" applyAlignment="1">
      <alignment horizontal="center" vertical="top" wrapText="1"/>
    </xf>
    <xf numFmtId="0" fontId="22" fillId="0" borderId="82" xfId="0" applyFont="1" applyFill="1" applyBorder="1" applyAlignment="1">
      <alignment horizontal="left" vertical="top" wrapText="1"/>
    </xf>
    <xf numFmtId="3" fontId="3" fillId="0" borderId="119"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3" fontId="3" fillId="0" borderId="48" xfId="0" applyNumberFormat="1" applyFont="1" applyFill="1" applyBorder="1" applyAlignment="1">
      <alignment horizontal="center" vertical="top" wrapText="1"/>
    </xf>
    <xf numFmtId="0" fontId="3" fillId="0" borderId="83" xfId="0" applyFont="1" applyFill="1" applyBorder="1" applyAlignment="1">
      <alignment horizontal="left" vertical="top" wrapText="1"/>
    </xf>
    <xf numFmtId="3" fontId="3" fillId="0" borderId="91" xfId="0" applyNumberFormat="1" applyFont="1" applyFill="1" applyBorder="1" applyAlignment="1">
      <alignment horizontal="center" vertical="top" wrapText="1"/>
    </xf>
    <xf numFmtId="0" fontId="22" fillId="0" borderId="82" xfId="0" applyFont="1" applyFill="1" applyBorder="1" applyAlignment="1">
      <alignment vertical="top" wrapText="1"/>
    </xf>
    <xf numFmtId="49" fontId="3" fillId="6" borderId="119" xfId="0" applyNumberFormat="1" applyFont="1" applyFill="1" applyBorder="1" applyAlignment="1">
      <alignment horizontal="center" vertical="top" wrapText="1"/>
    </xf>
    <xf numFmtId="3" fontId="3" fillId="6" borderId="48" xfId="0" applyNumberFormat="1" applyFont="1" applyFill="1" applyBorder="1" applyAlignment="1">
      <alignment horizontal="center" vertical="top" wrapText="1"/>
    </xf>
    <xf numFmtId="49" fontId="3" fillId="6" borderId="48" xfId="0" applyNumberFormat="1" applyFont="1" applyFill="1" applyBorder="1" applyAlignment="1">
      <alignment horizontal="center" vertical="top" wrapText="1"/>
    </xf>
    <xf numFmtId="1" fontId="3" fillId="6" borderId="48" xfId="0" applyNumberFormat="1" applyFont="1" applyFill="1" applyBorder="1" applyAlignment="1">
      <alignment horizontal="center" vertical="top" wrapText="1"/>
    </xf>
    <xf numFmtId="49" fontId="3" fillId="6" borderId="91" xfId="0" applyNumberFormat="1" applyFont="1" applyFill="1" applyBorder="1" applyAlignment="1">
      <alignment horizontal="center" vertical="top" wrapText="1"/>
    </xf>
    <xf numFmtId="49" fontId="5" fillId="6" borderId="29" xfId="0" applyNumberFormat="1" applyFont="1" applyFill="1" applyBorder="1" applyAlignment="1">
      <alignment horizontal="center" vertical="top"/>
    </xf>
    <xf numFmtId="1" fontId="3" fillId="6" borderId="120" xfId="0" applyNumberFormat="1" applyFont="1" applyFill="1" applyBorder="1" applyAlignment="1">
      <alignment horizontal="center" vertical="top" wrapText="1"/>
    </xf>
    <xf numFmtId="49" fontId="5" fillId="8" borderId="45" xfId="0" applyNumberFormat="1" applyFont="1" applyFill="1" applyBorder="1" applyAlignment="1">
      <alignment horizontal="center" vertical="top"/>
    </xf>
    <xf numFmtId="49" fontId="5" fillId="8" borderId="0" xfId="0" applyNumberFormat="1" applyFont="1" applyFill="1" applyBorder="1" applyAlignment="1">
      <alignment horizontal="center" vertical="top"/>
    </xf>
    <xf numFmtId="49" fontId="34" fillId="6" borderId="28" xfId="0" applyNumberFormat="1" applyFont="1" applyFill="1" applyBorder="1" applyAlignment="1">
      <alignment horizontal="center" vertical="top" wrapText="1"/>
    </xf>
    <xf numFmtId="0" fontId="3" fillId="6" borderId="26" xfId="1" applyFont="1" applyFill="1" applyBorder="1" applyAlignment="1">
      <alignment vertical="top" wrapText="1"/>
    </xf>
    <xf numFmtId="49" fontId="5" fillId="8" borderId="54" xfId="0" applyNumberFormat="1" applyFont="1" applyFill="1" applyBorder="1" applyAlignment="1">
      <alignment horizontal="center" vertical="top" wrapText="1"/>
    </xf>
    <xf numFmtId="49" fontId="5" fillId="8" borderId="102" xfId="0" applyNumberFormat="1" applyFont="1" applyFill="1" applyBorder="1" applyAlignment="1">
      <alignment horizontal="center" vertical="top" wrapText="1"/>
    </xf>
    <xf numFmtId="0" fontId="3" fillId="8" borderId="25" xfId="0" applyFont="1" applyFill="1" applyBorder="1" applyAlignment="1">
      <alignment vertical="top" wrapText="1"/>
    </xf>
    <xf numFmtId="0" fontId="5" fillId="8" borderId="25" xfId="0" applyFont="1" applyFill="1" applyBorder="1" applyAlignment="1">
      <alignment horizontal="center" vertical="top" wrapText="1"/>
    </xf>
    <xf numFmtId="49" fontId="5" fillId="8" borderId="25" xfId="0" applyNumberFormat="1" applyFont="1" applyFill="1" applyBorder="1" applyAlignment="1">
      <alignment horizontal="center" vertical="top"/>
    </xf>
    <xf numFmtId="49" fontId="3" fillId="8" borderId="25" xfId="0" applyNumberFormat="1" applyFont="1" applyFill="1" applyBorder="1" applyAlignment="1">
      <alignment horizontal="center" vertical="top" wrapText="1"/>
    </xf>
    <xf numFmtId="0" fontId="5" fillId="8" borderId="57" xfId="0" applyFont="1" applyFill="1" applyBorder="1" applyAlignment="1">
      <alignment horizontal="center" vertical="top"/>
    </xf>
    <xf numFmtId="165" fontId="35" fillId="8" borderId="30" xfId="0" applyNumberFormat="1" applyFont="1" applyFill="1" applyBorder="1" applyAlignment="1">
      <alignment horizontal="center" vertical="top"/>
    </xf>
    <xf numFmtId="0" fontId="3" fillId="8" borderId="35" xfId="0" applyFont="1" applyFill="1" applyBorder="1" applyAlignment="1">
      <alignment horizontal="left" vertical="top" wrapText="1"/>
    </xf>
    <xf numFmtId="3" fontId="3" fillId="8" borderId="121"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0" fontId="5" fillId="0" borderId="11" xfId="0" applyFont="1" applyFill="1" applyBorder="1" applyAlignment="1">
      <alignment horizontal="left" vertical="top" wrapText="1"/>
    </xf>
    <xf numFmtId="0" fontId="9" fillId="0" borderId="66" xfId="0" applyFont="1" applyFill="1" applyBorder="1" applyAlignment="1">
      <alignment vertical="top" wrapText="1"/>
    </xf>
    <xf numFmtId="0" fontId="3" fillId="6" borderId="52" xfId="0" applyFont="1" applyFill="1" applyBorder="1" applyAlignment="1">
      <alignment horizontal="left" vertical="top" wrapText="1"/>
    </xf>
    <xf numFmtId="1" fontId="3" fillId="0" borderId="28" xfId="0" applyNumberFormat="1" applyFont="1" applyFill="1" applyBorder="1" applyAlignment="1">
      <alignment horizontal="center" vertical="top" wrapText="1"/>
    </xf>
    <xf numFmtId="165" fontId="16" fillId="6" borderId="52" xfId="0" applyNumberFormat="1" applyFont="1" applyFill="1" applyBorder="1" applyAlignment="1">
      <alignment horizontal="center" vertical="top"/>
    </xf>
    <xf numFmtId="165" fontId="16" fillId="6" borderId="64" xfId="0" applyNumberFormat="1" applyFont="1" applyFill="1" applyBorder="1" applyAlignment="1">
      <alignment horizontal="center" vertical="top"/>
    </xf>
    <xf numFmtId="49" fontId="3" fillId="6" borderId="19" xfId="0" applyNumberFormat="1" applyFont="1" applyFill="1" applyBorder="1" applyAlignment="1">
      <alignment horizontal="center" vertical="top" wrapText="1"/>
    </xf>
    <xf numFmtId="165" fontId="3" fillId="6" borderId="64" xfId="0" applyNumberFormat="1" applyFont="1" applyFill="1" applyBorder="1" applyAlignment="1">
      <alignment horizontal="center" vertical="top"/>
    </xf>
    <xf numFmtId="49" fontId="34" fillId="6" borderId="14" xfId="0" applyNumberFormat="1" applyFont="1" applyFill="1" applyBorder="1" applyAlignment="1">
      <alignment horizontal="center" vertical="top" wrapText="1"/>
    </xf>
    <xf numFmtId="0" fontId="3" fillId="8" borderId="102" xfId="0" applyFont="1" applyFill="1" applyBorder="1" applyAlignment="1">
      <alignment vertical="top" wrapText="1"/>
    </xf>
    <xf numFmtId="0" fontId="5" fillId="8" borderId="102" xfId="0" applyFont="1" applyFill="1" applyBorder="1" applyAlignment="1">
      <alignment horizontal="center" vertical="top" wrapText="1"/>
    </xf>
    <xf numFmtId="0" fontId="3" fillId="8" borderId="30" xfId="0" applyFont="1" applyFill="1" applyBorder="1" applyAlignment="1">
      <alignment horizontal="left" vertical="top" wrapText="1"/>
    </xf>
    <xf numFmtId="3" fontId="3" fillId="8" borderId="31" xfId="0" applyNumberFormat="1" applyFont="1" applyFill="1" applyBorder="1" applyAlignment="1">
      <alignment horizontal="center" vertical="top"/>
    </xf>
    <xf numFmtId="49" fontId="5" fillId="8" borderId="42" xfId="0" applyNumberFormat="1" applyFont="1" applyFill="1" applyBorder="1" applyAlignment="1">
      <alignment horizontal="center" vertical="top"/>
    </xf>
    <xf numFmtId="49" fontId="3" fillId="6" borderId="11" xfId="0" applyNumberFormat="1" applyFont="1" applyFill="1" applyBorder="1" applyAlignment="1">
      <alignment horizontal="center" vertical="top"/>
    </xf>
    <xf numFmtId="0" fontId="13" fillId="0" borderId="11" xfId="0" applyFont="1" applyFill="1" applyBorder="1" applyAlignment="1">
      <alignment horizontal="left" vertical="top" wrapText="1"/>
    </xf>
    <xf numFmtId="49" fontId="3" fillId="6" borderId="5" xfId="0" applyNumberFormat="1" applyFont="1" applyFill="1" applyBorder="1" applyAlignment="1">
      <alignment horizontal="center" vertical="top" wrapText="1"/>
    </xf>
    <xf numFmtId="0" fontId="3" fillId="6" borderId="4" xfId="0" applyFont="1" applyFill="1" applyBorder="1" applyAlignment="1">
      <alignment horizontal="center" vertical="center" wrapText="1"/>
    </xf>
    <xf numFmtId="0" fontId="3" fillId="6" borderId="122" xfId="0" applyFont="1" applyFill="1" applyBorder="1" applyAlignment="1">
      <alignment horizontal="center" vertical="center" wrapText="1"/>
    </xf>
    <xf numFmtId="0" fontId="3" fillId="6" borderId="122" xfId="0" applyFont="1" applyFill="1" applyBorder="1" applyAlignment="1">
      <alignment horizontal="center" vertical="top"/>
    </xf>
    <xf numFmtId="165" fontId="3" fillId="6" borderId="122" xfId="0" applyNumberFormat="1" applyFont="1" applyFill="1" applyBorder="1" applyAlignment="1">
      <alignment horizontal="center" vertical="top"/>
    </xf>
    <xf numFmtId="3" fontId="3" fillId="6" borderId="75" xfId="1" applyNumberFormat="1" applyFont="1" applyFill="1" applyBorder="1" applyAlignment="1">
      <alignment horizontal="center" vertical="top"/>
    </xf>
    <xf numFmtId="0" fontId="7" fillId="0" borderId="13" xfId="0" applyFont="1" applyBorder="1" applyAlignment="1">
      <alignment horizontal="left" vertical="top" wrapText="1"/>
    </xf>
    <xf numFmtId="0" fontId="3" fillId="6" borderId="123" xfId="0" applyFont="1" applyFill="1" applyBorder="1" applyAlignment="1">
      <alignment horizontal="center" vertical="top"/>
    </xf>
    <xf numFmtId="165" fontId="3" fillId="6" borderId="123" xfId="0" applyNumberFormat="1" applyFont="1" applyFill="1" applyBorder="1" applyAlignment="1">
      <alignment horizontal="center" vertical="top"/>
    </xf>
    <xf numFmtId="3" fontId="3" fillId="6" borderId="96" xfId="1" applyNumberFormat="1" applyFont="1" applyFill="1" applyBorder="1" applyAlignment="1">
      <alignment horizontal="center" vertical="top"/>
    </xf>
    <xf numFmtId="0" fontId="36" fillId="6" borderId="13" xfId="0" applyFont="1" applyFill="1" applyBorder="1" applyAlignment="1">
      <alignment horizontal="left" vertical="top" wrapText="1"/>
    </xf>
    <xf numFmtId="0" fontId="37" fillId="6" borderId="13" xfId="0" applyFont="1" applyFill="1" applyBorder="1" applyAlignment="1">
      <alignment horizontal="center" vertical="center" textRotation="90" wrapText="1"/>
    </xf>
    <xf numFmtId="49" fontId="36" fillId="6" borderId="15" xfId="0" applyNumberFormat="1" applyFont="1" applyFill="1" applyBorder="1" applyAlignment="1">
      <alignment horizontal="center" vertical="top"/>
    </xf>
    <xf numFmtId="0" fontId="3" fillId="6" borderId="7" xfId="0" applyFont="1" applyFill="1" applyBorder="1" applyAlignment="1">
      <alignment horizontal="center" vertical="top" wrapText="1"/>
    </xf>
    <xf numFmtId="0" fontId="37" fillId="6" borderId="7" xfId="0" applyFont="1" applyFill="1" applyBorder="1" applyAlignment="1">
      <alignment horizontal="center" vertical="top"/>
    </xf>
    <xf numFmtId="0" fontId="37" fillId="6" borderId="82" xfId="0" applyFont="1" applyFill="1" applyBorder="1" applyAlignment="1">
      <alignment vertical="top" wrapText="1"/>
    </xf>
    <xf numFmtId="3" fontId="34" fillId="0" borderId="75" xfId="1" applyNumberFormat="1" applyFont="1" applyFill="1" applyBorder="1" applyAlignment="1">
      <alignment horizontal="center" vertical="top"/>
    </xf>
    <xf numFmtId="0" fontId="37" fillId="6" borderId="13" xfId="0" applyFont="1" applyFill="1" applyBorder="1" applyAlignment="1">
      <alignment horizontal="left" vertical="top" wrapText="1"/>
    </xf>
    <xf numFmtId="165" fontId="37" fillId="6" borderId="7" xfId="0" applyNumberFormat="1" applyFont="1" applyFill="1" applyBorder="1" applyAlignment="1">
      <alignment horizontal="center" vertical="top"/>
    </xf>
    <xf numFmtId="0" fontId="3" fillId="6" borderId="83" xfId="0" applyFont="1" applyFill="1" applyBorder="1" applyAlignment="1">
      <alignment vertical="top"/>
    </xf>
    <xf numFmtId="3" fontId="3" fillId="6" borderId="97" xfId="1" applyNumberFormat="1" applyFont="1" applyFill="1" applyBorder="1" applyAlignment="1">
      <alignment horizontal="center" vertical="top"/>
    </xf>
    <xf numFmtId="49" fontId="5" fillId="6" borderId="43"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3" fontId="3" fillId="6" borderId="97" xfId="1" applyNumberFormat="1" applyFont="1" applyFill="1" applyBorder="1" applyAlignment="1">
      <alignment horizontal="center" vertical="top" wrapText="1"/>
    </xf>
    <xf numFmtId="3" fontId="3" fillId="6" borderId="79" xfId="1" applyNumberFormat="1" applyFont="1" applyFill="1" applyBorder="1" applyAlignment="1">
      <alignment horizontal="center" vertical="top" wrapText="1"/>
    </xf>
    <xf numFmtId="0" fontId="7" fillId="6" borderId="7" xfId="0" applyFont="1" applyFill="1" applyBorder="1" applyAlignment="1">
      <alignment horizontal="center" vertical="top" wrapText="1"/>
    </xf>
    <xf numFmtId="0" fontId="22" fillId="6" borderId="35" xfId="0" applyFont="1" applyFill="1" applyBorder="1" applyAlignment="1">
      <alignment horizontal="left" vertical="top" wrapText="1"/>
    </xf>
    <xf numFmtId="0" fontId="3" fillId="6" borderId="69" xfId="1" applyFont="1" applyFill="1" applyBorder="1" applyAlignment="1">
      <alignment vertical="top" wrapText="1"/>
    </xf>
    <xf numFmtId="0" fontId="3" fillId="6" borderId="82" xfId="1" applyFont="1" applyFill="1" applyBorder="1" applyAlignment="1">
      <alignment vertical="top" wrapText="1"/>
    </xf>
    <xf numFmtId="3" fontId="3" fillId="6" borderId="75" xfId="1" applyNumberFormat="1" applyFont="1" applyFill="1" applyBorder="1" applyAlignment="1">
      <alignment horizontal="center" vertical="top" wrapText="1"/>
    </xf>
    <xf numFmtId="0" fontId="3" fillId="6" borderId="77" xfId="1" applyFont="1" applyFill="1" applyBorder="1" applyAlignment="1">
      <alignment vertical="top" wrapText="1"/>
    </xf>
    <xf numFmtId="49" fontId="5" fillId="6" borderId="36" xfId="0" applyNumberFormat="1" applyFont="1" applyFill="1" applyBorder="1" applyAlignment="1">
      <alignment horizontal="center" vertical="top"/>
    </xf>
    <xf numFmtId="49" fontId="3" fillId="6" borderId="35" xfId="0" applyNumberFormat="1" applyFont="1" applyFill="1" applyBorder="1" applyAlignment="1">
      <alignment horizontal="center" vertical="top" wrapText="1"/>
    </xf>
    <xf numFmtId="0" fontId="7" fillId="6" borderId="35" xfId="0" applyFont="1" applyFill="1" applyBorder="1" applyAlignment="1">
      <alignment horizontal="center" vertical="top"/>
    </xf>
    <xf numFmtId="165" fontId="33" fillId="6" borderId="19" xfId="0" applyNumberFormat="1" applyFont="1" applyFill="1" applyBorder="1" applyAlignment="1">
      <alignment horizontal="center" vertical="top"/>
    </xf>
    <xf numFmtId="0" fontId="33" fillId="6" borderId="26" xfId="0" applyFont="1" applyFill="1" applyBorder="1" applyAlignment="1">
      <alignment vertical="top" wrapText="1"/>
    </xf>
    <xf numFmtId="165" fontId="33" fillId="6" borderId="4" xfId="0" applyNumberFormat="1" applyFont="1" applyFill="1" applyBorder="1" applyAlignment="1">
      <alignment horizontal="center" vertical="top"/>
    </xf>
    <xf numFmtId="0" fontId="33" fillId="6" borderId="40" xfId="0" applyFont="1" applyFill="1" applyBorder="1" applyAlignment="1">
      <alignment horizontal="left" vertical="top" wrapText="1"/>
    </xf>
    <xf numFmtId="165" fontId="33" fillId="6" borderId="7" xfId="0" applyNumberFormat="1" applyFont="1" applyFill="1" applyBorder="1" applyAlignment="1">
      <alignment horizontal="center" vertical="top"/>
    </xf>
    <xf numFmtId="0" fontId="33" fillId="6" borderId="69" xfId="0" applyFont="1" applyFill="1" applyBorder="1" applyAlignment="1">
      <alignment vertical="top" wrapText="1"/>
    </xf>
    <xf numFmtId="165" fontId="3" fillId="6" borderId="124" xfId="0" applyNumberFormat="1" applyFont="1" applyFill="1" applyBorder="1" applyAlignment="1">
      <alignment horizontal="center" vertical="top" wrapText="1"/>
    </xf>
    <xf numFmtId="0" fontId="33" fillId="6" borderId="60" xfId="0" applyFont="1" applyFill="1" applyBorder="1" applyAlignment="1">
      <alignment vertical="top" wrapText="1"/>
    </xf>
    <xf numFmtId="0" fontId="3" fillId="6" borderId="28" xfId="0" applyNumberFormat="1" applyFont="1" applyFill="1" applyBorder="1" applyAlignment="1">
      <alignment horizontal="center" vertical="top" wrapText="1"/>
    </xf>
    <xf numFmtId="0" fontId="33" fillId="6" borderId="8" xfId="0" applyFont="1" applyFill="1" applyBorder="1" applyAlignment="1">
      <alignment vertical="top" wrapText="1"/>
    </xf>
    <xf numFmtId="0" fontId="3" fillId="6" borderId="96" xfId="0" applyFont="1" applyFill="1" applyBorder="1" applyAlignment="1">
      <alignment horizontal="center" vertical="top"/>
    </xf>
    <xf numFmtId="0" fontId="19" fillId="6" borderId="8" xfId="0" applyFont="1" applyFill="1" applyBorder="1" applyAlignment="1">
      <alignment vertical="top" wrapText="1"/>
    </xf>
    <xf numFmtId="0" fontId="19" fillId="6" borderId="26" xfId="0" applyFont="1" applyFill="1" applyBorder="1" applyAlignment="1">
      <alignment vertical="top" wrapText="1"/>
    </xf>
    <xf numFmtId="165" fontId="5" fillId="8" borderId="31" xfId="0" applyNumberFormat="1" applyFont="1" applyFill="1" applyBorder="1" applyAlignment="1">
      <alignment horizontal="center" vertical="top"/>
    </xf>
    <xf numFmtId="49" fontId="5" fillId="8" borderId="23" xfId="0" applyNumberFormat="1" applyFont="1" applyFill="1" applyBorder="1" applyAlignment="1">
      <alignment horizontal="center" vertical="top"/>
    </xf>
    <xf numFmtId="49" fontId="5" fillId="6" borderId="46" xfId="0" applyNumberFormat="1" applyFont="1" applyFill="1" applyBorder="1" applyAlignment="1">
      <alignment horizontal="center" vertical="top" wrapText="1"/>
    </xf>
    <xf numFmtId="49" fontId="3" fillId="6" borderId="19" xfId="0" applyNumberFormat="1" applyFont="1" applyFill="1" applyBorder="1" applyAlignment="1">
      <alignment horizontal="center" vertical="center" wrapText="1"/>
    </xf>
    <xf numFmtId="0" fontId="7" fillId="6" borderId="13" xfId="0" applyFont="1" applyFill="1" applyBorder="1" applyAlignment="1">
      <alignment horizontal="center" vertical="top" wrapText="1"/>
    </xf>
    <xf numFmtId="0" fontId="3" fillId="6" borderId="8" xfId="0" applyFont="1" applyFill="1" applyBorder="1" applyAlignment="1">
      <alignment vertical="top" wrapText="1"/>
    </xf>
    <xf numFmtId="0" fontId="7" fillId="6" borderId="29" xfId="0" applyFont="1" applyFill="1" applyBorder="1" applyAlignment="1">
      <alignment horizontal="center" vertical="top" wrapText="1"/>
    </xf>
    <xf numFmtId="49" fontId="5" fillId="6" borderId="17" xfId="0" applyNumberFormat="1" applyFont="1" applyFill="1" applyBorder="1" applyAlignment="1">
      <alignment horizontal="center" vertical="top" wrapText="1"/>
    </xf>
    <xf numFmtId="49" fontId="34" fillId="6" borderId="15" xfId="0" applyNumberFormat="1" applyFont="1" applyFill="1" applyBorder="1" applyAlignment="1">
      <alignment horizontal="center" vertical="top" wrapText="1"/>
    </xf>
    <xf numFmtId="49" fontId="3" fillId="6" borderId="48" xfId="0" applyNumberFormat="1" applyFont="1" applyFill="1" applyBorder="1" applyAlignment="1">
      <alignment horizontal="center" vertical="center" wrapText="1"/>
    </xf>
    <xf numFmtId="0" fontId="3" fillId="6" borderId="28" xfId="0" applyFont="1" applyFill="1" applyBorder="1" applyAlignment="1">
      <alignment horizontal="center" vertical="top" wrapText="1"/>
    </xf>
    <xf numFmtId="49" fontId="5" fillId="6" borderId="29" xfId="0" applyNumberFormat="1" applyFont="1" applyFill="1" applyBorder="1" applyAlignment="1">
      <alignment vertical="top"/>
    </xf>
    <xf numFmtId="49" fontId="5" fillId="6" borderId="48" xfId="0" applyNumberFormat="1" applyFont="1" applyFill="1" applyBorder="1" applyAlignment="1">
      <alignment horizontal="center" vertical="top"/>
    </xf>
    <xf numFmtId="0" fontId="3" fillId="17" borderId="1" xfId="0" applyFont="1" applyFill="1" applyBorder="1" applyAlignment="1">
      <alignment horizontal="center" vertical="top"/>
    </xf>
    <xf numFmtId="0" fontId="3" fillId="17" borderId="15" xfId="0" applyFont="1" applyFill="1" applyBorder="1" applyAlignment="1">
      <alignment horizontal="center" vertical="top"/>
    </xf>
    <xf numFmtId="0" fontId="2" fillId="6" borderId="29" xfId="0" applyFont="1" applyFill="1" applyBorder="1" applyAlignment="1">
      <alignment horizontal="center" vertical="center" textRotation="90" wrapText="1"/>
    </xf>
    <xf numFmtId="0" fontId="3" fillId="17" borderId="28" xfId="0" applyFont="1" applyFill="1" applyBorder="1" applyAlignment="1">
      <alignment horizontal="center" vertical="top" wrapText="1"/>
    </xf>
    <xf numFmtId="49" fontId="5" fillId="8" borderId="25" xfId="0" applyNumberFormat="1" applyFont="1" applyFill="1" applyBorder="1" applyAlignment="1">
      <alignment horizontal="center" vertical="top" wrapText="1"/>
    </xf>
    <xf numFmtId="49" fontId="5" fillId="6" borderId="42" xfId="0" applyNumberFormat="1" applyFont="1" applyFill="1" applyBorder="1" applyAlignment="1">
      <alignment horizontal="center" vertical="center"/>
    </xf>
    <xf numFmtId="0" fontId="7" fillId="0" borderId="7" xfId="0" applyFont="1" applyBorder="1" applyAlignment="1">
      <alignment horizontal="center" vertical="center" wrapText="1"/>
    </xf>
    <xf numFmtId="49" fontId="5" fillId="6" borderId="45" xfId="0" applyNumberFormat="1" applyFont="1" applyFill="1" applyBorder="1" applyAlignment="1">
      <alignment horizontal="center" vertical="center"/>
    </xf>
    <xf numFmtId="49" fontId="5" fillId="6" borderId="27" xfId="0" applyNumberFormat="1" applyFont="1" applyFill="1" applyBorder="1" applyAlignment="1">
      <alignment horizontal="center" vertical="center"/>
    </xf>
    <xf numFmtId="0" fontId="3" fillId="6" borderId="7" xfId="0" applyFont="1" applyFill="1" applyBorder="1" applyAlignment="1">
      <alignment horizontal="center" vertical="center" wrapText="1"/>
    </xf>
    <xf numFmtId="0" fontId="3" fillId="0" borderId="97" xfId="0" applyFont="1" applyFill="1" applyBorder="1" applyAlignment="1">
      <alignment horizontal="center" vertical="center"/>
    </xf>
    <xf numFmtId="0" fontId="3" fillId="6" borderId="19" xfId="0" applyFont="1" applyFill="1" applyBorder="1" applyAlignment="1">
      <alignment horizontal="center" vertical="center" wrapText="1"/>
    </xf>
    <xf numFmtId="0" fontId="3" fillId="6" borderId="79" xfId="0" applyFont="1" applyFill="1" applyBorder="1" applyAlignment="1">
      <alignment horizontal="center" vertical="center"/>
    </xf>
    <xf numFmtId="49" fontId="5" fillId="8" borderId="23"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center" vertical="top" wrapText="1"/>
    </xf>
    <xf numFmtId="0" fontId="5" fillId="2" borderId="42"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5" xfId="0" applyFont="1" applyBorder="1" applyAlignment="1">
      <alignment horizontal="center" vertical="top" wrapText="1"/>
    </xf>
    <xf numFmtId="3" fontId="3" fillId="2" borderId="66" xfId="0" applyNumberFormat="1" applyFont="1" applyFill="1" applyBorder="1" applyAlignment="1">
      <alignment horizontal="right" vertical="top"/>
    </xf>
    <xf numFmtId="0" fontId="3" fillId="6" borderId="10" xfId="0" applyFont="1" applyFill="1" applyBorder="1" applyAlignment="1">
      <alignment vertical="top" wrapText="1"/>
    </xf>
    <xf numFmtId="165" fontId="3" fillId="6" borderId="95" xfId="0" applyNumberFormat="1" applyFont="1" applyFill="1" applyBorder="1" applyAlignment="1">
      <alignment vertical="top"/>
    </xf>
    <xf numFmtId="49" fontId="5" fillId="2" borderId="45" xfId="0" applyNumberFormat="1" applyFont="1" applyFill="1" applyBorder="1" applyAlignment="1">
      <alignment horizontal="center" vertical="top" wrapText="1"/>
    </xf>
    <xf numFmtId="165" fontId="16" fillId="6" borderId="35" xfId="0" applyNumberFormat="1" applyFont="1" applyFill="1" applyBorder="1" applyAlignment="1">
      <alignment horizontal="center" vertical="top"/>
    </xf>
    <xf numFmtId="0" fontId="3" fillId="0" borderId="48" xfId="0" applyFont="1" applyBorder="1" applyAlignment="1">
      <alignment vertical="top"/>
    </xf>
    <xf numFmtId="0" fontId="3" fillId="6" borderId="48" xfId="0" applyFont="1" applyFill="1" applyBorder="1" applyAlignment="1">
      <alignment vertical="top"/>
    </xf>
    <xf numFmtId="165" fontId="3" fillId="0" borderId="35" xfId="0" applyNumberFormat="1" applyFont="1" applyFill="1" applyBorder="1" applyAlignment="1">
      <alignment horizontal="center" vertical="top"/>
    </xf>
    <xf numFmtId="3" fontId="3" fillId="6" borderId="124" xfId="0" applyNumberFormat="1" applyFont="1" applyFill="1" applyBorder="1" applyAlignment="1">
      <alignment horizontal="center" vertical="top"/>
    </xf>
    <xf numFmtId="3" fontId="34" fillId="6" borderId="119" xfId="0" applyNumberFormat="1" applyFont="1" applyFill="1" applyBorder="1" applyAlignment="1">
      <alignment horizontal="center" vertical="top"/>
    </xf>
    <xf numFmtId="3" fontId="3" fillId="6" borderId="91" xfId="0" applyNumberFormat="1" applyFont="1" applyFill="1" applyBorder="1" applyAlignment="1">
      <alignment horizontal="center" vertical="top"/>
    </xf>
    <xf numFmtId="0" fontId="7" fillId="0" borderId="7" xfId="0" applyFont="1" applyBorder="1" applyAlignment="1">
      <alignment horizontal="center" vertical="top" wrapText="1"/>
    </xf>
    <xf numFmtId="165" fontId="3" fillId="0" borderId="75" xfId="0" applyNumberFormat="1" applyFont="1" applyFill="1" applyBorder="1" applyAlignment="1">
      <alignment horizontal="center" vertical="top" wrapText="1"/>
    </xf>
    <xf numFmtId="49" fontId="5" fillId="8" borderId="13" xfId="0" applyNumberFormat="1" applyFont="1" applyFill="1" applyBorder="1" applyAlignment="1">
      <alignment horizontal="center" vertical="top" wrapText="1"/>
    </xf>
    <xf numFmtId="1" fontId="38" fillId="6" borderId="68" xfId="0" applyNumberFormat="1" applyFont="1" applyFill="1" applyBorder="1" applyAlignment="1">
      <alignment horizontal="center" vertical="top"/>
    </xf>
    <xf numFmtId="3" fontId="3" fillId="6" borderId="75" xfId="0" applyNumberFormat="1" applyFont="1" applyFill="1" applyBorder="1" applyAlignment="1">
      <alignment horizontal="center" vertical="top"/>
    </xf>
    <xf numFmtId="49" fontId="5" fillId="8" borderId="45" xfId="0" applyNumberFormat="1" applyFont="1" applyFill="1" applyBorder="1" applyAlignment="1">
      <alignment horizontal="center" vertical="top" wrapText="1"/>
    </xf>
    <xf numFmtId="49" fontId="5" fillId="6" borderId="29" xfId="0" applyNumberFormat="1" applyFont="1" applyFill="1" applyBorder="1" applyAlignment="1">
      <alignment horizontal="center" vertical="top" wrapText="1"/>
    </xf>
    <xf numFmtId="0" fontId="3" fillId="6" borderId="77" xfId="0" applyFont="1" applyFill="1" applyBorder="1" applyAlignment="1">
      <alignment horizontal="left" vertical="top" wrapText="1"/>
    </xf>
    <xf numFmtId="3" fontId="3" fillId="6" borderId="79" xfId="0" applyNumberFormat="1" applyFont="1" applyFill="1" applyBorder="1" applyAlignment="1">
      <alignment horizontal="center" vertical="top"/>
    </xf>
    <xf numFmtId="49" fontId="5" fillId="6" borderId="2" xfId="0" applyNumberFormat="1" applyFont="1" applyFill="1" applyBorder="1" applyAlignment="1">
      <alignment horizontal="center" vertical="top" wrapText="1"/>
    </xf>
    <xf numFmtId="165" fontId="39" fillId="6" borderId="41" xfId="0" applyNumberFormat="1" applyFont="1" applyFill="1" applyBorder="1" applyAlignment="1">
      <alignment horizontal="center" vertical="top"/>
    </xf>
    <xf numFmtId="3" fontId="3" fillId="6" borderId="6" xfId="0" applyNumberFormat="1" applyFont="1" applyFill="1" applyBorder="1" applyAlignment="1">
      <alignment vertical="top" wrapText="1"/>
    </xf>
    <xf numFmtId="49" fontId="34" fillId="6" borderId="24" xfId="0" applyNumberFormat="1" applyFont="1" applyFill="1" applyBorder="1" applyAlignment="1">
      <alignment horizontal="center" vertical="top" wrapText="1"/>
    </xf>
    <xf numFmtId="3" fontId="11" fillId="6" borderId="54" xfId="0" applyNumberFormat="1" applyFont="1" applyFill="1" applyBorder="1" applyAlignment="1">
      <alignment horizontal="left" vertical="top" wrapText="1"/>
    </xf>
    <xf numFmtId="49" fontId="3" fillId="0" borderId="31" xfId="0" applyNumberFormat="1" applyFont="1" applyBorder="1" applyAlignment="1">
      <alignment horizontal="center" vertical="center" wrapText="1"/>
    </xf>
    <xf numFmtId="49" fontId="3" fillId="6" borderId="24" xfId="0" applyNumberFormat="1" applyFont="1" applyFill="1" applyBorder="1" applyAlignment="1">
      <alignment horizontal="center" vertical="top" wrapText="1"/>
    </xf>
    <xf numFmtId="49" fontId="5" fillId="6" borderId="54" xfId="0" applyNumberFormat="1" applyFont="1" applyFill="1" applyBorder="1" applyAlignment="1">
      <alignment horizontal="center" vertical="top"/>
    </xf>
    <xf numFmtId="3" fontId="11" fillId="6" borderId="22" xfId="0" applyNumberFormat="1" applyFont="1" applyFill="1" applyBorder="1" applyAlignment="1">
      <alignment horizontal="center" vertical="top"/>
    </xf>
    <xf numFmtId="3" fontId="3" fillId="0" borderId="0" xfId="0" applyNumberFormat="1" applyFont="1" applyFill="1" applyBorder="1" applyAlignment="1">
      <alignment horizontal="left" vertical="top" wrapText="1"/>
    </xf>
    <xf numFmtId="0" fontId="0" fillId="0" borderId="0" xfId="0" applyFill="1" applyAlignment="1">
      <alignment horizontal="left" vertical="top" wrapText="1"/>
    </xf>
    <xf numFmtId="3" fontId="5" fillId="0" borderId="5" xfId="0" applyNumberFormat="1" applyFont="1" applyBorder="1" applyAlignment="1">
      <alignment horizontal="center" vertical="center" wrapText="1"/>
    </xf>
    <xf numFmtId="165" fontId="16" fillId="6" borderId="40" xfId="0" applyNumberFormat="1" applyFont="1" applyFill="1" applyBorder="1" applyAlignment="1">
      <alignment horizontal="center" vertical="top"/>
    </xf>
    <xf numFmtId="0" fontId="40" fillId="0" borderId="0" xfId="0" applyFont="1" applyBorder="1" applyAlignment="1">
      <alignment vertical="top"/>
    </xf>
    <xf numFmtId="164" fontId="41" fillId="6" borderId="1" xfId="0" applyNumberFormat="1" applyFont="1" applyFill="1" applyBorder="1" applyAlignment="1">
      <alignment horizontal="center" vertical="center" wrapText="1"/>
    </xf>
    <xf numFmtId="165" fontId="16" fillId="6" borderId="28" xfId="0" applyNumberFormat="1" applyFont="1" applyFill="1" applyBorder="1" applyAlignment="1">
      <alignment horizontal="center" vertical="top" wrapText="1"/>
    </xf>
    <xf numFmtId="165" fontId="16" fillId="6" borderId="1" xfId="0" applyNumberFormat="1" applyFont="1" applyFill="1" applyBorder="1" applyAlignment="1">
      <alignment horizontal="center" vertical="top" wrapText="1"/>
    </xf>
    <xf numFmtId="165" fontId="16" fillId="0" borderId="4" xfId="0" applyNumberFormat="1" applyFont="1" applyFill="1" applyBorder="1" applyAlignment="1">
      <alignment horizontal="center" vertical="top"/>
    </xf>
    <xf numFmtId="0" fontId="16" fillId="6" borderId="28" xfId="0" applyFont="1" applyFill="1" applyBorder="1" applyAlignment="1">
      <alignment horizontal="center" vertical="top" wrapText="1"/>
    </xf>
    <xf numFmtId="0" fontId="3" fillId="6" borderId="40" xfId="1" applyFont="1" applyFill="1" applyBorder="1" applyAlignment="1">
      <alignment horizontal="left" vertical="top" wrapText="1"/>
    </xf>
    <xf numFmtId="0" fontId="3" fillId="6" borderId="8" xfId="1" applyFont="1" applyFill="1" applyBorder="1" applyAlignment="1">
      <alignment horizontal="left" vertical="top" wrapText="1"/>
    </xf>
    <xf numFmtId="0" fontId="43" fillId="0" borderId="107" xfId="0" applyNumberFormat="1" applyFont="1" applyFill="1" applyBorder="1" applyAlignment="1" applyProtection="1">
      <alignment horizontal="center" wrapText="1" readingOrder="1"/>
    </xf>
    <xf numFmtId="0" fontId="43" fillId="0" borderId="110" xfId="0" applyNumberFormat="1" applyFont="1" applyFill="1" applyBorder="1" applyAlignment="1" applyProtection="1">
      <alignment horizontal="center" wrapText="1" readingOrder="1"/>
    </xf>
    <xf numFmtId="0" fontId="43" fillId="0" borderId="113" xfId="0" applyNumberFormat="1" applyFont="1" applyFill="1" applyBorder="1" applyAlignment="1" applyProtection="1">
      <alignment horizontal="center" wrapText="1" readingOrder="1"/>
    </xf>
    <xf numFmtId="0" fontId="43" fillId="13" borderId="107" xfId="0" applyNumberFormat="1" applyFont="1" applyFill="1" applyBorder="1" applyAlignment="1" applyProtection="1">
      <alignment horizontal="left" vertical="top" wrapText="1" readingOrder="1"/>
      <protection locked="0"/>
    </xf>
    <xf numFmtId="0" fontId="43" fillId="14" borderId="107" xfId="0" applyNumberFormat="1" applyFont="1" applyFill="1" applyBorder="1" applyAlignment="1" applyProtection="1">
      <alignment horizontal="left" vertical="top" wrapText="1" readingOrder="1"/>
      <protection locked="0"/>
    </xf>
    <xf numFmtId="0" fontId="44" fillId="0" borderId="110" xfId="0" applyNumberFormat="1" applyFont="1" applyFill="1" applyBorder="1" applyAlignment="1" applyProtection="1">
      <alignment horizontal="left" vertical="top" wrapText="1" readingOrder="1"/>
      <protection locked="0"/>
    </xf>
    <xf numFmtId="0" fontId="43" fillId="15" borderId="107" xfId="0" applyNumberFormat="1" applyFont="1" applyFill="1" applyBorder="1" applyAlignment="1" applyProtection="1">
      <alignment horizontal="left" vertical="top" wrapText="1" readingOrder="1"/>
      <protection locked="0"/>
    </xf>
    <xf numFmtId="0" fontId="44" fillId="0" borderId="107" xfId="0" applyNumberFormat="1" applyFont="1" applyFill="1" applyBorder="1" applyAlignment="1" applyProtection="1">
      <alignment horizontal="left" vertical="top" wrapText="1" readingOrder="1"/>
      <protection locked="0"/>
    </xf>
    <xf numFmtId="0" fontId="44" fillId="0" borderId="116" xfId="0" applyNumberFormat="1" applyFont="1" applyFill="1" applyBorder="1" applyAlignment="1" applyProtection="1">
      <alignment horizontal="left" vertical="top" wrapText="1" readingOrder="1"/>
      <protection locked="0"/>
    </xf>
    <xf numFmtId="0" fontId="44" fillId="0" borderId="0" xfId="0" applyNumberFormat="1" applyFont="1" applyFill="1" applyAlignment="1" applyProtection="1">
      <alignment horizontal="left" vertical="top" wrapText="1" readingOrder="1"/>
      <protection locked="0"/>
    </xf>
    <xf numFmtId="0" fontId="44" fillId="0" borderId="0" xfId="0" applyNumberFormat="1" applyFont="1" applyFill="1" applyAlignment="1" applyProtection="1">
      <alignment wrapText="1" readingOrder="1"/>
    </xf>
    <xf numFmtId="0" fontId="3" fillId="18" borderId="69" xfId="0" applyFont="1" applyFill="1" applyBorder="1" applyAlignment="1">
      <alignment horizontal="left" vertical="top" wrapText="1"/>
    </xf>
    <xf numFmtId="3" fontId="3" fillId="18" borderId="70" xfId="0" applyNumberFormat="1" applyFont="1" applyFill="1" applyBorder="1" applyAlignment="1">
      <alignment horizontal="center" vertical="top" wrapText="1"/>
    </xf>
    <xf numFmtId="3" fontId="3" fillId="18" borderId="71" xfId="0" applyNumberFormat="1" applyFont="1" applyFill="1" applyBorder="1" applyAlignment="1">
      <alignment horizontal="center" vertical="top" wrapText="1"/>
    </xf>
    <xf numFmtId="49" fontId="3" fillId="6" borderId="45" xfId="0" applyNumberFormat="1" applyFont="1" applyFill="1" applyBorder="1" applyAlignment="1">
      <alignment horizontal="left" vertical="top" wrapText="1"/>
    </xf>
    <xf numFmtId="49" fontId="3" fillId="6" borderId="92" xfId="0" applyNumberFormat="1" applyFont="1" applyFill="1" applyBorder="1" applyAlignment="1">
      <alignment horizontal="center" vertical="top" wrapText="1"/>
    </xf>
    <xf numFmtId="49" fontId="3" fillId="6" borderId="71" xfId="0" applyNumberFormat="1" applyFont="1" applyFill="1" applyBorder="1" applyAlignment="1">
      <alignment horizontal="center" vertical="top" wrapText="1"/>
    </xf>
    <xf numFmtId="49" fontId="3" fillId="6" borderId="71" xfId="0" applyNumberFormat="1" applyFont="1" applyFill="1" applyBorder="1" applyAlignment="1">
      <alignment horizontal="left" vertical="top" wrapText="1"/>
    </xf>
    <xf numFmtId="1" fontId="3" fillId="6" borderId="45" xfId="0" applyNumberFormat="1" applyFont="1" applyFill="1" applyBorder="1" applyAlignment="1">
      <alignment horizontal="left" vertical="top" wrapText="1"/>
    </xf>
    <xf numFmtId="0" fontId="3" fillId="18" borderId="83" xfId="0" applyFont="1" applyFill="1" applyBorder="1" applyAlignment="1">
      <alignment vertical="top" wrapText="1"/>
    </xf>
    <xf numFmtId="49" fontId="3" fillId="18" borderId="90" xfId="0" applyNumberFormat="1" applyFont="1" applyFill="1" applyBorder="1" applyAlignment="1">
      <alignment horizontal="center" vertical="top" wrapText="1"/>
    </xf>
    <xf numFmtId="49" fontId="3" fillId="18" borderId="86" xfId="0" applyNumberFormat="1" applyFont="1" applyFill="1" applyBorder="1" applyAlignment="1">
      <alignment horizontal="center" vertical="top" wrapText="1"/>
    </xf>
    <xf numFmtId="49" fontId="3" fillId="18" borderId="84" xfId="0" applyNumberFormat="1" applyFont="1" applyFill="1" applyBorder="1" applyAlignment="1">
      <alignment horizontal="left" vertical="top" wrapText="1"/>
    </xf>
    <xf numFmtId="3" fontId="3" fillId="6" borderId="45" xfId="0" applyNumberFormat="1" applyFont="1" applyFill="1" applyBorder="1" applyAlignment="1">
      <alignment horizontal="left" vertical="top" wrapText="1"/>
    </xf>
    <xf numFmtId="0" fontId="22" fillId="6" borderId="89" xfId="0" applyFont="1" applyFill="1" applyBorder="1" applyAlignment="1">
      <alignment horizontal="left" vertical="top" wrapText="1"/>
    </xf>
    <xf numFmtId="3" fontId="3" fillId="6" borderId="88" xfId="0" applyNumberFormat="1" applyFont="1" applyFill="1" applyBorder="1" applyAlignment="1">
      <alignment horizontal="center" vertical="top" wrapText="1"/>
    </xf>
    <xf numFmtId="0" fontId="3" fillId="6" borderId="99" xfId="0" applyFont="1" applyFill="1" applyBorder="1" applyAlignment="1">
      <alignment horizontal="left" vertical="top" wrapText="1"/>
    </xf>
    <xf numFmtId="49" fontId="3" fillId="6" borderId="70" xfId="0" applyNumberFormat="1" applyFont="1" applyFill="1" applyBorder="1" applyAlignment="1">
      <alignment horizontal="center" vertical="top" wrapText="1"/>
    </xf>
    <xf numFmtId="0" fontId="3" fillId="0" borderId="76" xfId="0" applyFont="1" applyBorder="1" applyAlignment="1">
      <alignment vertical="top"/>
    </xf>
    <xf numFmtId="49" fontId="3" fillId="6" borderId="70" xfId="0" applyNumberFormat="1" applyFont="1" applyFill="1" applyBorder="1" applyAlignment="1">
      <alignment horizontal="left" vertical="top" wrapText="1"/>
    </xf>
    <xf numFmtId="165" fontId="3" fillId="2" borderId="1" xfId="0" applyNumberFormat="1" applyFont="1" applyFill="1" applyBorder="1" applyAlignment="1">
      <alignment horizontal="center" vertical="top"/>
    </xf>
    <xf numFmtId="3" fontId="3" fillId="18" borderId="45" xfId="0" applyNumberFormat="1" applyFont="1" applyFill="1" applyBorder="1" applyAlignment="1">
      <alignment horizontal="center" vertical="top" wrapText="1"/>
    </xf>
    <xf numFmtId="3" fontId="3" fillId="18" borderId="45" xfId="0" applyNumberFormat="1" applyFont="1" applyFill="1" applyBorder="1" applyAlignment="1">
      <alignment horizontal="center" vertical="top"/>
    </xf>
    <xf numFmtId="3" fontId="3" fillId="18" borderId="27" xfId="0" applyNumberFormat="1" applyFont="1" applyFill="1" applyBorder="1" applyAlignment="1">
      <alignment horizontal="center" vertical="top" wrapText="1"/>
    </xf>
    <xf numFmtId="3" fontId="3" fillId="18" borderId="27" xfId="0" applyNumberFormat="1" applyFont="1" applyFill="1" applyBorder="1" applyAlignment="1">
      <alignment horizontal="center" vertical="top"/>
    </xf>
    <xf numFmtId="0" fontId="3" fillId="18" borderId="35" xfId="0" applyFont="1" applyFill="1" applyBorder="1" applyAlignment="1">
      <alignment vertical="top" wrapText="1"/>
    </xf>
    <xf numFmtId="3" fontId="3" fillId="18" borderId="17" xfId="0" applyNumberFormat="1" applyFont="1" applyFill="1" applyBorder="1" applyAlignment="1">
      <alignment horizontal="center" vertical="top"/>
    </xf>
    <xf numFmtId="3" fontId="3" fillId="18" borderId="37" xfId="0" applyNumberFormat="1" applyFont="1" applyFill="1" applyBorder="1" applyAlignment="1">
      <alignment horizontal="center" vertical="top"/>
    </xf>
    <xf numFmtId="3" fontId="3" fillId="18" borderId="17" xfId="0" applyNumberFormat="1" applyFont="1" applyFill="1" applyBorder="1" applyAlignment="1">
      <alignment horizontal="center" vertical="top" wrapText="1"/>
    </xf>
    <xf numFmtId="0" fontId="19" fillId="18" borderId="26" xfId="0" applyFont="1" applyFill="1" applyBorder="1" applyAlignment="1">
      <alignment horizontal="left" vertical="top" wrapText="1"/>
    </xf>
    <xf numFmtId="3" fontId="3" fillId="18" borderId="29" xfId="0" applyNumberFormat="1" applyFont="1" applyFill="1" applyBorder="1" applyAlignment="1">
      <alignment horizontal="center" vertical="top" wrapText="1"/>
    </xf>
    <xf numFmtId="3" fontId="3" fillId="18" borderId="44" xfId="0" applyNumberFormat="1" applyFont="1" applyFill="1" applyBorder="1" applyAlignment="1">
      <alignment horizontal="center" vertical="top"/>
    </xf>
    <xf numFmtId="3" fontId="3" fillId="18" borderId="29" xfId="0" applyNumberFormat="1" applyFont="1" applyFill="1" applyBorder="1" applyAlignment="1">
      <alignment horizontal="center" vertical="top"/>
    </xf>
    <xf numFmtId="3" fontId="3" fillId="6" borderId="17" xfId="0" applyNumberFormat="1" applyFont="1" applyFill="1" applyBorder="1" applyAlignment="1">
      <alignment horizontal="left" vertical="top"/>
    </xf>
    <xf numFmtId="3" fontId="3" fillId="7" borderId="45" xfId="0" applyNumberFormat="1" applyFont="1" applyFill="1" applyBorder="1" applyAlignment="1">
      <alignment horizontal="center" vertical="top" wrapText="1"/>
    </xf>
    <xf numFmtId="3" fontId="3" fillId="7" borderId="27" xfId="0" applyNumberFormat="1" applyFont="1" applyFill="1" applyBorder="1" applyAlignment="1">
      <alignment horizontal="center" vertical="top" wrapText="1"/>
    </xf>
    <xf numFmtId="3" fontId="3" fillId="7" borderId="27" xfId="0" applyNumberFormat="1" applyFont="1" applyFill="1" applyBorder="1" applyAlignment="1">
      <alignment horizontal="center" vertical="top"/>
    </xf>
    <xf numFmtId="3" fontId="3" fillId="7" borderId="29" xfId="0" applyNumberFormat="1" applyFont="1" applyFill="1" applyBorder="1" applyAlignment="1">
      <alignment horizontal="center" vertical="top"/>
    </xf>
    <xf numFmtId="49" fontId="3" fillId="6" borderId="45" xfId="0" applyNumberFormat="1" applyFont="1" applyFill="1" applyBorder="1" applyAlignment="1">
      <alignment horizontal="center" vertical="top"/>
    </xf>
    <xf numFmtId="49" fontId="3" fillId="6" borderId="29" xfId="0" applyNumberFormat="1" applyFont="1" applyFill="1" applyBorder="1" applyAlignment="1">
      <alignment horizontal="center" vertical="top"/>
    </xf>
    <xf numFmtId="49" fontId="3" fillId="6" borderId="2" xfId="0" applyNumberFormat="1" applyFont="1" applyFill="1" applyBorder="1" applyAlignment="1">
      <alignment horizontal="center" vertical="top"/>
    </xf>
    <xf numFmtId="49" fontId="3" fillId="6" borderId="1" xfId="0" applyNumberFormat="1" applyFont="1" applyFill="1" applyBorder="1" applyAlignment="1">
      <alignment horizontal="center" vertical="top" wrapText="1"/>
    </xf>
    <xf numFmtId="49" fontId="3" fillId="6" borderId="28" xfId="0" applyNumberFormat="1" applyFont="1" applyFill="1" applyBorder="1" applyAlignment="1">
      <alignment horizontal="center" vertical="top" wrapText="1"/>
    </xf>
    <xf numFmtId="3" fontId="3" fillId="6" borderId="32" xfId="0" applyNumberFormat="1" applyFont="1" applyFill="1" applyBorder="1" applyAlignment="1">
      <alignment horizontal="left" vertical="top" wrapText="1"/>
    </xf>
    <xf numFmtId="0" fontId="3" fillId="6" borderId="23" xfId="0" applyFont="1" applyFill="1" applyBorder="1" applyAlignment="1">
      <alignment horizontal="center" vertical="center" textRotation="90" shrinkToFit="1"/>
    </xf>
    <xf numFmtId="0" fontId="3" fillId="6" borderId="13" xfId="0" applyFont="1" applyFill="1" applyBorder="1" applyAlignment="1">
      <alignment horizontal="center" vertical="center" textRotation="90" shrinkToFit="1"/>
    </xf>
    <xf numFmtId="0" fontId="3" fillId="6" borderId="21" xfId="0" applyFont="1" applyFill="1" applyBorder="1" applyAlignment="1">
      <alignment horizontal="center" vertical="center" textRotation="90" shrinkToFit="1"/>
    </xf>
    <xf numFmtId="3" fontId="3" fillId="18" borderId="75" xfId="0" applyNumberFormat="1" applyFont="1" applyFill="1" applyBorder="1" applyAlignment="1">
      <alignment horizontal="left" vertical="top" wrapText="1"/>
    </xf>
    <xf numFmtId="49" fontId="3" fillId="18" borderId="97" xfId="0" applyNumberFormat="1" applyFont="1" applyFill="1" applyBorder="1" applyAlignment="1">
      <alignment horizontal="left" vertical="top" wrapText="1"/>
    </xf>
    <xf numFmtId="3" fontId="3" fillId="6" borderId="14" xfId="0" applyNumberFormat="1" applyFont="1" applyFill="1" applyBorder="1" applyAlignment="1">
      <alignment horizontal="center" vertical="top"/>
    </xf>
    <xf numFmtId="3" fontId="3" fillId="6" borderId="85" xfId="1" applyNumberFormat="1" applyFont="1" applyFill="1" applyBorder="1" applyAlignment="1">
      <alignment horizontal="center" vertical="top"/>
    </xf>
    <xf numFmtId="3" fontId="3" fillId="6" borderId="126" xfId="1" applyNumberFormat="1" applyFont="1" applyFill="1" applyBorder="1" applyAlignment="1">
      <alignment horizontal="center" vertical="top"/>
    </xf>
    <xf numFmtId="165" fontId="3" fillId="6" borderId="15" xfId="1" applyNumberFormat="1" applyFont="1" applyFill="1" applyBorder="1" applyAlignment="1">
      <alignment horizontal="center" vertical="top" wrapText="1"/>
    </xf>
    <xf numFmtId="0" fontId="24" fillId="19" borderId="105" xfId="0" applyNumberFormat="1" applyFont="1" applyFill="1" applyBorder="1" applyAlignment="1" applyProtection="1">
      <alignment vertical="top" wrapText="1" readingOrder="1"/>
      <protection locked="0"/>
    </xf>
    <xf numFmtId="0" fontId="24" fillId="19" borderId="106" xfId="0" applyNumberFormat="1" applyFont="1" applyFill="1" applyBorder="1" applyAlignment="1" applyProtection="1">
      <alignment vertical="top" wrapText="1" readingOrder="1"/>
      <protection locked="0"/>
    </xf>
    <xf numFmtId="0" fontId="24" fillId="19" borderId="106" xfId="0" applyNumberFormat="1" applyFont="1" applyFill="1" applyBorder="1" applyAlignment="1" applyProtection="1">
      <alignment horizontal="left" vertical="top" wrapText="1" readingOrder="1"/>
      <protection locked="0"/>
    </xf>
    <xf numFmtId="0" fontId="24" fillId="19" borderId="106" xfId="0" applyNumberFormat="1" applyFont="1" applyFill="1" applyBorder="1" applyAlignment="1" applyProtection="1">
      <alignment horizontal="center" vertical="center" wrapText="1" readingOrder="1"/>
      <protection locked="0"/>
    </xf>
    <xf numFmtId="167" fontId="24" fillId="19" borderId="106" xfId="0" applyNumberFormat="1" applyFont="1" applyFill="1" applyBorder="1" applyAlignment="1" applyProtection="1">
      <alignment horizontal="right" vertical="top" wrapText="1" readingOrder="1"/>
    </xf>
    <xf numFmtId="165" fontId="3" fillId="6" borderId="71" xfId="0" applyNumberFormat="1" applyFont="1" applyFill="1" applyBorder="1" applyAlignment="1">
      <alignment horizontal="left" vertical="top" wrapText="1"/>
    </xf>
    <xf numFmtId="3" fontId="3" fillId="6" borderId="27" xfId="0" applyNumberFormat="1" applyFont="1" applyFill="1" applyBorder="1" applyAlignment="1">
      <alignment horizontal="left" vertical="top" wrapText="1"/>
    </xf>
    <xf numFmtId="164" fontId="2" fillId="6" borderId="15" xfId="0" applyNumberFormat="1" applyFont="1" applyFill="1" applyBorder="1" applyAlignment="1">
      <alignment horizontal="center" vertical="center" wrapText="1"/>
    </xf>
    <xf numFmtId="0" fontId="3" fillId="18" borderId="40" xfId="1" applyFont="1" applyFill="1" applyBorder="1" applyAlignment="1">
      <alignment vertical="top" wrapText="1"/>
    </xf>
    <xf numFmtId="3" fontId="3" fillId="18" borderId="43" xfId="0" applyNumberFormat="1" applyFont="1" applyFill="1" applyBorder="1" applyAlignment="1">
      <alignment horizontal="center" vertical="top" wrapText="1"/>
    </xf>
    <xf numFmtId="0" fontId="3" fillId="18" borderId="26" xfId="0" applyFont="1" applyFill="1" applyBorder="1" applyAlignment="1">
      <alignment horizontal="center" vertical="top" wrapText="1"/>
    </xf>
    <xf numFmtId="0" fontId="3" fillId="18" borderId="27" xfId="0" applyFont="1" applyFill="1" applyBorder="1" applyAlignment="1">
      <alignment horizontal="center" vertical="top" wrapText="1"/>
    </xf>
    <xf numFmtId="49" fontId="3" fillId="18" borderId="45" xfId="0" applyNumberFormat="1" applyFont="1" applyFill="1" applyBorder="1" applyAlignment="1">
      <alignment horizontal="center" vertical="top" wrapText="1"/>
    </xf>
    <xf numFmtId="0" fontId="3" fillId="7" borderId="40" xfId="1" applyFont="1" applyFill="1" applyBorder="1" applyAlignment="1">
      <alignment vertical="top" wrapText="1"/>
    </xf>
    <xf numFmtId="3" fontId="3" fillId="7" borderId="17" xfId="0" applyNumberFormat="1" applyFont="1" applyFill="1" applyBorder="1" applyAlignment="1">
      <alignment horizontal="center" vertical="top" wrapText="1"/>
    </xf>
    <xf numFmtId="3" fontId="3" fillId="7" borderId="43" xfId="0" applyNumberFormat="1" applyFont="1" applyFill="1" applyBorder="1" applyAlignment="1">
      <alignment horizontal="center" vertical="top" wrapText="1"/>
    </xf>
    <xf numFmtId="0" fontId="3" fillId="7" borderId="8" xfId="0" applyFont="1" applyFill="1" applyBorder="1" applyAlignment="1">
      <alignment vertical="top" wrapText="1"/>
    </xf>
    <xf numFmtId="3" fontId="3" fillId="7" borderId="13" xfId="0" applyNumberFormat="1" applyFont="1" applyFill="1" applyBorder="1" applyAlignment="1">
      <alignment horizontal="center" vertical="top" wrapText="1"/>
    </xf>
    <xf numFmtId="0" fontId="7" fillId="7" borderId="26" xfId="0" applyFont="1" applyFill="1" applyBorder="1" applyAlignment="1">
      <alignment vertical="top" wrapText="1"/>
    </xf>
    <xf numFmtId="3" fontId="3" fillId="7" borderId="29" xfId="0" applyNumberFormat="1" applyFont="1" applyFill="1" applyBorder="1" applyAlignment="1">
      <alignment horizontal="center" vertical="top" wrapText="1"/>
    </xf>
    <xf numFmtId="0" fontId="3" fillId="6" borderId="43" xfId="0" applyFont="1" applyFill="1" applyBorder="1" applyAlignment="1">
      <alignment horizontal="left" vertical="top"/>
    </xf>
    <xf numFmtId="0" fontId="3" fillId="0" borderId="81" xfId="0" applyFont="1" applyFill="1" applyBorder="1" applyAlignment="1">
      <alignment horizontal="left" vertical="center" wrapText="1"/>
    </xf>
    <xf numFmtId="0" fontId="3" fillId="6" borderId="71" xfId="0" applyFont="1" applyFill="1" applyBorder="1" applyAlignment="1">
      <alignment horizontal="left" vertical="center" wrapText="1"/>
    </xf>
    <xf numFmtId="0" fontId="3" fillId="6" borderId="126" xfId="0" applyFont="1" applyFill="1" applyBorder="1" applyAlignment="1">
      <alignment vertical="top" wrapText="1"/>
    </xf>
    <xf numFmtId="165" fontId="3" fillId="6" borderId="84" xfId="0" applyNumberFormat="1" applyFont="1" applyFill="1" applyBorder="1" applyAlignment="1">
      <alignment horizontal="center" vertical="top"/>
    </xf>
    <xf numFmtId="3" fontId="3" fillId="6" borderId="84" xfId="0" applyNumberFormat="1" applyFont="1" applyFill="1" applyBorder="1" applyAlignment="1">
      <alignment horizontal="left" vertical="top"/>
    </xf>
    <xf numFmtId="1" fontId="3" fillId="6" borderId="46" xfId="0" applyNumberFormat="1" applyFont="1" applyFill="1" applyBorder="1" applyAlignment="1">
      <alignment horizontal="left" vertical="top" wrapText="1"/>
    </xf>
    <xf numFmtId="1" fontId="3" fillId="6" borderId="17" xfId="0" applyNumberFormat="1" applyFont="1" applyFill="1" applyBorder="1" applyAlignment="1">
      <alignment horizontal="center" vertical="top" wrapText="1"/>
    </xf>
    <xf numFmtId="0" fontId="3" fillId="6" borderId="16" xfId="0" applyFont="1" applyFill="1" applyBorder="1" applyAlignment="1">
      <alignment horizontal="left" vertical="top" wrapText="1"/>
    </xf>
    <xf numFmtId="3" fontId="3" fillId="6" borderId="80" xfId="0" applyNumberFormat="1" applyFont="1" applyFill="1" applyBorder="1" applyAlignment="1">
      <alignment horizontal="center" vertical="top"/>
    </xf>
    <xf numFmtId="0" fontId="3" fillId="6" borderId="80" xfId="0" applyFont="1" applyFill="1" applyBorder="1" applyAlignment="1">
      <alignment vertical="top"/>
    </xf>
    <xf numFmtId="1" fontId="3" fillId="6" borderId="80" xfId="0" applyNumberFormat="1" applyFont="1" applyFill="1" applyBorder="1" applyAlignment="1">
      <alignment horizontal="left" vertical="top" wrapText="1"/>
    </xf>
    <xf numFmtId="3" fontId="3" fillId="0" borderId="2" xfId="0" applyNumberFormat="1" applyFont="1" applyFill="1" applyBorder="1" applyAlignment="1">
      <alignment horizontal="left" vertical="top"/>
    </xf>
    <xf numFmtId="3" fontId="3" fillId="0" borderId="13" xfId="0" applyNumberFormat="1" applyFont="1" applyFill="1" applyBorder="1" applyAlignment="1">
      <alignment horizontal="left" vertical="top"/>
    </xf>
    <xf numFmtId="49" fontId="3" fillId="6" borderId="2" xfId="0" applyNumberFormat="1" applyFont="1" applyFill="1" applyBorder="1" applyAlignment="1">
      <alignment horizontal="center" vertical="top" wrapText="1"/>
    </xf>
    <xf numFmtId="0" fontId="3" fillId="18" borderId="65" xfId="0" applyFont="1" applyFill="1" applyBorder="1" applyAlignment="1">
      <alignment vertical="top" wrapText="1"/>
    </xf>
    <xf numFmtId="49" fontId="3" fillId="18" borderId="42" xfId="0" applyNumberFormat="1" applyFont="1" applyFill="1" applyBorder="1" applyAlignment="1">
      <alignment horizontal="center" vertical="top" wrapText="1"/>
    </xf>
    <xf numFmtId="3" fontId="3" fillId="18" borderId="42" xfId="0" applyNumberFormat="1" applyFont="1" applyFill="1" applyBorder="1" applyAlignment="1">
      <alignment horizontal="center" vertical="top"/>
    </xf>
    <xf numFmtId="0" fontId="3" fillId="18" borderId="8" xfId="0" applyFont="1" applyFill="1" applyBorder="1" applyAlignment="1">
      <alignment vertical="top" wrapText="1"/>
    </xf>
    <xf numFmtId="0" fontId="19" fillId="6" borderId="127" xfId="0" applyFont="1" applyFill="1" applyBorder="1" applyAlignment="1">
      <alignment vertical="top" wrapText="1"/>
    </xf>
    <xf numFmtId="3" fontId="11" fillId="6" borderId="128" xfId="0" applyNumberFormat="1" applyFont="1" applyFill="1" applyBorder="1" applyAlignment="1">
      <alignment horizontal="center" vertical="top"/>
    </xf>
    <xf numFmtId="3" fontId="3" fillId="6" borderId="128" xfId="0" applyNumberFormat="1" applyFont="1" applyFill="1" applyBorder="1" applyAlignment="1">
      <alignment horizontal="center" vertical="top"/>
    </xf>
    <xf numFmtId="3" fontId="3" fillId="6" borderId="117" xfId="0" applyNumberFormat="1" applyFont="1" applyFill="1" applyBorder="1" applyAlignment="1">
      <alignment vertical="top" wrapText="1"/>
    </xf>
    <xf numFmtId="0" fontId="7" fillId="6" borderId="104" xfId="0" applyFont="1" applyFill="1" applyBorder="1" applyAlignment="1">
      <alignment vertical="top" wrapText="1"/>
    </xf>
    <xf numFmtId="0" fontId="3" fillId="18" borderId="26" xfId="0" applyFont="1" applyFill="1" applyBorder="1" applyAlignment="1">
      <alignment vertical="top" wrapText="1"/>
    </xf>
    <xf numFmtId="49" fontId="3" fillId="18" borderId="27" xfId="0" applyNumberFormat="1" applyFont="1" applyFill="1" applyBorder="1" applyAlignment="1">
      <alignment horizontal="center" vertical="top" wrapText="1"/>
    </xf>
    <xf numFmtId="49" fontId="3" fillId="18" borderId="70" xfId="0" applyNumberFormat="1" applyFont="1" applyFill="1" applyBorder="1" applyAlignment="1">
      <alignment horizontal="left" vertical="top" wrapText="1"/>
    </xf>
    <xf numFmtId="0" fontId="3" fillId="18" borderId="69" xfId="0" applyFont="1" applyFill="1" applyBorder="1" applyAlignment="1">
      <alignment vertical="top" wrapText="1"/>
    </xf>
    <xf numFmtId="3" fontId="3" fillId="18" borderId="70" xfId="1" applyNumberFormat="1" applyFont="1" applyFill="1" applyBorder="1" applyAlignment="1">
      <alignment horizontal="center" vertical="top"/>
    </xf>
    <xf numFmtId="3" fontId="3" fillId="18" borderId="70" xfId="1" applyNumberFormat="1" applyFont="1" applyFill="1" applyBorder="1" applyAlignment="1">
      <alignment horizontal="left" vertical="top" wrapText="1"/>
    </xf>
    <xf numFmtId="3" fontId="3" fillId="0" borderId="85" xfId="1" applyNumberFormat="1" applyFont="1" applyFill="1" applyBorder="1" applyAlignment="1">
      <alignment horizontal="center" vertical="top"/>
    </xf>
    <xf numFmtId="3" fontId="3" fillId="6" borderId="85" xfId="1" applyNumberFormat="1" applyFont="1" applyFill="1" applyBorder="1" applyAlignment="1">
      <alignment horizontal="left" vertical="top" wrapText="1"/>
    </xf>
    <xf numFmtId="3" fontId="3" fillId="18" borderId="43" xfId="0" applyNumberFormat="1" applyFont="1" applyFill="1" applyBorder="1" applyAlignment="1">
      <alignment horizontal="left" vertical="top" wrapText="1"/>
    </xf>
    <xf numFmtId="3" fontId="3" fillId="7" borderId="43" xfId="0" applyNumberFormat="1" applyFont="1" applyFill="1" applyBorder="1" applyAlignment="1">
      <alignment horizontal="left" vertical="top" wrapText="1"/>
    </xf>
    <xf numFmtId="0" fontId="3" fillId="6" borderId="78" xfId="0" applyFont="1" applyFill="1" applyBorder="1" applyAlignment="1">
      <alignment horizontal="center" vertical="top"/>
    </xf>
    <xf numFmtId="0" fontId="3" fillId="0" borderId="81" xfId="0" applyFont="1" applyFill="1" applyBorder="1" applyAlignment="1">
      <alignment horizontal="center" vertical="top"/>
    </xf>
    <xf numFmtId="0" fontId="3" fillId="0" borderId="28" xfId="0" applyFont="1" applyFill="1" applyBorder="1" applyAlignment="1">
      <alignment horizontal="center" vertical="center"/>
    </xf>
    <xf numFmtId="0" fontId="3" fillId="6" borderId="15" xfId="0" applyFont="1" applyFill="1" applyBorder="1" applyAlignment="1">
      <alignment horizontal="center" vertical="center"/>
    </xf>
    <xf numFmtId="3" fontId="3" fillId="18" borderId="75" xfId="1" applyNumberFormat="1" applyFont="1" applyFill="1" applyBorder="1" applyAlignment="1">
      <alignment horizontal="left" vertical="top" wrapText="1"/>
    </xf>
    <xf numFmtId="0" fontId="3" fillId="18" borderId="45" xfId="0" applyNumberFormat="1" applyFont="1" applyFill="1" applyBorder="1" applyAlignment="1">
      <alignment horizontal="center" vertical="top"/>
    </xf>
    <xf numFmtId="0" fontId="3" fillId="7" borderId="87" xfId="0" applyFont="1" applyFill="1" applyBorder="1" applyAlignment="1">
      <alignment horizontal="left" vertical="top" wrapText="1"/>
    </xf>
    <xf numFmtId="1" fontId="3" fillId="7" borderId="81" xfId="0" applyNumberFormat="1" applyFont="1" applyFill="1" applyBorder="1" applyAlignment="1">
      <alignment horizontal="center" vertical="top" wrapText="1"/>
    </xf>
    <xf numFmtId="1" fontId="3" fillId="7" borderId="78" xfId="0" applyNumberFormat="1" applyFont="1" applyFill="1" applyBorder="1" applyAlignment="1">
      <alignment horizontal="center" vertical="top" wrapText="1"/>
    </xf>
    <xf numFmtId="1" fontId="3" fillId="7" borderId="78" xfId="0" applyNumberFormat="1" applyFont="1" applyFill="1" applyBorder="1" applyAlignment="1">
      <alignment horizontal="left" vertical="top" wrapText="1"/>
    </xf>
    <xf numFmtId="1" fontId="3" fillId="7" borderId="79" xfId="0" applyNumberFormat="1" applyFont="1" applyFill="1" applyBorder="1" applyAlignment="1">
      <alignment horizontal="left" vertical="top" wrapText="1"/>
    </xf>
    <xf numFmtId="0" fontId="16" fillId="0" borderId="0" xfId="0" applyFont="1" applyBorder="1" applyAlignment="1">
      <alignment vertical="top"/>
    </xf>
    <xf numFmtId="0" fontId="3" fillId="18" borderId="80" xfId="1" applyNumberFormat="1" applyFont="1" applyFill="1" applyBorder="1" applyAlignment="1">
      <alignment horizontal="center" vertical="top"/>
    </xf>
    <xf numFmtId="0" fontId="3" fillId="18" borderId="43" xfId="0" applyNumberFormat="1" applyFont="1" applyFill="1" applyBorder="1" applyAlignment="1">
      <alignment horizontal="center" vertical="top" wrapText="1"/>
    </xf>
    <xf numFmtId="3" fontId="3" fillId="18" borderId="13" xfId="0" applyNumberFormat="1" applyFont="1" applyFill="1" applyBorder="1" applyAlignment="1">
      <alignment horizontal="center" vertical="top" wrapText="1"/>
    </xf>
    <xf numFmtId="0" fontId="7" fillId="18" borderId="8" xfId="0" applyFont="1" applyFill="1" applyBorder="1" applyAlignment="1">
      <alignment vertical="top" wrapText="1"/>
    </xf>
    <xf numFmtId="3" fontId="16" fillId="18" borderId="13" xfId="0" applyNumberFormat="1" applyFont="1" applyFill="1" applyBorder="1" applyAlignment="1">
      <alignment horizontal="center" vertical="top" wrapText="1"/>
    </xf>
    <xf numFmtId="0" fontId="19" fillId="18" borderId="26" xfId="1" applyFont="1" applyFill="1" applyBorder="1" applyAlignment="1">
      <alignment vertical="top" wrapText="1"/>
    </xf>
    <xf numFmtId="3" fontId="3" fillId="18" borderId="28" xfId="0" applyNumberFormat="1" applyFont="1" applyFill="1" applyBorder="1" applyAlignment="1">
      <alignment horizontal="center" vertical="top" wrapText="1"/>
    </xf>
    <xf numFmtId="3" fontId="3" fillId="18" borderId="15" xfId="0" applyNumberFormat="1" applyFont="1" applyFill="1" applyBorder="1" applyAlignment="1">
      <alignment horizontal="center" vertical="top" wrapText="1"/>
    </xf>
    <xf numFmtId="0" fontId="3" fillId="18" borderId="42" xfId="0" applyNumberFormat="1" applyFont="1" applyFill="1" applyBorder="1" applyAlignment="1">
      <alignment horizontal="center" vertical="top"/>
    </xf>
    <xf numFmtId="0" fontId="3" fillId="18" borderId="37" xfId="0" applyFont="1" applyFill="1" applyBorder="1" applyAlignment="1">
      <alignment horizontal="left" vertical="top" wrapText="1"/>
    </xf>
    <xf numFmtId="3" fontId="3" fillId="18" borderId="1" xfId="0" applyNumberFormat="1" applyFont="1" applyFill="1" applyBorder="1" applyAlignment="1">
      <alignment horizontal="center" vertical="top" wrapText="1"/>
    </xf>
    <xf numFmtId="0" fontId="3" fillId="18" borderId="89" xfId="0" applyFont="1" applyFill="1" applyBorder="1" applyAlignment="1">
      <alignment horizontal="left" vertical="top" wrapText="1"/>
    </xf>
    <xf numFmtId="1" fontId="3" fillId="18" borderId="88" xfId="0" applyNumberFormat="1" applyFont="1" applyFill="1" applyBorder="1" applyAlignment="1">
      <alignment horizontal="center" vertical="top" wrapText="1"/>
    </xf>
    <xf numFmtId="1" fontId="3" fillId="18" borderId="85" xfId="0" applyNumberFormat="1" applyFont="1" applyFill="1" applyBorder="1" applyAlignment="1">
      <alignment horizontal="center" vertical="top" wrapText="1"/>
    </xf>
    <xf numFmtId="1" fontId="3" fillId="18" borderId="45" xfId="0" applyNumberFormat="1" applyFont="1" applyFill="1" applyBorder="1" applyAlignment="1">
      <alignment horizontal="center" vertical="top" wrapText="1"/>
    </xf>
    <xf numFmtId="1" fontId="3" fillId="18" borderId="15" xfId="0" applyNumberFormat="1" applyFont="1" applyFill="1" applyBorder="1" applyAlignment="1">
      <alignment horizontal="center" vertical="top" wrapText="1"/>
    </xf>
    <xf numFmtId="3" fontId="3" fillId="7" borderId="43" xfId="0" applyNumberFormat="1" applyFont="1" applyFill="1" applyBorder="1" applyAlignment="1">
      <alignment horizontal="center" vertical="top"/>
    </xf>
    <xf numFmtId="3" fontId="3" fillId="7" borderId="17" xfId="0" applyNumberFormat="1" applyFont="1" applyFill="1" applyBorder="1" applyAlignment="1">
      <alignment horizontal="left" vertical="top"/>
    </xf>
    <xf numFmtId="0" fontId="3" fillId="7" borderId="26" xfId="1" applyFont="1" applyFill="1" applyBorder="1" applyAlignment="1">
      <alignment vertical="top" wrapText="1"/>
    </xf>
    <xf numFmtId="3" fontId="3" fillId="18" borderId="17" xfId="0" applyNumberFormat="1" applyFont="1" applyFill="1" applyBorder="1" applyAlignment="1">
      <alignment vertical="top" wrapText="1"/>
    </xf>
    <xf numFmtId="3" fontId="3" fillId="18" borderId="29" xfId="0" applyNumberFormat="1" applyFont="1" applyFill="1" applyBorder="1" applyAlignment="1">
      <alignment vertical="top" wrapText="1"/>
    </xf>
    <xf numFmtId="0" fontId="7" fillId="9" borderId="58" xfId="0" applyFont="1" applyFill="1" applyBorder="1" applyAlignment="1">
      <alignment horizontal="left" vertical="top"/>
    </xf>
    <xf numFmtId="0" fontId="5" fillId="9" borderId="58" xfId="0" applyFont="1" applyFill="1" applyBorder="1" applyAlignment="1">
      <alignment horizontal="left" vertical="top"/>
    </xf>
    <xf numFmtId="0" fontId="5" fillId="9" borderId="67" xfId="0" applyFont="1" applyFill="1" applyBorder="1" applyAlignment="1">
      <alignment vertical="top"/>
    </xf>
    <xf numFmtId="0" fontId="5" fillId="9" borderId="58" xfId="0" applyFont="1" applyFill="1" applyBorder="1" applyAlignment="1">
      <alignment vertical="top"/>
    </xf>
    <xf numFmtId="0" fontId="3" fillId="6" borderId="6" xfId="0" applyFont="1" applyFill="1" applyBorder="1" applyAlignment="1">
      <alignment horizontal="left" vertical="top" wrapText="1"/>
    </xf>
    <xf numFmtId="0" fontId="3" fillId="6" borderId="8" xfId="0" applyFont="1" applyFill="1" applyBorder="1" applyAlignment="1">
      <alignment horizontal="left" vertical="top" wrapText="1"/>
    </xf>
    <xf numFmtId="3" fontId="3" fillId="18" borderId="15" xfId="0" applyNumberFormat="1" applyFont="1" applyFill="1" applyBorder="1" applyAlignment="1">
      <alignment horizontal="left" vertical="top" wrapText="1"/>
    </xf>
    <xf numFmtId="3" fontId="3" fillId="18" borderId="45" xfId="0" applyNumberFormat="1" applyFont="1" applyFill="1" applyBorder="1" applyAlignment="1">
      <alignment horizontal="left" vertical="top" wrapText="1"/>
    </xf>
    <xf numFmtId="3" fontId="3" fillId="6" borderId="84" xfId="0" applyNumberFormat="1" applyFont="1" applyFill="1" applyBorder="1" applyAlignment="1">
      <alignment horizontal="left" vertical="top" wrapText="1"/>
    </xf>
    <xf numFmtId="49" fontId="5" fillId="6" borderId="15"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0" fontId="3" fillId="6" borderId="13" xfId="0" applyFont="1" applyFill="1" applyBorder="1" applyAlignment="1">
      <alignment horizontal="left" vertical="top" wrapText="1"/>
    </xf>
    <xf numFmtId="0" fontId="7" fillId="6" borderId="29" xfId="0" applyFont="1" applyFill="1" applyBorder="1" applyAlignment="1">
      <alignment vertical="top" wrapText="1"/>
    </xf>
    <xf numFmtId="0" fontId="3" fillId="6" borderId="17" xfId="0" applyFont="1" applyFill="1" applyBorder="1" applyAlignment="1">
      <alignment horizontal="center" vertical="top"/>
    </xf>
    <xf numFmtId="0" fontId="3" fillId="6" borderId="40" xfId="0" applyFont="1" applyFill="1" applyBorder="1" applyAlignment="1">
      <alignment horizontal="left" vertical="top" wrapText="1"/>
    </xf>
    <xf numFmtId="0" fontId="3" fillId="6" borderId="26" xfId="0" applyFont="1" applyFill="1" applyBorder="1" applyAlignment="1">
      <alignment horizontal="left" vertical="top" wrapText="1"/>
    </xf>
    <xf numFmtId="0" fontId="3" fillId="6" borderId="43" xfId="0" applyFont="1" applyFill="1" applyBorder="1" applyAlignment="1">
      <alignment horizontal="center" vertical="center" textRotation="90" wrapText="1"/>
    </xf>
    <xf numFmtId="0" fontId="3" fillId="6" borderId="45" xfId="0" applyFont="1" applyFill="1" applyBorder="1" applyAlignment="1">
      <alignment horizontal="center" vertical="center" textRotation="90" wrapText="1"/>
    </xf>
    <xf numFmtId="0" fontId="7" fillId="9" borderId="58" xfId="0" applyFont="1" applyFill="1" applyBorder="1" applyAlignment="1">
      <alignment horizontal="left" vertical="top" wrapText="1"/>
    </xf>
    <xf numFmtId="0" fontId="7" fillId="6" borderId="13" xfId="0" applyFont="1" applyFill="1" applyBorder="1" applyAlignment="1">
      <alignment vertical="top" wrapText="1"/>
    </xf>
    <xf numFmtId="0" fontId="3" fillId="6" borderId="82" xfId="0" applyFont="1" applyFill="1" applyBorder="1" applyAlignment="1">
      <alignment vertical="top" wrapText="1"/>
    </xf>
    <xf numFmtId="0" fontId="3" fillId="6" borderId="13" xfId="0" applyFont="1" applyFill="1" applyBorder="1" applyAlignment="1">
      <alignment vertical="top" wrapText="1"/>
    </xf>
    <xf numFmtId="0" fontId="3" fillId="6" borderId="29" xfId="0" applyFont="1" applyFill="1" applyBorder="1" applyAlignment="1">
      <alignment vertical="top" wrapText="1"/>
    </xf>
    <xf numFmtId="0" fontId="3" fillId="6" borderId="52" xfId="0" applyFont="1" applyFill="1" applyBorder="1" applyAlignment="1">
      <alignment vertical="top" wrapText="1"/>
    </xf>
    <xf numFmtId="0" fontId="3" fillId="6" borderId="43" xfId="0" applyFont="1" applyFill="1" applyBorder="1" applyAlignment="1">
      <alignment horizontal="left" vertical="top" wrapText="1"/>
    </xf>
    <xf numFmtId="0" fontId="3" fillId="6" borderId="27" xfId="0" applyFont="1" applyFill="1" applyBorder="1" applyAlignment="1">
      <alignment horizontal="left" vertical="top" wrapText="1"/>
    </xf>
    <xf numFmtId="0" fontId="7" fillId="6" borderId="13" xfId="0" applyFont="1" applyFill="1" applyBorder="1" applyAlignment="1">
      <alignment horizontal="left" vertical="top" wrapText="1"/>
    </xf>
    <xf numFmtId="49" fontId="5" fillId="10" borderId="8"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0" fontId="3" fillId="6" borderId="29" xfId="0" applyFont="1" applyFill="1" applyBorder="1" applyAlignment="1">
      <alignment horizontal="left" vertical="top" wrapText="1"/>
    </xf>
    <xf numFmtId="3" fontId="3" fillId="18" borderId="17" xfId="0" applyNumberFormat="1" applyFont="1" applyFill="1" applyBorder="1" applyAlignment="1">
      <alignment horizontal="left" vertical="top" wrapText="1"/>
    </xf>
    <xf numFmtId="3" fontId="3" fillId="6" borderId="17" xfId="0" applyNumberFormat="1" applyFont="1" applyFill="1" applyBorder="1" applyAlignment="1">
      <alignment horizontal="left" vertical="top" wrapText="1"/>
    </xf>
    <xf numFmtId="3" fontId="3" fillId="6" borderId="29" xfId="0" applyNumberFormat="1" applyFont="1" applyFill="1" applyBorder="1" applyAlignment="1">
      <alignment horizontal="left" vertical="top" wrapText="1"/>
    </xf>
    <xf numFmtId="0" fontId="3" fillId="6" borderId="17"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3" fillId="6" borderId="29" xfId="0" applyFont="1" applyFill="1" applyBorder="1" applyAlignment="1">
      <alignment horizontal="center" vertical="center" textRotation="90" wrapText="1"/>
    </xf>
    <xf numFmtId="49" fontId="5" fillId="3" borderId="45" xfId="0" applyNumberFormat="1" applyFont="1" applyFill="1" applyBorder="1" applyAlignment="1">
      <alignment horizontal="center" vertical="top"/>
    </xf>
    <xf numFmtId="0" fontId="3" fillId="18" borderId="45" xfId="0" applyFont="1" applyFill="1" applyBorder="1" applyAlignment="1">
      <alignment horizontal="left" vertical="top" wrapText="1"/>
    </xf>
    <xf numFmtId="0" fontId="3" fillId="6" borderId="35" xfId="0" applyFont="1" applyFill="1" applyBorder="1" applyAlignment="1">
      <alignment horizontal="left" vertical="top" wrapText="1"/>
    </xf>
    <xf numFmtId="0" fontId="3" fillId="6" borderId="34" xfId="0" applyFont="1" applyFill="1" applyBorder="1" applyAlignment="1">
      <alignment horizontal="center" vertical="center" textRotation="90" wrapText="1"/>
    </xf>
    <xf numFmtId="49" fontId="5" fillId="10" borderId="6"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3" borderId="54" xfId="0" applyNumberFormat="1" applyFont="1" applyFill="1" applyBorder="1" applyAlignment="1">
      <alignment horizontal="center" vertical="top"/>
    </xf>
    <xf numFmtId="49" fontId="3" fillId="6" borderId="17" xfId="0" applyNumberFormat="1" applyFont="1" applyFill="1" applyBorder="1" applyAlignment="1">
      <alignment horizontal="center" vertical="top" wrapText="1"/>
    </xf>
    <xf numFmtId="49" fontId="3" fillId="6" borderId="13" xfId="0" applyNumberFormat="1" applyFont="1" applyFill="1" applyBorder="1" applyAlignment="1">
      <alignment horizontal="center" vertical="top" wrapText="1"/>
    </xf>
    <xf numFmtId="0" fontId="3" fillId="10" borderId="2" xfId="0" applyFont="1" applyFill="1" applyBorder="1" applyAlignment="1">
      <alignment vertical="top" wrapText="1"/>
    </xf>
    <xf numFmtId="0" fontId="3" fillId="6" borderId="15" xfId="0" applyFont="1" applyFill="1" applyBorder="1" applyAlignment="1">
      <alignment horizontal="center" vertical="top"/>
    </xf>
    <xf numFmtId="0" fontId="3" fillId="18" borderId="8" xfId="1" applyFont="1" applyFill="1" applyBorder="1" applyAlignment="1">
      <alignment vertical="top" wrapText="1"/>
    </xf>
    <xf numFmtId="0" fontId="7" fillId="18" borderId="26" xfId="0" applyFont="1" applyFill="1" applyBorder="1" applyAlignment="1">
      <alignment vertical="top" wrapText="1"/>
    </xf>
    <xf numFmtId="49" fontId="5" fillId="6" borderId="29" xfId="0" applyNumberFormat="1" applyFont="1" applyFill="1" applyBorder="1" applyAlignment="1">
      <alignment horizontal="center" vertical="top"/>
    </xf>
    <xf numFmtId="0" fontId="3" fillId="6" borderId="7" xfId="0" applyFont="1" applyFill="1" applyBorder="1" applyAlignment="1">
      <alignment horizontal="center" vertical="top" wrapText="1"/>
    </xf>
    <xf numFmtId="0" fontId="3" fillId="6" borderId="8" xfId="1" applyFont="1" applyFill="1" applyBorder="1" applyAlignment="1">
      <alignment vertical="top" wrapText="1"/>
    </xf>
    <xf numFmtId="0" fontId="3" fillId="6" borderId="8" xfId="0" applyFont="1" applyFill="1" applyBorder="1" applyAlignment="1">
      <alignment vertical="top" wrapText="1"/>
    </xf>
    <xf numFmtId="49" fontId="5" fillId="6" borderId="13" xfId="0" applyNumberFormat="1" applyFont="1" applyFill="1" applyBorder="1" applyAlignment="1">
      <alignment horizontal="center" vertical="top" wrapText="1"/>
    </xf>
    <xf numFmtId="0" fontId="7" fillId="6" borderId="21" xfId="0" applyFont="1" applyFill="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20"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horizontal="right"/>
    </xf>
    <xf numFmtId="0" fontId="4" fillId="0" borderId="0" xfId="0" applyFont="1" applyAlignment="1">
      <alignment horizontal="right" vertical="top"/>
    </xf>
    <xf numFmtId="0" fontId="6" fillId="0" borderId="0" xfId="0" applyFont="1" applyAlignment="1">
      <alignment horizontal="center" wrapText="1"/>
    </xf>
    <xf numFmtId="0" fontId="0" fillId="0" borderId="0" xfId="0" applyAlignment="1">
      <alignment horizontal="center" wrapText="1"/>
    </xf>
    <xf numFmtId="0" fontId="20"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1" applyFont="1" applyAlignment="1">
      <alignment horizontal="left" vertical="top" wrapText="1"/>
    </xf>
    <xf numFmtId="0" fontId="0" fillId="0" borderId="0" xfId="0" applyAlignment="1">
      <alignment horizontal="left" vertical="top" wrapText="1"/>
    </xf>
    <xf numFmtId="0" fontId="6" fillId="0" borderId="0" xfId="1" applyFont="1" applyAlignment="1">
      <alignment horizontal="center" wrapText="1"/>
    </xf>
    <xf numFmtId="0" fontId="0" fillId="0" borderId="0" xfId="0" applyAlignment="1">
      <alignment wrapText="1"/>
    </xf>
    <xf numFmtId="49" fontId="6" fillId="0" borderId="0" xfId="1" applyNumberFormat="1" applyFont="1" applyAlignment="1">
      <alignment horizontal="left" vertical="top" wrapText="1"/>
    </xf>
    <xf numFmtId="0" fontId="3" fillId="6" borderId="40"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26"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13" xfId="0" applyFont="1" applyFill="1" applyBorder="1" applyAlignment="1">
      <alignment horizontal="left" vertical="top" wrapText="1"/>
    </xf>
    <xf numFmtId="49" fontId="5" fillId="3" borderId="13" xfId="0" applyNumberFormat="1" applyFont="1" applyFill="1" applyBorder="1" applyAlignment="1">
      <alignment horizontal="center" vertical="top"/>
    </xf>
    <xf numFmtId="49" fontId="3" fillId="6" borderId="17" xfId="0" applyNumberFormat="1" applyFont="1" applyFill="1" applyBorder="1" applyAlignment="1">
      <alignment horizontal="center" vertical="top" wrapText="1"/>
    </xf>
    <xf numFmtId="49" fontId="3" fillId="6" borderId="13" xfId="0" applyNumberFormat="1" applyFont="1" applyFill="1" applyBorder="1" applyAlignment="1">
      <alignment horizontal="center" vertical="top" wrapText="1"/>
    </xf>
    <xf numFmtId="0" fontId="3" fillId="10" borderId="2" xfId="0" applyFont="1" applyFill="1" applyBorder="1" applyAlignment="1">
      <alignment horizontal="left" vertical="top" wrapText="1"/>
    </xf>
    <xf numFmtId="0" fontId="7" fillId="10" borderId="14" xfId="0" applyFont="1" applyFill="1" applyBorder="1" applyAlignment="1">
      <alignment vertical="top" wrapText="1"/>
    </xf>
    <xf numFmtId="0" fontId="3" fillId="10" borderId="27" xfId="0" applyFont="1" applyFill="1" applyBorder="1" applyAlignment="1">
      <alignment horizontal="left" vertical="top" wrapText="1"/>
    </xf>
    <xf numFmtId="0" fontId="3" fillId="0" borderId="44" xfId="0" applyFont="1" applyBorder="1" applyAlignment="1">
      <alignment vertical="top" wrapText="1"/>
    </xf>
    <xf numFmtId="0" fontId="3" fillId="0" borderId="16" xfId="0" applyFont="1" applyBorder="1" applyAlignment="1">
      <alignment vertical="top" wrapText="1"/>
    </xf>
    <xf numFmtId="0" fontId="3" fillId="6" borderId="15" xfId="0" applyFont="1" applyFill="1" applyBorder="1" applyAlignment="1">
      <alignment horizontal="center" vertical="top"/>
    </xf>
    <xf numFmtId="0" fontId="5" fillId="6" borderId="6" xfId="0" applyFont="1" applyFill="1" applyBorder="1" applyAlignment="1">
      <alignment vertical="top" wrapText="1"/>
    </xf>
    <xf numFmtId="0" fontId="5" fillId="6" borderId="8" xfId="0" applyFont="1" applyFill="1" applyBorder="1" applyAlignment="1">
      <alignment vertical="top" wrapText="1"/>
    </xf>
    <xf numFmtId="0" fontId="3" fillId="18" borderId="17" xfId="0" applyFont="1" applyFill="1" applyBorder="1" applyAlignment="1">
      <alignment horizontal="left" vertical="top" wrapText="1"/>
    </xf>
    <xf numFmtId="0" fontId="3" fillId="18" borderId="13" xfId="0" applyFont="1" applyFill="1" applyBorder="1" applyAlignment="1">
      <alignment horizontal="left" vertical="top" wrapText="1"/>
    </xf>
    <xf numFmtId="0" fontId="3" fillId="18" borderId="29" xfId="0" applyFont="1" applyFill="1" applyBorder="1" applyAlignment="1">
      <alignment horizontal="left" vertical="top" wrapText="1"/>
    </xf>
    <xf numFmtId="0" fontId="2" fillId="0" borderId="17"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29" xfId="0" applyFont="1" applyFill="1" applyBorder="1" applyAlignment="1">
      <alignment horizontal="center" vertical="center" textRotation="90" wrapText="1"/>
    </xf>
    <xf numFmtId="0" fontId="2" fillId="6" borderId="17" xfId="0" applyFont="1" applyFill="1" applyBorder="1" applyAlignment="1">
      <alignment vertical="center" textRotation="90"/>
    </xf>
    <xf numFmtId="0" fontId="2" fillId="6" borderId="29" xfId="0" applyFont="1" applyFill="1" applyBorder="1" applyAlignment="1">
      <alignment vertical="center" textRotation="90"/>
    </xf>
    <xf numFmtId="49" fontId="5" fillId="6" borderId="15" xfId="0" applyNumberFormat="1" applyFont="1" applyFill="1" applyBorder="1" applyAlignment="1">
      <alignment horizontal="center" vertical="top"/>
    </xf>
    <xf numFmtId="0" fontId="14" fillId="18" borderId="43" xfId="0" applyFont="1" applyFill="1" applyBorder="1" applyAlignment="1">
      <alignment horizontal="left" vertical="top" wrapText="1"/>
    </xf>
    <xf numFmtId="0" fontId="14" fillId="18" borderId="45" xfId="0" applyFont="1" applyFill="1" applyBorder="1" applyAlignment="1">
      <alignment horizontal="left" vertical="top" wrapText="1"/>
    </xf>
    <xf numFmtId="0" fontId="7" fillId="18" borderId="45" xfId="0" applyFont="1" applyFill="1" applyBorder="1" applyAlignment="1">
      <alignment horizontal="left" vertical="top" wrapText="1"/>
    </xf>
    <xf numFmtId="0" fontId="7" fillId="18" borderId="27" xfId="0" applyFont="1" applyFill="1" applyBorder="1" applyAlignment="1"/>
    <xf numFmtId="0" fontId="3" fillId="18" borderId="40" xfId="1" applyFont="1" applyFill="1" applyBorder="1" applyAlignment="1">
      <alignment horizontal="left" vertical="top" wrapText="1"/>
    </xf>
    <xf numFmtId="0" fontId="3" fillId="18" borderId="8" xfId="1" applyFont="1" applyFill="1" applyBorder="1" applyAlignment="1">
      <alignment horizontal="left" vertical="top" wrapText="1"/>
    </xf>
    <xf numFmtId="0" fontId="3" fillId="18" borderId="8" xfId="1" applyFont="1" applyFill="1" applyBorder="1" applyAlignment="1">
      <alignment vertical="top" wrapText="1"/>
    </xf>
    <xf numFmtId="0" fontId="7" fillId="18" borderId="26" xfId="0" applyFont="1" applyFill="1" applyBorder="1" applyAlignment="1">
      <alignment vertical="top" wrapText="1"/>
    </xf>
    <xf numFmtId="0" fontId="14" fillId="6" borderId="43" xfId="0" applyFont="1" applyFill="1" applyBorder="1" applyAlignment="1">
      <alignment horizontal="left" vertical="top" wrapText="1"/>
    </xf>
    <xf numFmtId="0" fontId="7" fillId="6" borderId="45" xfId="0" applyFont="1" applyFill="1" applyBorder="1" applyAlignment="1">
      <alignment horizontal="left" vertical="top" wrapText="1"/>
    </xf>
    <xf numFmtId="0" fontId="7" fillId="6" borderId="27" xfId="0" applyFont="1" applyFill="1" applyBorder="1" applyAlignment="1"/>
    <xf numFmtId="0" fontId="3" fillId="0" borderId="62" xfId="0" applyFont="1" applyFill="1" applyBorder="1" applyAlignment="1">
      <alignment horizontal="center" vertical="center" textRotation="90" wrapText="1"/>
    </xf>
    <xf numFmtId="0" fontId="3" fillId="0" borderId="34" xfId="0" applyFont="1" applyFill="1" applyBorder="1" applyAlignment="1">
      <alignment horizontal="center" vertical="center" textRotation="90" wrapText="1"/>
    </xf>
    <xf numFmtId="0" fontId="3" fillId="0" borderId="63" xfId="0" applyFont="1" applyFill="1" applyBorder="1" applyAlignment="1">
      <alignment horizontal="center" vertical="center" textRotation="90" wrapText="1"/>
    </xf>
    <xf numFmtId="49" fontId="15" fillId="6" borderId="61" xfId="0" applyNumberFormat="1" applyFont="1" applyFill="1" applyBorder="1" applyAlignment="1">
      <alignment horizontal="center" vertical="top"/>
    </xf>
    <xf numFmtId="49" fontId="15" fillId="6" borderId="0" xfId="0" applyNumberFormat="1" applyFont="1" applyFill="1" applyBorder="1" applyAlignment="1">
      <alignment horizontal="center" vertical="top"/>
    </xf>
    <xf numFmtId="3" fontId="3" fillId="6" borderId="11" xfId="0" applyNumberFormat="1" applyFont="1" applyFill="1" applyBorder="1" applyAlignment="1">
      <alignment horizontal="left" vertical="top" wrapText="1"/>
    </xf>
    <xf numFmtId="3" fontId="3" fillId="6" borderId="13" xfId="0" applyNumberFormat="1" applyFont="1" applyFill="1" applyBorder="1" applyAlignment="1">
      <alignment horizontal="left" vertical="top" wrapText="1"/>
    </xf>
    <xf numFmtId="0" fontId="25" fillId="0" borderId="0" xfId="0" applyFont="1" applyAlignment="1">
      <alignment horizontal="center" vertical="top"/>
    </xf>
    <xf numFmtId="0" fontId="6" fillId="0" borderId="0" xfId="0" applyFont="1" applyAlignment="1">
      <alignment horizontal="center" vertical="top" wrapText="1"/>
    </xf>
    <xf numFmtId="165" fontId="3" fillId="0" borderId="25" xfId="0" applyNumberFormat="1" applyFont="1" applyBorder="1" applyAlignment="1">
      <alignment horizontal="right" vertical="top"/>
    </xf>
    <xf numFmtId="0" fontId="3" fillId="6" borderId="6" xfId="0" applyFont="1" applyFill="1" applyBorder="1" applyAlignment="1">
      <alignment horizontal="center" vertical="center" textRotation="90" shrinkToFit="1"/>
    </xf>
    <xf numFmtId="0" fontId="3" fillId="6" borderId="8" xfId="0" applyFont="1" applyFill="1" applyBorder="1" applyAlignment="1">
      <alignment horizontal="center" vertical="center" textRotation="90" shrinkToFit="1"/>
    </xf>
    <xf numFmtId="0" fontId="3" fillId="6" borderId="9" xfId="0" applyFont="1" applyFill="1" applyBorder="1" applyAlignment="1">
      <alignment horizontal="center" vertical="center" textRotation="90" shrinkToFit="1"/>
    </xf>
    <xf numFmtId="0" fontId="3" fillId="6" borderId="23" xfId="0" applyFont="1" applyFill="1" applyBorder="1" applyAlignment="1">
      <alignment horizontal="center" vertical="center" textRotation="90" shrinkToFit="1"/>
    </xf>
    <xf numFmtId="0" fontId="3" fillId="6" borderId="13" xfId="0" applyFont="1" applyFill="1" applyBorder="1" applyAlignment="1">
      <alignment horizontal="center" vertical="center" textRotation="90" shrinkToFit="1"/>
    </xf>
    <xf numFmtId="0" fontId="3" fillId="6" borderId="21" xfId="0" applyFont="1" applyFill="1" applyBorder="1" applyAlignment="1">
      <alignment horizontal="center" vertical="center" textRotation="90" shrinkToFit="1"/>
    </xf>
    <xf numFmtId="0" fontId="3" fillId="6" borderId="42" xfId="0" applyFont="1" applyFill="1" applyBorder="1" applyAlignment="1">
      <alignment horizontal="center" vertical="center" shrinkToFit="1"/>
    </xf>
    <xf numFmtId="0" fontId="3" fillId="6" borderId="45" xfId="0" applyFont="1" applyFill="1" applyBorder="1" applyAlignment="1">
      <alignment horizontal="center" vertical="center" shrinkToFit="1"/>
    </xf>
    <xf numFmtId="0" fontId="3" fillId="6" borderId="54" xfId="0" applyFont="1" applyFill="1" applyBorder="1" applyAlignment="1">
      <alignment horizontal="center" vertical="center" shrinkToFit="1"/>
    </xf>
    <xf numFmtId="0" fontId="3" fillId="0" borderId="17" xfId="0" applyFont="1" applyBorder="1" applyAlignment="1">
      <alignment horizontal="center" vertical="center" textRotation="90" wrapText="1"/>
    </xf>
    <xf numFmtId="0" fontId="3" fillId="0" borderId="21" xfId="0" applyFont="1" applyBorder="1" applyAlignment="1">
      <alignment horizontal="center" vertical="center" textRotation="90" wrapText="1"/>
    </xf>
    <xf numFmtId="3" fontId="5" fillId="6" borderId="36" xfId="0" applyNumberFormat="1" applyFont="1" applyFill="1" applyBorder="1" applyAlignment="1">
      <alignment horizontal="center" vertical="top" wrapText="1"/>
    </xf>
    <xf numFmtId="3" fontId="5" fillId="6" borderId="0" xfId="0" applyNumberFormat="1" applyFont="1" applyFill="1" applyBorder="1" applyAlignment="1">
      <alignment horizontal="center" vertical="top" wrapText="1"/>
    </xf>
    <xf numFmtId="49" fontId="15" fillId="10" borderId="66" xfId="0" applyNumberFormat="1" applyFont="1" applyFill="1" applyBorder="1" applyAlignment="1">
      <alignment horizontal="center" vertical="top"/>
    </xf>
    <xf numFmtId="49" fontId="15" fillId="10" borderId="35" xfId="0" applyNumberFormat="1" applyFont="1" applyFill="1" applyBorder="1" applyAlignment="1">
      <alignment horizontal="center" vertical="top"/>
    </xf>
    <xf numFmtId="49" fontId="15" fillId="9" borderId="11" xfId="0" applyNumberFormat="1" applyFont="1" applyFill="1" applyBorder="1" applyAlignment="1">
      <alignment horizontal="center" vertical="top"/>
    </xf>
    <xf numFmtId="49" fontId="15" fillId="9" borderId="13"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0" fontId="3" fillId="6" borderId="17" xfId="0" applyFont="1" applyFill="1" applyBorder="1" applyAlignment="1">
      <alignment vertical="top" wrapText="1"/>
    </xf>
    <xf numFmtId="0" fontId="3" fillId="6" borderId="29" xfId="0" applyFont="1" applyFill="1" applyBorder="1" applyAlignment="1">
      <alignment vertical="top" wrapText="1"/>
    </xf>
    <xf numFmtId="0" fontId="3" fillId="10" borderId="45" xfId="0" applyFont="1" applyFill="1" applyBorder="1" applyAlignment="1">
      <alignment horizontal="left" vertical="top" wrapText="1"/>
    </xf>
    <xf numFmtId="0" fontId="3" fillId="10" borderId="0" xfId="0" applyFont="1" applyFill="1" applyBorder="1" applyAlignment="1">
      <alignment horizontal="left" vertical="top" wrapText="1"/>
    </xf>
    <xf numFmtId="0" fontId="7" fillId="10" borderId="0" xfId="0" applyFont="1" applyFill="1" applyBorder="1" applyAlignment="1">
      <alignment horizontal="left" vertical="top" wrapText="1"/>
    </xf>
    <xf numFmtId="0" fontId="3" fillId="10" borderId="43" xfId="0" applyFont="1" applyFill="1" applyBorder="1" applyAlignment="1">
      <alignment vertical="top" wrapText="1"/>
    </xf>
    <xf numFmtId="0" fontId="0" fillId="0" borderId="37" xfId="0" applyBorder="1" applyAlignment="1">
      <alignment vertical="top" wrapText="1"/>
    </xf>
    <xf numFmtId="0" fontId="0" fillId="0" borderId="46" xfId="0" applyBorder="1" applyAlignment="1">
      <alignment vertical="top" wrapText="1"/>
    </xf>
    <xf numFmtId="0" fontId="3" fillId="10" borderId="2" xfId="0" applyFont="1" applyFill="1" applyBorder="1" applyAlignment="1">
      <alignment vertical="top" wrapText="1"/>
    </xf>
    <xf numFmtId="0" fontId="3" fillId="10" borderId="32" xfId="0" applyFont="1" applyFill="1" applyBorder="1" applyAlignment="1">
      <alignment vertical="top" wrapText="1"/>
    </xf>
    <xf numFmtId="0" fontId="0" fillId="0" borderId="38" xfId="0" applyBorder="1" applyAlignment="1">
      <alignment vertical="top" wrapText="1"/>
    </xf>
    <xf numFmtId="0" fontId="0" fillId="0" borderId="33" xfId="0" applyBorder="1" applyAlignment="1">
      <alignment vertical="top" wrapText="1"/>
    </xf>
    <xf numFmtId="49" fontId="5" fillId="7" borderId="66" xfId="0" applyNumberFormat="1" applyFont="1" applyFill="1" applyBorder="1" applyAlignment="1">
      <alignment horizontal="left" vertical="top" wrapText="1"/>
    </xf>
    <xf numFmtId="49" fontId="5" fillId="7" borderId="61" xfId="0" applyNumberFormat="1" applyFont="1" applyFill="1" applyBorder="1" applyAlignment="1">
      <alignment horizontal="left" vertical="top" wrapText="1"/>
    </xf>
    <xf numFmtId="49" fontId="5" fillId="7" borderId="56" xfId="0" applyNumberFormat="1" applyFont="1" applyFill="1" applyBorder="1" applyAlignment="1">
      <alignment horizontal="left" vertical="top" wrapText="1"/>
    </xf>
    <xf numFmtId="0" fontId="5" fillId="4" borderId="64" xfId="0" applyFont="1" applyFill="1" applyBorder="1" applyAlignment="1">
      <alignment horizontal="left" vertical="top" wrapText="1"/>
    </xf>
    <xf numFmtId="0" fontId="5" fillId="4" borderId="38" xfId="0" applyFont="1" applyFill="1" applyBorder="1" applyAlignment="1">
      <alignment horizontal="left" vertical="top" wrapText="1"/>
    </xf>
    <xf numFmtId="0" fontId="5" fillId="4" borderId="39" xfId="0" applyFont="1" applyFill="1" applyBorder="1" applyAlignment="1">
      <alignment horizontal="left" vertical="top" wrapText="1"/>
    </xf>
    <xf numFmtId="0" fontId="23" fillId="10" borderId="45" xfId="0" applyFont="1" applyFill="1" applyBorder="1" applyAlignment="1">
      <alignment vertical="top" wrapText="1"/>
    </xf>
    <xf numFmtId="0" fontId="23" fillId="10" borderId="0" xfId="0" applyFont="1" applyFill="1" applyBorder="1" applyAlignment="1">
      <alignment vertical="top" wrapText="1"/>
    </xf>
    <xf numFmtId="0" fontId="18" fillId="10" borderId="0" xfId="0" applyFont="1" applyFill="1" applyBorder="1" applyAlignment="1">
      <alignment vertical="top" wrapText="1"/>
    </xf>
    <xf numFmtId="0" fontId="3" fillId="0" borderId="23" xfId="0" applyFont="1" applyBorder="1" applyAlignment="1">
      <alignment horizontal="center" vertical="center" textRotation="90" shrinkToFit="1"/>
    </xf>
    <xf numFmtId="0" fontId="3" fillId="0" borderId="13" xfId="0" applyFont="1" applyBorder="1" applyAlignment="1">
      <alignment horizontal="center" vertical="center" textRotation="90" shrinkToFit="1"/>
    </xf>
    <xf numFmtId="0" fontId="3" fillId="0" borderId="21" xfId="0" applyFont="1" applyBorder="1" applyAlignment="1">
      <alignment horizontal="center" vertical="center" textRotation="90" shrinkToFit="1"/>
    </xf>
    <xf numFmtId="0" fontId="3" fillId="0" borderId="24" xfId="0" applyNumberFormat="1" applyFont="1" applyBorder="1" applyAlignment="1">
      <alignment horizontal="center" vertical="center" textRotation="90" shrinkToFit="1"/>
    </xf>
    <xf numFmtId="0" fontId="3" fillId="0" borderId="15" xfId="0" applyNumberFormat="1" applyFont="1" applyBorder="1" applyAlignment="1">
      <alignment horizontal="center" vertical="center" textRotation="90" shrinkToFit="1"/>
    </xf>
    <xf numFmtId="0" fontId="3" fillId="0" borderId="22" xfId="0" applyNumberFormat="1" applyFont="1" applyBorder="1" applyAlignment="1">
      <alignment horizontal="center" vertical="center" textRotation="90" shrinkToFit="1"/>
    </xf>
    <xf numFmtId="0" fontId="3" fillId="0" borderId="41" xfId="0" applyFont="1" applyBorder="1" applyAlignment="1">
      <alignment horizontal="center" vertical="center" textRotation="90" shrinkToFit="1"/>
    </xf>
    <xf numFmtId="0" fontId="3" fillId="0" borderId="7" xfId="0" applyFont="1" applyBorder="1" applyAlignment="1">
      <alignment horizontal="center" vertical="center" textRotation="90" shrinkToFit="1"/>
    </xf>
    <xf numFmtId="0" fontId="3" fillId="0" borderId="57" xfId="0" applyFont="1" applyBorder="1" applyAlignment="1">
      <alignment horizontal="center" vertical="center" textRotation="90" shrinkToFit="1"/>
    </xf>
    <xf numFmtId="3" fontId="15" fillId="0" borderId="66" xfId="0" applyNumberFormat="1" applyFont="1" applyBorder="1" applyAlignment="1">
      <alignment horizontal="center" vertical="center" wrapText="1"/>
    </xf>
    <xf numFmtId="0" fontId="11" fillId="0" borderId="65" xfId="0" applyFont="1" applyBorder="1" applyAlignment="1">
      <alignment horizontal="center" vertical="center" wrapText="1"/>
    </xf>
    <xf numFmtId="0" fontId="11" fillId="0" borderId="36"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3" fontId="11" fillId="0" borderId="7" xfId="0" applyNumberFormat="1" applyFont="1" applyBorder="1" applyAlignment="1">
      <alignment horizontal="center" vertical="center" wrapText="1"/>
    </xf>
    <xf numFmtId="3" fontId="11" fillId="0" borderId="57"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7" xfId="0" applyNumberFormat="1" applyFont="1" applyBorder="1" applyAlignment="1">
      <alignment horizontal="center" vertical="center" wrapText="1"/>
    </xf>
    <xf numFmtId="0" fontId="11" fillId="0" borderId="52"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64"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5" fillId="5" borderId="30" xfId="0" applyFont="1" applyFill="1" applyBorder="1" applyAlignment="1">
      <alignment horizontal="right" vertical="top" wrapText="1"/>
    </xf>
    <xf numFmtId="0" fontId="5" fillId="5" borderId="25" xfId="0" applyFont="1" applyFill="1" applyBorder="1" applyAlignment="1">
      <alignment horizontal="right" vertical="top" wrapText="1"/>
    </xf>
    <xf numFmtId="0" fontId="5" fillId="5" borderId="31" xfId="0" applyFont="1" applyFill="1" applyBorder="1" applyAlignment="1">
      <alignment horizontal="right" vertical="top" wrapText="1"/>
    </xf>
    <xf numFmtId="0" fontId="3" fillId="8" borderId="64"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5" fillId="4" borderId="64" xfId="0" applyFont="1" applyFill="1" applyBorder="1" applyAlignment="1">
      <alignment horizontal="right" vertical="top" wrapText="1"/>
    </xf>
    <xf numFmtId="0" fontId="5" fillId="4" borderId="38" xfId="0" applyFont="1" applyFill="1" applyBorder="1" applyAlignment="1">
      <alignment horizontal="right" vertical="top" wrapText="1"/>
    </xf>
    <xf numFmtId="0" fontId="5" fillId="4" borderId="39" xfId="0" applyFont="1" applyFill="1" applyBorder="1" applyAlignment="1">
      <alignment horizontal="right" vertical="top" wrapText="1"/>
    </xf>
    <xf numFmtId="165" fontId="3" fillId="2" borderId="64" xfId="0" applyNumberFormat="1" applyFont="1" applyFill="1" applyBorder="1" applyAlignment="1">
      <alignment horizontal="left" vertical="top" wrapText="1"/>
    </xf>
    <xf numFmtId="165" fontId="3" fillId="2" borderId="38" xfId="0" applyNumberFormat="1" applyFont="1" applyFill="1" applyBorder="1" applyAlignment="1">
      <alignment horizontal="left" vertical="top" wrapText="1"/>
    </xf>
    <xf numFmtId="165" fontId="3" fillId="2" borderId="39" xfId="0" applyNumberFormat="1" applyFont="1" applyFill="1" applyBorder="1" applyAlignment="1">
      <alignment horizontal="left" vertical="top" wrapText="1"/>
    </xf>
    <xf numFmtId="0" fontId="3" fillId="2" borderId="60"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50" xfId="0" applyFont="1" applyFill="1" applyBorder="1" applyAlignment="1">
      <alignment horizontal="left" vertical="top" wrapText="1"/>
    </xf>
    <xf numFmtId="0" fontId="3" fillId="6" borderId="64"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6" borderId="39" xfId="0" applyFont="1" applyFill="1" applyBorder="1" applyAlignment="1">
      <alignment horizontal="left" vertical="top" wrapText="1"/>
    </xf>
    <xf numFmtId="49" fontId="5" fillId="0" borderId="42" xfId="0" applyNumberFormat="1" applyFont="1" applyBorder="1" applyAlignment="1">
      <alignment horizontal="center" vertical="top"/>
    </xf>
    <xf numFmtId="49" fontId="5" fillId="0" borderId="45" xfId="0" applyNumberFormat="1" applyFont="1" applyBorder="1" applyAlignment="1">
      <alignment horizontal="center" vertical="top"/>
    </xf>
    <xf numFmtId="49" fontId="5" fillId="0" borderId="54" xfId="0" applyNumberFormat="1" applyFont="1" applyBorder="1" applyAlignment="1">
      <alignment horizontal="center" vertical="top"/>
    </xf>
    <xf numFmtId="0" fontId="5" fillId="4" borderId="66" xfId="0" applyFont="1" applyFill="1" applyBorder="1" applyAlignment="1">
      <alignment horizontal="right" vertical="top" wrapText="1"/>
    </xf>
    <xf numFmtId="0" fontId="5" fillId="4" borderId="61" xfId="0" applyFont="1" applyFill="1" applyBorder="1" applyAlignment="1">
      <alignment horizontal="right" vertical="top" wrapText="1"/>
    </xf>
    <xf numFmtId="0" fontId="5" fillId="4" borderId="56" xfId="0" applyFont="1" applyFill="1" applyBorder="1" applyAlignment="1">
      <alignment horizontal="right" vertical="top" wrapText="1"/>
    </xf>
    <xf numFmtId="0" fontId="5" fillId="8" borderId="64" xfId="0" applyFont="1" applyFill="1" applyBorder="1" applyAlignment="1">
      <alignment horizontal="right" vertical="top" wrapText="1"/>
    </xf>
    <xf numFmtId="0" fontId="7" fillId="8" borderId="38" xfId="0" applyFont="1" applyFill="1" applyBorder="1" applyAlignment="1">
      <alignment horizontal="right" vertical="top" wrapText="1"/>
    </xf>
    <xf numFmtId="0" fontId="7" fillId="8" borderId="39" xfId="0" applyFont="1" applyFill="1" applyBorder="1" applyAlignment="1">
      <alignment horizontal="right" vertical="top" wrapText="1"/>
    </xf>
    <xf numFmtId="0" fontId="3" fillId="6" borderId="60" xfId="0" applyFont="1" applyFill="1" applyBorder="1" applyAlignment="1">
      <alignment horizontal="left" vertical="top" wrapText="1"/>
    </xf>
    <xf numFmtId="0" fontId="3" fillId="6" borderId="44" xfId="0" applyFont="1" applyFill="1" applyBorder="1" applyAlignment="1">
      <alignment horizontal="left" vertical="top" wrapText="1"/>
    </xf>
    <xf numFmtId="0" fontId="3" fillId="6" borderId="50" xfId="0" applyFont="1" applyFill="1" applyBorder="1" applyAlignment="1">
      <alignment horizontal="left" vertical="top" wrapText="1"/>
    </xf>
    <xf numFmtId="49" fontId="5" fillId="3" borderId="5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10" borderId="67" xfId="0" applyNumberFormat="1" applyFont="1" applyFill="1" applyBorder="1" applyAlignment="1">
      <alignment horizontal="right" vertical="top"/>
    </xf>
    <xf numFmtId="49" fontId="5" fillId="10" borderId="58" xfId="0" applyNumberFormat="1" applyFont="1" applyFill="1" applyBorder="1" applyAlignment="1">
      <alignment horizontal="right" vertical="top"/>
    </xf>
    <xf numFmtId="0" fontId="3" fillId="10" borderId="58" xfId="0" applyFont="1" applyFill="1" applyBorder="1" applyAlignment="1">
      <alignment horizontal="center" vertical="top" wrapText="1"/>
    </xf>
    <xf numFmtId="0" fontId="7" fillId="0" borderId="58" xfId="0" applyFont="1" applyBorder="1" applyAlignment="1">
      <alignment horizontal="center" vertical="top" wrapText="1"/>
    </xf>
    <xf numFmtId="0" fontId="7" fillId="0" borderId="59" xfId="0" applyFont="1" applyBorder="1" applyAlignment="1">
      <alignment horizontal="center" vertical="top" wrapText="1"/>
    </xf>
    <xf numFmtId="49" fontId="5" fillId="4" borderId="67" xfId="0" applyNumberFormat="1" applyFont="1" applyFill="1" applyBorder="1" applyAlignment="1">
      <alignment horizontal="right" vertical="top"/>
    </xf>
    <xf numFmtId="49" fontId="5" fillId="4" borderId="58" xfId="0" applyNumberFormat="1" applyFont="1" applyFill="1" applyBorder="1" applyAlignment="1">
      <alignment horizontal="right"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49" fontId="5" fillId="0" borderId="0" xfId="0" applyNumberFormat="1" applyFont="1" applyFill="1" applyBorder="1" applyAlignment="1">
      <alignment horizontal="center" vertical="top" wrapText="1"/>
    </xf>
    <xf numFmtId="3" fontId="5" fillId="0" borderId="65"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5" fillId="0" borderId="49" xfId="0"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0" fillId="0" borderId="31" xfId="0" applyBorder="1" applyAlignment="1">
      <alignment horizontal="center" vertical="center" wrapText="1"/>
    </xf>
    <xf numFmtId="3" fontId="11" fillId="6" borderId="41" xfId="0" applyNumberFormat="1" applyFont="1" applyFill="1" applyBorder="1" applyAlignment="1">
      <alignment horizontal="center" vertical="center" wrapText="1"/>
    </xf>
    <xf numFmtId="3" fontId="11" fillId="6" borderId="57" xfId="0" applyNumberFormat="1" applyFont="1" applyFill="1" applyBorder="1" applyAlignment="1">
      <alignment horizontal="center" vertical="center" wrapText="1"/>
    </xf>
    <xf numFmtId="3" fontId="3" fillId="0" borderId="41" xfId="0" applyNumberFormat="1" applyFont="1" applyBorder="1" applyAlignment="1">
      <alignment horizontal="center" vertical="center" wrapText="1"/>
    </xf>
    <xf numFmtId="3" fontId="3" fillId="0" borderId="57" xfId="0" applyNumberFormat="1"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7" fillId="0" borderId="0" xfId="0" applyFont="1" applyBorder="1" applyAlignment="1">
      <alignment horizontal="left" vertical="top" wrapText="1"/>
    </xf>
    <xf numFmtId="0" fontId="5" fillId="6" borderId="17" xfId="0" applyFont="1" applyFill="1" applyBorder="1" applyAlignment="1">
      <alignment horizontal="center" vertical="top" wrapText="1"/>
    </xf>
    <xf numFmtId="0" fontId="5" fillId="6" borderId="29" xfId="0" applyFont="1" applyFill="1" applyBorder="1" applyAlignment="1">
      <alignment horizontal="center" vertical="top" wrapText="1"/>
    </xf>
    <xf numFmtId="49" fontId="5" fillId="10" borderId="6"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3" borderId="45" xfId="0" applyNumberFormat="1" applyFont="1" applyFill="1" applyBorder="1" applyAlignment="1">
      <alignment horizontal="center" vertical="top"/>
    </xf>
    <xf numFmtId="49" fontId="5" fillId="3" borderId="54" xfId="0" applyNumberFormat="1" applyFont="1" applyFill="1" applyBorder="1" applyAlignment="1">
      <alignment horizontal="center" vertical="top"/>
    </xf>
    <xf numFmtId="49" fontId="5" fillId="6" borderId="23"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49" fontId="5" fillId="6" borderId="21" xfId="0" applyNumberFormat="1" applyFont="1" applyFill="1" applyBorder="1" applyAlignment="1">
      <alignment horizontal="center" vertical="top"/>
    </xf>
    <xf numFmtId="0" fontId="3" fillId="6" borderId="23" xfId="0" applyFont="1" applyFill="1" applyBorder="1" applyAlignment="1">
      <alignment horizontal="left" vertical="top" wrapText="1"/>
    </xf>
    <xf numFmtId="0" fontId="3" fillId="6" borderId="13" xfId="0" applyFont="1" applyFill="1" applyBorder="1" applyAlignment="1">
      <alignment horizontal="left" vertical="top" wrapText="1"/>
    </xf>
    <xf numFmtId="0" fontId="7" fillId="6" borderId="21" xfId="0" applyFont="1" applyFill="1" applyBorder="1" applyAlignment="1">
      <alignment vertical="top"/>
    </xf>
    <xf numFmtId="0" fontId="13" fillId="6" borderId="23" xfId="0" applyFont="1" applyFill="1" applyBorder="1" applyAlignment="1">
      <alignment horizontal="left" vertical="top" wrapText="1"/>
    </xf>
    <xf numFmtId="0" fontId="13" fillId="6" borderId="29" xfId="0" applyFont="1" applyFill="1" applyBorder="1" applyAlignment="1">
      <alignment horizontal="left" vertical="top" wrapText="1"/>
    </xf>
    <xf numFmtId="0" fontId="27" fillId="6" borderId="62" xfId="0" applyFont="1" applyFill="1" applyBorder="1" applyAlignment="1">
      <alignment horizontal="center" vertical="center" textRotation="90" wrapText="1"/>
    </xf>
    <xf numFmtId="0" fontId="27" fillId="6" borderId="34" xfId="0" applyFont="1" applyFill="1" applyBorder="1" applyAlignment="1">
      <alignment horizontal="center" vertical="center" textRotation="90" wrapText="1"/>
    </xf>
    <xf numFmtId="49" fontId="5" fillId="6" borderId="24" xfId="0" applyNumberFormat="1" applyFont="1" applyFill="1" applyBorder="1" applyAlignment="1">
      <alignment horizontal="center" vertical="top"/>
    </xf>
    <xf numFmtId="0" fontId="3" fillId="6" borderId="6" xfId="0" applyFont="1" applyFill="1" applyBorder="1" applyAlignment="1">
      <alignment horizontal="left" vertical="top" wrapText="1"/>
    </xf>
    <xf numFmtId="3" fontId="3" fillId="0" borderId="36"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0" fontId="2" fillId="6" borderId="17" xfId="0" applyFont="1" applyFill="1" applyBorder="1" applyAlignment="1">
      <alignment horizontal="center" vertical="center" textRotation="90" wrapText="1"/>
    </xf>
    <xf numFmtId="0" fontId="2" fillId="6" borderId="13" xfId="0" applyFont="1" applyFill="1" applyBorder="1" applyAlignment="1">
      <alignment horizontal="center" vertical="center" textRotation="90" wrapText="1"/>
    </xf>
    <xf numFmtId="49" fontId="3" fillId="6" borderId="17"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0" fontId="3" fillId="6" borderId="29" xfId="0" applyFont="1" applyFill="1" applyBorder="1" applyAlignment="1">
      <alignment horizontal="left" vertical="top" wrapText="1"/>
    </xf>
    <xf numFmtId="0" fontId="3" fillId="6" borderId="4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left" vertical="top" wrapText="1"/>
    </xf>
    <xf numFmtId="0" fontId="7" fillId="6" borderId="29" xfId="0" applyFont="1" applyFill="1" applyBorder="1" applyAlignment="1">
      <alignment horizontal="left" vertical="top" wrapText="1"/>
    </xf>
    <xf numFmtId="0" fontId="7" fillId="6" borderId="13" xfId="0" applyFont="1" applyFill="1" applyBorder="1" applyAlignment="1">
      <alignment horizontal="left" vertical="top" wrapText="1"/>
    </xf>
    <xf numFmtId="0" fontId="3" fillId="6" borderId="40" xfId="1" applyFont="1" applyFill="1" applyBorder="1" applyAlignment="1">
      <alignment vertical="top" wrapText="1"/>
    </xf>
    <xf numFmtId="0" fontId="7" fillId="6" borderId="26" xfId="0" applyFont="1" applyFill="1" applyBorder="1" applyAlignment="1">
      <alignment vertical="top" wrapText="1"/>
    </xf>
    <xf numFmtId="0" fontId="3" fillId="6" borderId="17" xfId="0" applyFont="1" applyFill="1" applyBorder="1" applyAlignment="1">
      <alignment horizontal="center" vertical="center" textRotation="90"/>
    </xf>
    <xf numFmtId="0" fontId="3" fillId="6" borderId="13" xfId="0" applyFont="1" applyFill="1" applyBorder="1" applyAlignment="1">
      <alignment horizontal="center" vertical="center" textRotation="90"/>
    </xf>
    <xf numFmtId="0" fontId="3" fillId="6" borderId="35" xfId="0" applyFont="1" applyFill="1" applyBorder="1" applyAlignment="1">
      <alignment horizontal="left" vertical="top" wrapText="1"/>
    </xf>
    <xf numFmtId="0" fontId="3" fillId="6" borderId="34" xfId="0" applyFont="1" applyFill="1" applyBorder="1" applyAlignment="1">
      <alignment horizontal="center" vertical="center" textRotation="90" wrapText="1"/>
    </xf>
    <xf numFmtId="0" fontId="3" fillId="18" borderId="43" xfId="0" applyFont="1" applyFill="1" applyBorder="1" applyAlignment="1">
      <alignment horizontal="left" vertical="top" wrapText="1"/>
    </xf>
    <xf numFmtId="0" fontId="3" fillId="18" borderId="45" xfId="0" applyFont="1" applyFill="1" applyBorder="1" applyAlignment="1">
      <alignment horizontal="left" vertical="top" wrapText="1"/>
    </xf>
    <xf numFmtId="0" fontId="3" fillId="6" borderId="43" xfId="0" applyFont="1" applyFill="1" applyBorder="1" applyAlignment="1">
      <alignment horizontal="left" vertical="top" wrapText="1"/>
    </xf>
    <xf numFmtId="0" fontId="7" fillId="6" borderId="45" xfId="0" applyFont="1" applyFill="1" applyBorder="1" applyAlignment="1">
      <alignment vertical="top" wrapText="1"/>
    </xf>
    <xf numFmtId="0" fontId="5" fillId="3" borderId="32" xfId="0" applyFont="1" applyFill="1" applyBorder="1" applyAlignment="1">
      <alignment horizontal="left" vertical="top" wrapText="1"/>
    </xf>
    <xf numFmtId="0" fontId="5" fillId="3" borderId="38" xfId="0" applyFont="1" applyFill="1" applyBorder="1" applyAlignment="1">
      <alignment horizontal="left" vertical="top" wrapText="1"/>
    </xf>
    <xf numFmtId="0" fontId="5" fillId="3" borderId="39" xfId="0" applyFont="1" applyFill="1" applyBorder="1" applyAlignment="1">
      <alignment horizontal="left" vertical="top" wrapText="1"/>
    </xf>
    <xf numFmtId="0" fontId="2" fillId="6" borderId="46" xfId="0" applyFont="1" applyFill="1" applyBorder="1" applyAlignment="1">
      <alignment horizontal="center" vertical="center" textRotation="90" wrapText="1"/>
    </xf>
    <xf numFmtId="0" fontId="2" fillId="6" borderId="34"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0" fontId="3" fillId="18" borderId="27" xfId="0" applyFont="1" applyFill="1" applyBorder="1" applyAlignment="1">
      <alignment horizontal="left" vertical="top" wrapText="1"/>
    </xf>
    <xf numFmtId="0" fontId="8" fillId="6" borderId="17" xfId="0" applyFont="1" applyFill="1" applyBorder="1" applyAlignment="1">
      <alignment horizontal="center" vertical="center" textRotation="90" wrapText="1"/>
    </xf>
    <xf numFmtId="0" fontId="1" fillId="0" borderId="29" xfId="0" applyFont="1" applyBorder="1" applyAlignment="1">
      <alignment horizontal="center" vertical="center" textRotation="90" wrapText="1"/>
    </xf>
    <xf numFmtId="49" fontId="5" fillId="2" borderId="15" xfId="0" applyNumberFormat="1" applyFont="1" applyFill="1" applyBorder="1" applyAlignment="1">
      <alignment horizontal="center" vertical="top"/>
    </xf>
    <xf numFmtId="0" fontId="12" fillId="0" borderId="17" xfId="0" applyFont="1" applyBorder="1" applyAlignment="1">
      <alignment horizontal="center" vertical="center" textRotation="90" wrapText="1"/>
    </xf>
    <xf numFmtId="0" fontId="21" fillId="0" borderId="13" xfId="0" applyFont="1" applyBorder="1" applyAlignment="1">
      <alignment horizontal="center" wrapText="1"/>
    </xf>
    <xf numFmtId="49" fontId="5" fillId="6" borderId="15" xfId="0" applyNumberFormat="1" applyFont="1" applyFill="1" applyBorder="1" applyAlignment="1">
      <alignment horizontal="center" vertical="top" wrapText="1"/>
    </xf>
    <xf numFmtId="3" fontId="3" fillId="18" borderId="17" xfId="0" applyNumberFormat="1" applyFont="1" applyFill="1" applyBorder="1" applyAlignment="1">
      <alignment horizontal="left" vertical="top" wrapText="1"/>
    </xf>
    <xf numFmtId="3" fontId="3" fillId="18" borderId="29" xfId="0" applyNumberFormat="1" applyFont="1" applyFill="1" applyBorder="1" applyAlignment="1">
      <alignment horizontal="left" vertical="top" wrapText="1"/>
    </xf>
    <xf numFmtId="0" fontId="3" fillId="18" borderId="26" xfId="1" applyFont="1" applyFill="1" applyBorder="1" applyAlignment="1">
      <alignment horizontal="left" vertical="top" wrapText="1"/>
    </xf>
    <xf numFmtId="0" fontId="7" fillId="6" borderId="13" xfId="0" applyFont="1" applyFill="1" applyBorder="1" applyAlignment="1">
      <alignment vertical="top" wrapText="1"/>
    </xf>
    <xf numFmtId="0" fontId="3" fillId="6" borderId="85" xfId="0" applyNumberFormat="1" applyFont="1" applyFill="1" applyBorder="1" applyAlignment="1">
      <alignment horizontal="left" vertical="top" wrapText="1"/>
    </xf>
    <xf numFmtId="0" fontId="3" fillId="6" borderId="29" xfId="0" applyNumberFormat="1" applyFont="1" applyFill="1" applyBorder="1" applyAlignment="1">
      <alignment horizontal="left" vertical="top" wrapText="1"/>
    </xf>
    <xf numFmtId="3" fontId="3" fillId="6" borderId="17" xfId="0" applyNumberFormat="1" applyFont="1" applyFill="1" applyBorder="1" applyAlignment="1">
      <alignment horizontal="left" vertical="top" wrapText="1"/>
    </xf>
    <xf numFmtId="3" fontId="3" fillId="6" borderId="29" xfId="0" applyNumberFormat="1" applyFont="1" applyFill="1" applyBorder="1" applyAlignment="1">
      <alignment horizontal="left" vertical="top" wrapText="1"/>
    </xf>
    <xf numFmtId="3" fontId="3" fillId="18" borderId="1" xfId="0" applyNumberFormat="1" applyFont="1" applyFill="1" applyBorder="1" applyAlignment="1">
      <alignment horizontal="left" vertical="top" wrapText="1"/>
    </xf>
    <xf numFmtId="3" fontId="3" fillId="18" borderId="28" xfId="0" applyNumberFormat="1" applyFont="1" applyFill="1" applyBorder="1" applyAlignment="1">
      <alignment horizontal="left" vertical="top" wrapText="1"/>
    </xf>
    <xf numFmtId="0" fontId="3" fillId="6" borderId="17"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3" fillId="6" borderId="29" xfId="0" applyFont="1" applyFill="1" applyBorder="1" applyAlignment="1">
      <alignment horizontal="center" vertical="center" textRotation="90" wrapText="1"/>
    </xf>
    <xf numFmtId="0" fontId="2" fillId="0" borderId="29" xfId="0" applyFont="1" applyBorder="1" applyAlignment="1">
      <alignment horizontal="center" vertical="center" textRotation="90" wrapText="1"/>
    </xf>
    <xf numFmtId="0" fontId="3" fillId="6" borderId="27" xfId="0" applyFont="1" applyFill="1" applyBorder="1" applyAlignment="1">
      <alignment horizontal="left" vertical="top" wrapText="1"/>
    </xf>
    <xf numFmtId="0" fontId="8" fillId="6" borderId="13" xfId="0" applyFont="1" applyFill="1" applyBorder="1" applyAlignment="1">
      <alignment horizontal="center" vertical="center" textRotation="90" wrapText="1"/>
    </xf>
    <xf numFmtId="0" fontId="3" fillId="7" borderId="43" xfId="0" applyFont="1" applyFill="1" applyBorder="1" applyAlignment="1">
      <alignment horizontal="left" vertical="top" wrapText="1"/>
    </xf>
    <xf numFmtId="0" fontId="3" fillId="7" borderId="27" xfId="0" applyFont="1" applyFill="1" applyBorder="1" applyAlignment="1">
      <alignment horizontal="left" vertical="top" wrapText="1"/>
    </xf>
    <xf numFmtId="49" fontId="5" fillId="2" borderId="28" xfId="0" applyNumberFormat="1" applyFont="1" applyFill="1" applyBorder="1" applyAlignment="1">
      <alignment horizontal="center" vertical="top"/>
    </xf>
    <xf numFmtId="3" fontId="3" fillId="7" borderId="1" xfId="0" applyNumberFormat="1" applyFont="1" applyFill="1" applyBorder="1" applyAlignment="1">
      <alignment horizontal="left" vertical="top" wrapText="1"/>
    </xf>
    <xf numFmtId="3" fontId="3" fillId="7" borderId="28" xfId="0" applyNumberFormat="1" applyFont="1" applyFill="1" applyBorder="1" applyAlignment="1">
      <alignment horizontal="left" vertical="top" wrapText="1"/>
    </xf>
    <xf numFmtId="0" fontId="3" fillId="6" borderId="17" xfId="0" applyFont="1" applyFill="1" applyBorder="1" applyAlignment="1">
      <alignment horizontal="center" vertical="top"/>
    </xf>
    <xf numFmtId="0" fontId="3" fillId="6" borderId="84" xfId="0" applyFont="1" applyFill="1" applyBorder="1" applyAlignment="1">
      <alignment horizontal="center" vertical="top"/>
    </xf>
    <xf numFmtId="0" fontId="3" fillId="6" borderId="43" xfId="0" applyFont="1" applyFill="1" applyBorder="1" applyAlignment="1">
      <alignment horizontal="center" vertical="center" textRotation="90" wrapText="1"/>
    </xf>
    <xf numFmtId="0" fontId="3" fillId="6" borderId="45" xfId="0" applyFont="1" applyFill="1" applyBorder="1" applyAlignment="1">
      <alignment horizontal="center" vertical="center" textRotation="90" wrapText="1"/>
    </xf>
    <xf numFmtId="3" fontId="3" fillId="0" borderId="24"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wrapText="1"/>
    </xf>
    <xf numFmtId="3" fontId="3" fillId="18" borderId="15" xfId="0" applyNumberFormat="1" applyFont="1" applyFill="1" applyBorder="1" applyAlignment="1">
      <alignment horizontal="left" vertical="top" wrapText="1"/>
    </xf>
    <xf numFmtId="3" fontId="3" fillId="18" borderId="13" xfId="0" applyNumberFormat="1" applyFont="1" applyFill="1" applyBorder="1" applyAlignment="1">
      <alignment horizontal="left" vertical="top" wrapText="1"/>
    </xf>
    <xf numFmtId="0" fontId="0" fillId="0" borderId="13" xfId="0" applyBorder="1" applyAlignment="1">
      <alignment vertical="top" wrapText="1"/>
    </xf>
    <xf numFmtId="0" fontId="0" fillId="0" borderId="29" xfId="0" applyBorder="1" applyAlignment="1">
      <alignment vertical="top" wrapText="1"/>
    </xf>
    <xf numFmtId="49" fontId="5" fillId="3" borderId="58" xfId="0" applyNumberFormat="1" applyFont="1" applyFill="1" applyBorder="1" applyAlignment="1">
      <alignment horizontal="right" vertical="top"/>
    </xf>
    <xf numFmtId="0" fontId="5" fillId="9" borderId="67" xfId="0" applyFont="1" applyFill="1" applyBorder="1" applyAlignment="1">
      <alignment horizontal="left" vertical="top" wrapText="1"/>
    </xf>
    <xf numFmtId="0" fontId="7" fillId="9" borderId="58" xfId="0" applyFont="1" applyFill="1" applyBorder="1" applyAlignment="1">
      <alignment horizontal="left" vertical="top" wrapText="1"/>
    </xf>
    <xf numFmtId="0" fontId="3" fillId="6" borderId="85" xfId="0" applyFont="1" applyFill="1" applyBorder="1" applyAlignment="1">
      <alignment vertical="top" wrapText="1"/>
    </xf>
    <xf numFmtId="0" fontId="7" fillId="6" borderId="84" xfId="0" applyFont="1" applyFill="1" applyBorder="1" applyAlignment="1">
      <alignment vertical="top" wrapText="1"/>
    </xf>
    <xf numFmtId="0" fontId="3" fillId="6" borderId="82" xfId="0" applyFont="1" applyFill="1" applyBorder="1" applyAlignment="1">
      <alignment vertical="top" wrapText="1"/>
    </xf>
    <xf numFmtId="0" fontId="7" fillId="6" borderId="83" xfId="0" applyFont="1" applyFill="1" applyBorder="1" applyAlignment="1">
      <alignment vertical="top" wrapText="1"/>
    </xf>
    <xf numFmtId="49" fontId="5" fillId="3" borderId="67" xfId="0" applyNumberFormat="1" applyFont="1" applyFill="1" applyBorder="1" applyAlignment="1">
      <alignment horizontal="right" vertical="top"/>
    </xf>
    <xf numFmtId="49" fontId="5" fillId="3" borderId="59" xfId="0" applyNumberFormat="1" applyFont="1" applyFill="1" applyBorder="1" applyAlignment="1">
      <alignment horizontal="right" vertical="top"/>
    </xf>
    <xf numFmtId="0" fontId="5" fillId="9" borderId="67" xfId="0" applyFont="1" applyFill="1" applyBorder="1" applyAlignment="1">
      <alignment vertical="center"/>
    </xf>
    <xf numFmtId="0" fontId="5" fillId="9" borderId="58" xfId="0" applyFont="1" applyFill="1" applyBorder="1" applyAlignment="1">
      <alignment vertical="center"/>
    </xf>
    <xf numFmtId="0" fontId="5" fillId="9" borderId="59" xfId="0" applyFont="1" applyFill="1" applyBorder="1" applyAlignment="1">
      <alignment vertical="center"/>
    </xf>
    <xf numFmtId="0" fontId="3" fillId="6" borderId="13" xfId="0" applyFont="1" applyFill="1" applyBorder="1" applyAlignment="1">
      <alignment vertical="top" wrapText="1"/>
    </xf>
    <xf numFmtId="0" fontId="3" fillId="6" borderId="52" xfId="0" applyFont="1" applyFill="1" applyBorder="1" applyAlignment="1">
      <alignment vertical="top" wrapText="1"/>
    </xf>
    <xf numFmtId="0" fontId="3" fillId="6" borderId="99" xfId="0" applyFont="1" applyFill="1" applyBorder="1" applyAlignment="1">
      <alignment vertical="top" wrapText="1"/>
    </xf>
    <xf numFmtId="0" fontId="3" fillId="0" borderId="0" xfId="0" applyFont="1" applyAlignment="1">
      <alignment horizontal="center" vertical="top"/>
    </xf>
    <xf numFmtId="0" fontId="3" fillId="6" borderId="9" xfId="0" applyFont="1" applyFill="1" applyBorder="1" applyAlignment="1">
      <alignment horizontal="left" vertical="top" wrapText="1"/>
    </xf>
    <xf numFmtId="0" fontId="3" fillId="18" borderId="23" xfId="0" applyFont="1" applyFill="1" applyBorder="1" applyAlignment="1">
      <alignment horizontal="left" vertical="top" wrapText="1"/>
    </xf>
    <xf numFmtId="3" fontId="3" fillId="18" borderId="24" xfId="0" applyNumberFormat="1" applyFont="1" applyFill="1" applyBorder="1" applyAlignment="1">
      <alignment horizontal="left" vertical="top" wrapText="1"/>
    </xf>
    <xf numFmtId="3" fontId="3" fillId="7" borderId="15" xfId="0" applyNumberFormat="1" applyFont="1" applyFill="1" applyBorder="1" applyAlignment="1">
      <alignment horizontal="left" vertical="top" wrapText="1"/>
    </xf>
    <xf numFmtId="3" fontId="3" fillId="6" borderId="85" xfId="0" applyNumberFormat="1" applyFont="1" applyFill="1" applyBorder="1" applyAlignment="1">
      <alignment horizontal="left" vertical="top" wrapText="1"/>
    </xf>
    <xf numFmtId="3" fontId="3" fillId="6" borderId="84" xfId="0" applyNumberFormat="1" applyFont="1" applyFill="1" applyBorder="1" applyAlignment="1">
      <alignment horizontal="left" vertical="top" wrapText="1"/>
    </xf>
    <xf numFmtId="3" fontId="3" fillId="6" borderId="6" xfId="0" applyNumberFormat="1" applyFont="1" applyFill="1" applyBorder="1" applyAlignment="1">
      <alignment horizontal="left" vertical="top" wrapText="1"/>
    </xf>
    <xf numFmtId="3" fontId="3" fillId="6" borderId="8" xfId="0" applyNumberFormat="1" applyFont="1" applyFill="1" applyBorder="1" applyAlignment="1">
      <alignment horizontal="left" vertical="top" wrapText="1"/>
    </xf>
    <xf numFmtId="0" fontId="3" fillId="6" borderId="23" xfId="0" applyNumberFormat="1" applyFont="1" applyFill="1" applyBorder="1" applyAlignment="1">
      <alignment horizontal="left" vertical="top" wrapText="1"/>
    </xf>
    <xf numFmtId="0" fontId="3" fillId="6" borderId="13" xfId="0" applyNumberFormat="1" applyFont="1" applyFill="1" applyBorder="1" applyAlignment="1">
      <alignment horizontal="left" vertical="top" wrapText="1"/>
    </xf>
    <xf numFmtId="0" fontId="3" fillId="6" borderId="21" xfId="0" applyNumberFormat="1" applyFont="1" applyFill="1" applyBorder="1" applyAlignment="1">
      <alignment horizontal="left" vertical="top" wrapText="1"/>
    </xf>
    <xf numFmtId="0" fontId="3" fillId="18" borderId="32" xfId="0" applyFont="1" applyFill="1" applyBorder="1" applyAlignment="1">
      <alignment horizontal="left" vertical="top" wrapText="1"/>
    </xf>
    <xf numFmtId="0" fontId="7" fillId="18" borderId="32" xfId="0" applyFont="1" applyFill="1" applyBorder="1" applyAlignment="1">
      <alignment horizontal="left" vertical="top" wrapText="1"/>
    </xf>
    <xf numFmtId="0" fontId="3" fillId="7" borderId="17" xfId="0" applyFont="1" applyFill="1" applyBorder="1" applyAlignment="1">
      <alignment horizontal="left" vertical="top" wrapText="1"/>
    </xf>
    <xf numFmtId="0" fontId="3" fillId="7" borderId="13" xfId="0" applyFont="1" applyFill="1" applyBorder="1" applyAlignment="1">
      <alignment horizontal="left" vertical="top" wrapText="1"/>
    </xf>
    <xf numFmtId="0" fontId="3" fillId="7" borderId="29" xfId="0" applyFont="1" applyFill="1" applyBorder="1" applyAlignment="1">
      <alignment horizontal="left" vertical="top" wrapText="1"/>
    </xf>
    <xf numFmtId="0" fontId="2" fillId="6" borderId="13" xfId="0" applyFont="1" applyFill="1" applyBorder="1" applyAlignment="1">
      <alignment vertical="center" textRotation="90"/>
    </xf>
    <xf numFmtId="49" fontId="5" fillId="6" borderId="28" xfId="0" applyNumberFormat="1" applyFont="1" applyFill="1" applyBorder="1" applyAlignment="1">
      <alignment horizontal="center" vertical="top"/>
    </xf>
    <xf numFmtId="0" fontId="7" fillId="6" borderId="29" xfId="0" applyFont="1" applyFill="1" applyBorder="1" applyAlignment="1">
      <alignment vertical="top" wrapText="1"/>
    </xf>
    <xf numFmtId="49" fontId="5" fillId="3" borderId="31" xfId="0" applyNumberFormat="1" applyFont="1" applyFill="1" applyBorder="1" applyAlignment="1">
      <alignment horizontal="right" vertical="top"/>
    </xf>
    <xf numFmtId="3" fontId="5" fillId="0" borderId="55" xfId="0" applyNumberFormat="1" applyFont="1" applyBorder="1" applyAlignment="1">
      <alignment horizontal="center" vertical="center" wrapText="1"/>
    </xf>
    <xf numFmtId="3" fontId="5" fillId="0" borderId="58" xfId="0" applyNumberFormat="1" applyFont="1" applyBorder="1" applyAlignment="1">
      <alignment horizontal="center" vertical="center" wrapText="1"/>
    </xf>
    <xf numFmtId="3" fontId="5" fillId="0" borderId="59" xfId="0" applyNumberFormat="1" applyFont="1" applyBorder="1" applyAlignment="1">
      <alignment horizontal="center" vertical="center" wrapText="1"/>
    </xf>
    <xf numFmtId="3" fontId="3" fillId="0" borderId="0" xfId="0" applyNumberFormat="1" applyFont="1" applyFill="1" applyBorder="1" applyAlignment="1">
      <alignment horizontal="left" vertical="top" wrapText="1"/>
    </xf>
    <xf numFmtId="0" fontId="7" fillId="0" borderId="0" xfId="0" applyFont="1" applyFill="1" applyAlignment="1">
      <alignment horizontal="left" vertical="top" wrapText="1"/>
    </xf>
    <xf numFmtId="0" fontId="7" fillId="6" borderId="21" xfId="0" applyFont="1" applyFill="1" applyBorder="1" applyAlignment="1">
      <alignment vertical="top" wrapText="1"/>
    </xf>
    <xf numFmtId="49" fontId="3" fillId="6" borderId="7" xfId="0" applyNumberFormat="1" applyFont="1" applyFill="1" applyBorder="1" applyAlignment="1">
      <alignment horizontal="center" vertical="top" wrapText="1"/>
    </xf>
    <xf numFmtId="0" fontId="7" fillId="6" borderId="57" xfId="0" applyFont="1" applyFill="1" applyBorder="1" applyAlignment="1">
      <alignment horizontal="center" vertical="top" wrapText="1"/>
    </xf>
    <xf numFmtId="49" fontId="3" fillId="6" borderId="4" xfId="0" applyNumberFormat="1" applyFont="1" applyFill="1" applyBorder="1" applyAlignment="1">
      <alignment horizontal="center" vertical="top" wrapText="1"/>
    </xf>
    <xf numFmtId="0" fontId="7" fillId="0" borderId="7" xfId="0" applyFont="1" applyBorder="1" applyAlignment="1">
      <alignment horizontal="center" vertical="top" wrapText="1"/>
    </xf>
    <xf numFmtId="49" fontId="3" fillId="6" borderId="41" xfId="0" applyNumberFormat="1" applyFont="1" applyFill="1" applyBorder="1" applyAlignment="1">
      <alignment horizontal="center" vertical="top" wrapText="1"/>
    </xf>
    <xf numFmtId="0" fontId="7" fillId="6" borderId="7" xfId="0" applyFont="1" applyFill="1" applyBorder="1" applyAlignment="1">
      <alignment horizontal="center" vertical="top" wrapText="1"/>
    </xf>
    <xf numFmtId="3" fontId="11" fillId="6" borderId="125" xfId="0" applyNumberFormat="1" applyFont="1" applyFill="1" applyBorder="1" applyAlignment="1">
      <alignment horizontal="left" vertical="top" wrapText="1"/>
    </xf>
    <xf numFmtId="3" fontId="11" fillId="6" borderId="45" xfId="0" applyNumberFormat="1" applyFont="1" applyFill="1" applyBorder="1" applyAlignment="1">
      <alignment horizontal="left" vertical="top" wrapText="1"/>
    </xf>
    <xf numFmtId="49" fontId="3" fillId="6" borderId="4" xfId="0" applyNumberFormat="1" applyFont="1" applyFill="1" applyBorder="1" applyAlignment="1">
      <alignment horizontal="center" vertical="center" wrapText="1"/>
    </xf>
    <xf numFmtId="49" fontId="3" fillId="6" borderId="19" xfId="0" applyNumberFormat="1" applyFont="1" applyFill="1" applyBorder="1" applyAlignment="1">
      <alignment horizontal="center" vertical="center" wrapText="1"/>
    </xf>
    <xf numFmtId="49" fontId="5" fillId="8" borderId="13" xfId="0"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13" xfId="0" applyNumberFormat="1" applyFont="1" applyBorder="1" applyAlignment="1">
      <alignment horizontal="center" vertical="top" wrapText="1"/>
    </xf>
    <xf numFmtId="0" fontId="3" fillId="2" borderId="17" xfId="0" applyFont="1" applyFill="1" applyBorder="1" applyAlignment="1">
      <alignment vertical="top" wrapText="1"/>
    </xf>
    <xf numFmtId="0" fontId="3" fillId="2" borderId="13" xfId="0" applyFont="1" applyFill="1" applyBorder="1" applyAlignment="1">
      <alignment vertical="top" wrapText="1"/>
    </xf>
    <xf numFmtId="0" fontId="5" fillId="6" borderId="13" xfId="0" applyFont="1" applyFill="1" applyBorder="1" applyAlignment="1">
      <alignment horizontal="center" vertical="top" wrapText="1"/>
    </xf>
    <xf numFmtId="49" fontId="3" fillId="6" borderId="7" xfId="0" applyNumberFormat="1" applyFont="1" applyFill="1" applyBorder="1" applyAlignment="1">
      <alignment horizontal="center" vertical="center" wrapText="1"/>
    </xf>
    <xf numFmtId="0" fontId="3" fillId="0" borderId="17" xfId="0" applyFont="1" applyBorder="1" applyAlignment="1">
      <alignment horizontal="left" vertical="top" wrapText="1"/>
    </xf>
    <xf numFmtId="0" fontId="7" fillId="0" borderId="13" xfId="0" applyFont="1" applyBorder="1" applyAlignment="1">
      <alignment vertical="top" wrapText="1"/>
    </xf>
    <xf numFmtId="0" fontId="3" fillId="2" borderId="7" xfId="0" applyFont="1" applyFill="1" applyBorder="1" applyAlignment="1">
      <alignment horizontal="center" vertical="top" wrapText="1"/>
    </xf>
    <xf numFmtId="0" fontId="7" fillId="0" borderId="84" xfId="0" applyFont="1" applyBorder="1" applyAlignment="1">
      <alignment vertical="top" wrapText="1"/>
    </xf>
    <xf numFmtId="49" fontId="5" fillId="0" borderId="29" xfId="0" applyNumberFormat="1" applyFont="1" applyBorder="1" applyAlignment="1">
      <alignment horizontal="center" vertical="top" wrapText="1"/>
    </xf>
    <xf numFmtId="0" fontId="3" fillId="2" borderId="29" xfId="0" applyFont="1" applyFill="1" applyBorder="1" applyAlignment="1">
      <alignment vertical="top" wrapText="1"/>
    </xf>
    <xf numFmtId="0" fontId="3" fillId="0" borderId="4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6" borderId="18" xfId="0" applyFont="1" applyFill="1" applyBorder="1" applyAlignment="1">
      <alignment horizontal="center" vertical="center" wrapText="1"/>
    </xf>
    <xf numFmtId="0" fontId="3" fillId="6" borderId="8" xfId="1" applyFont="1" applyFill="1" applyBorder="1" applyAlignment="1">
      <alignment vertical="top" wrapText="1"/>
    </xf>
    <xf numFmtId="0" fontId="14" fillId="6" borderId="17" xfId="0" applyFont="1" applyFill="1" applyBorder="1" applyAlignment="1">
      <alignment horizontal="left" vertical="top" wrapText="1"/>
    </xf>
    <xf numFmtId="0" fontId="14" fillId="6" borderId="13" xfId="0" applyFont="1" applyFill="1" applyBorder="1" applyAlignment="1">
      <alignment horizontal="left" vertical="top" wrapText="1"/>
    </xf>
    <xf numFmtId="0" fontId="14" fillId="6" borderId="29" xfId="0" applyFont="1" applyFill="1" applyBorder="1" applyAlignment="1">
      <alignment horizontal="left" vertical="top" wrapText="1"/>
    </xf>
    <xf numFmtId="0" fontId="3" fillId="6" borderId="41" xfId="0" applyFont="1" applyFill="1" applyBorder="1" applyAlignment="1">
      <alignment horizontal="center" wrapText="1"/>
    </xf>
    <xf numFmtId="0" fontId="3" fillId="0" borderId="7" xfId="0" applyFont="1" applyBorder="1" applyAlignment="1">
      <alignment horizontal="center" wrapText="1"/>
    </xf>
    <xf numFmtId="49" fontId="3" fillId="6" borderId="48" xfId="0" applyNumberFormat="1" applyFont="1" applyFill="1" applyBorder="1" applyAlignment="1">
      <alignment horizontal="center" vertical="center" wrapText="1"/>
    </xf>
    <xf numFmtId="0" fontId="14" fillId="6" borderId="45" xfId="0" applyFont="1" applyFill="1" applyBorder="1" applyAlignment="1">
      <alignment horizontal="left" vertical="top" wrapText="1"/>
    </xf>
    <xf numFmtId="49" fontId="5" fillId="6" borderId="17" xfId="0" applyNumberFormat="1" applyFont="1" applyFill="1" applyBorder="1" applyAlignment="1">
      <alignment horizontal="center" vertical="top" wrapText="1"/>
    </xf>
    <xf numFmtId="49" fontId="5" fillId="6" borderId="13" xfId="0" applyNumberFormat="1" applyFont="1" applyFill="1" applyBorder="1" applyAlignment="1">
      <alignment horizontal="center" vertical="top" wrapText="1"/>
    </xf>
    <xf numFmtId="49" fontId="5" fillId="6" borderId="29" xfId="0" applyNumberFormat="1" applyFont="1" applyFill="1" applyBorder="1" applyAlignment="1">
      <alignment horizontal="center" vertical="top" wrapText="1"/>
    </xf>
    <xf numFmtId="0" fontId="3" fillId="6" borderId="32" xfId="0" applyFont="1" applyFill="1" applyBorder="1" applyAlignment="1">
      <alignment horizontal="left" vertical="top" wrapText="1"/>
    </xf>
    <xf numFmtId="0" fontId="7" fillId="6" borderId="32" xfId="0" applyFont="1" applyFill="1" applyBorder="1" applyAlignment="1">
      <alignment horizontal="left" vertical="top" wrapText="1"/>
    </xf>
    <xf numFmtId="49" fontId="5" fillId="0" borderId="36"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25" xfId="0" applyNumberFormat="1" applyFont="1" applyBorder="1" applyAlignment="1">
      <alignment horizontal="center" vertical="top"/>
    </xf>
    <xf numFmtId="49" fontId="3" fillId="0" borderId="41"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7" fillId="0" borderId="57" xfId="0" applyFont="1" applyBorder="1" applyAlignment="1">
      <alignment vertical="top"/>
    </xf>
    <xf numFmtId="0" fontId="7" fillId="6" borderId="8" xfId="0" applyFont="1" applyFill="1" applyBorder="1" applyAlignment="1">
      <alignment vertical="top" wrapText="1"/>
    </xf>
    <xf numFmtId="0" fontId="7" fillId="0" borderId="8" xfId="0" applyFont="1" applyBorder="1" applyAlignment="1">
      <alignment horizontal="left" vertical="top" wrapText="1"/>
    </xf>
    <xf numFmtId="0" fontId="5" fillId="6" borderId="26" xfId="0" applyFont="1" applyFill="1" applyBorder="1" applyAlignment="1">
      <alignment vertical="top" wrapText="1"/>
    </xf>
    <xf numFmtId="0" fontId="7" fillId="6" borderId="4" xfId="0" applyFont="1" applyFill="1" applyBorder="1" applyAlignment="1">
      <alignment horizontal="center" vertical="center" wrapText="1"/>
    </xf>
    <xf numFmtId="0" fontId="3" fillId="6" borderId="8" xfId="0" applyFont="1" applyFill="1" applyBorder="1" applyAlignment="1">
      <alignment vertical="top" wrapText="1"/>
    </xf>
    <xf numFmtId="0" fontId="7" fillId="0" borderId="29" xfId="0" applyFont="1" applyBorder="1" applyAlignment="1">
      <alignment horizontal="left" vertical="top" wrapText="1"/>
    </xf>
    <xf numFmtId="0" fontId="7" fillId="0" borderId="13" xfId="0" applyFont="1" applyBorder="1" applyAlignment="1">
      <alignment horizontal="left" vertical="top" wrapText="1"/>
    </xf>
    <xf numFmtId="49" fontId="5" fillId="6" borderId="13" xfId="0" applyNumberFormat="1" applyFont="1" applyFill="1" applyBorder="1" applyAlignment="1">
      <alignment horizontal="center" vertical="center" textRotation="90" wrapText="1"/>
    </xf>
    <xf numFmtId="49" fontId="5" fillId="6" borderId="29" xfId="0" applyNumberFormat="1" applyFont="1" applyFill="1" applyBorder="1" applyAlignment="1">
      <alignment horizontal="center" vertical="center" textRotation="90" wrapText="1"/>
    </xf>
    <xf numFmtId="49" fontId="5" fillId="8" borderId="13" xfId="0" applyNumberFormat="1" applyFont="1" applyFill="1" applyBorder="1" applyAlignment="1">
      <alignment horizontal="center" vertical="top"/>
    </xf>
    <xf numFmtId="49" fontId="5" fillId="6" borderId="17" xfId="0" applyNumberFormat="1" applyFont="1" applyFill="1" applyBorder="1" applyAlignment="1">
      <alignment horizontal="center" vertical="top"/>
    </xf>
    <xf numFmtId="49" fontId="5" fillId="6" borderId="29" xfId="0" applyNumberFormat="1" applyFont="1" applyFill="1" applyBorder="1" applyAlignment="1">
      <alignment horizontal="center" vertical="top"/>
    </xf>
    <xf numFmtId="49" fontId="5" fillId="8" borderId="23" xfId="0" applyNumberFormat="1" applyFont="1" applyFill="1" applyBorder="1" applyAlignment="1">
      <alignment horizontal="center" vertical="top"/>
    </xf>
    <xf numFmtId="49" fontId="5" fillId="0" borderId="23" xfId="0" applyNumberFormat="1" applyFont="1" applyBorder="1" applyAlignment="1">
      <alignment horizontal="center" vertical="top"/>
    </xf>
    <xf numFmtId="49" fontId="5" fillId="0" borderId="13" xfId="0" applyNumberFormat="1" applyFont="1" applyBorder="1" applyAlignment="1">
      <alignment horizontal="center" vertical="top"/>
    </xf>
    <xf numFmtId="0" fontId="7" fillId="0" borderId="19" xfId="0" applyFont="1" applyBorder="1" applyAlignment="1">
      <alignment horizontal="center" vertical="top" wrapText="1"/>
    </xf>
    <xf numFmtId="0" fontId="3" fillId="0" borderId="35" xfId="0" applyFont="1" applyBorder="1" applyAlignment="1">
      <alignment horizontal="left" vertical="top" wrapText="1"/>
    </xf>
    <xf numFmtId="0" fontId="3" fillId="0" borderId="0" xfId="0" applyFont="1" applyBorder="1" applyAlignment="1">
      <alignment horizontal="left" vertical="top" wrapText="1"/>
    </xf>
    <xf numFmtId="0" fontId="3" fillId="0" borderId="35" xfId="0" applyFont="1" applyBorder="1" applyAlignment="1">
      <alignment horizontal="left" vertical="top"/>
    </xf>
    <xf numFmtId="0" fontId="3" fillId="0" borderId="0" xfId="0" applyFont="1" applyBorder="1" applyAlignment="1">
      <alignment horizontal="left" vertical="top"/>
    </xf>
    <xf numFmtId="0" fontId="3" fillId="6" borderId="122" xfId="0" applyFont="1" applyFill="1" applyBorder="1" applyAlignment="1">
      <alignment horizontal="center" vertical="top" wrapText="1"/>
    </xf>
    <xf numFmtId="0" fontId="7" fillId="0" borderId="122"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45" xfId="0" applyFont="1" applyFill="1" applyBorder="1" applyAlignment="1">
      <alignment horizontal="left" vertical="top" wrapText="1"/>
    </xf>
    <xf numFmtId="49" fontId="3" fillId="6" borderId="41" xfId="0" applyNumberFormat="1" applyFont="1" applyFill="1" applyBorder="1" applyAlignment="1">
      <alignment horizontal="center" vertical="center" wrapText="1"/>
    </xf>
    <xf numFmtId="0" fontId="7" fillId="0" borderId="7" xfId="0" applyFont="1" applyBorder="1" applyAlignment="1">
      <alignment horizontal="center" vertical="center"/>
    </xf>
    <xf numFmtId="49" fontId="5" fillId="0" borderId="17" xfId="0" applyNumberFormat="1" applyFont="1" applyFill="1" applyBorder="1" applyAlignment="1">
      <alignment horizontal="center" vertical="top"/>
    </xf>
    <xf numFmtId="49" fontId="5" fillId="0" borderId="29" xfId="0" applyNumberFormat="1" applyFont="1" applyFill="1" applyBorder="1" applyAlignment="1">
      <alignment horizontal="center" vertical="top"/>
    </xf>
    <xf numFmtId="49" fontId="3" fillId="6" borderId="19" xfId="0" applyNumberFormat="1" applyFont="1" applyFill="1" applyBorder="1" applyAlignment="1">
      <alignment horizontal="center" vertical="top" wrapText="1"/>
    </xf>
    <xf numFmtId="49" fontId="5" fillId="0" borderId="13" xfId="0" applyNumberFormat="1" applyFont="1" applyFill="1" applyBorder="1" applyAlignment="1">
      <alignment horizontal="center" vertical="top"/>
    </xf>
    <xf numFmtId="0" fontId="7" fillId="6" borderId="7" xfId="0" applyFont="1" applyFill="1" applyBorder="1" applyAlignment="1">
      <alignment horizontal="center" vertical="center" wrapText="1"/>
    </xf>
    <xf numFmtId="0" fontId="3" fillId="0" borderId="35" xfId="0" applyFont="1" applyBorder="1" applyAlignment="1">
      <alignment horizontal="center" vertical="top" wrapText="1"/>
    </xf>
    <xf numFmtId="0" fontId="3" fillId="0" borderId="0" xfId="0" applyFont="1" applyBorder="1" applyAlignment="1">
      <alignment horizontal="center" vertical="top" wrapText="1"/>
    </xf>
    <xf numFmtId="0" fontId="5" fillId="0" borderId="66" xfId="0" applyFont="1" applyBorder="1" applyAlignment="1">
      <alignment horizontal="center" vertical="center"/>
    </xf>
    <xf numFmtId="0" fontId="5" fillId="0" borderId="56" xfId="0" applyFont="1" applyBorder="1" applyAlignment="1">
      <alignment horizontal="center" vertical="center"/>
    </xf>
    <xf numFmtId="0" fontId="3" fillId="0" borderId="40" xfId="0" applyFont="1" applyBorder="1" applyAlignment="1">
      <alignment horizontal="center" vertical="center" wrapText="1"/>
    </xf>
    <xf numFmtId="0" fontId="3" fillId="0" borderId="9" xfId="0" applyFont="1" applyBorder="1" applyAlignment="1">
      <alignment horizontal="center" vertical="center" wrapText="1"/>
    </xf>
    <xf numFmtId="0" fontId="5" fillId="10" borderId="32" xfId="0" applyFont="1" applyFill="1" applyBorder="1" applyAlignment="1">
      <alignment horizontal="left" vertical="top"/>
    </xf>
    <xf numFmtId="0" fontId="5" fillId="10" borderId="38" xfId="0" applyFont="1" applyFill="1" applyBorder="1" applyAlignment="1">
      <alignment horizontal="left" vertical="top"/>
    </xf>
    <xf numFmtId="0" fontId="5" fillId="10" borderId="39" xfId="0" applyFont="1" applyFill="1" applyBorder="1" applyAlignment="1">
      <alignment horizontal="left" vertical="top"/>
    </xf>
    <xf numFmtId="0" fontId="33" fillId="0" borderId="23" xfId="0" applyFont="1" applyBorder="1" applyAlignment="1">
      <alignment horizontal="center" vertical="center" textRotation="90" shrinkToFit="1"/>
    </xf>
    <xf numFmtId="0" fontId="33" fillId="0" borderId="13" xfId="0" applyFont="1" applyBorder="1" applyAlignment="1">
      <alignment horizontal="center" vertical="center" textRotation="90" shrinkToFit="1"/>
    </xf>
    <xf numFmtId="0" fontId="33" fillId="0" borderId="21" xfId="0" applyFont="1" applyBorder="1" applyAlignment="1">
      <alignment horizontal="center" vertical="center" textRotation="90" shrinkToFit="1"/>
    </xf>
    <xf numFmtId="0" fontId="33" fillId="0" borderId="49" xfId="0" applyNumberFormat="1" applyFont="1" applyBorder="1" applyAlignment="1">
      <alignment horizontal="center" vertical="center" textRotation="90" shrinkToFit="1"/>
    </xf>
    <xf numFmtId="0" fontId="33" fillId="0" borderId="48" xfId="0" applyNumberFormat="1" applyFont="1" applyBorder="1" applyAlignment="1">
      <alignment horizontal="center" vertical="center" textRotation="90" shrinkToFit="1"/>
    </xf>
    <xf numFmtId="0" fontId="33" fillId="0" borderId="31" xfId="0" applyNumberFormat="1" applyFont="1" applyBorder="1" applyAlignment="1">
      <alignment horizontal="center" vertical="center" textRotation="90" shrinkToFit="1"/>
    </xf>
    <xf numFmtId="0" fontId="3" fillId="0" borderId="41" xfId="0" applyNumberFormat="1" applyFont="1" applyFill="1" applyBorder="1" applyAlignment="1">
      <alignment horizontal="center" vertical="center" textRotation="90" shrinkToFit="1"/>
    </xf>
    <xf numFmtId="0" fontId="3" fillId="0" borderId="7" xfId="0" applyNumberFormat="1" applyFont="1" applyFill="1" applyBorder="1" applyAlignment="1">
      <alignment horizontal="center" vertical="center" textRotation="90" shrinkToFit="1"/>
    </xf>
    <xf numFmtId="0" fontId="3" fillId="0" borderId="57" xfId="0" applyNumberFormat="1" applyFont="1" applyFill="1" applyBorder="1" applyAlignment="1">
      <alignment horizontal="center" vertical="center" textRotation="90" shrinkToFit="1"/>
    </xf>
    <xf numFmtId="0" fontId="3" fillId="0" borderId="41"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57" xfId="0" applyFont="1" applyBorder="1" applyAlignment="1">
      <alignment horizontal="center" vertical="center" textRotation="90" wrapText="1"/>
    </xf>
    <xf numFmtId="0" fontId="31" fillId="0" borderId="0" xfId="0" applyFont="1" applyAlignment="1">
      <alignment horizontal="right" wrapText="1"/>
    </xf>
    <xf numFmtId="0" fontId="32" fillId="0" borderId="0" xfId="0" applyFont="1" applyAlignment="1">
      <alignment horizontal="right"/>
    </xf>
    <xf numFmtId="0" fontId="20" fillId="0" borderId="0" xfId="0" applyFont="1" applyAlignment="1">
      <alignment horizontal="center" vertical="top" wrapText="1"/>
    </xf>
    <xf numFmtId="0" fontId="0" fillId="0" borderId="0" xfId="0" applyAlignment="1">
      <alignment vertical="top"/>
    </xf>
    <xf numFmtId="0" fontId="4" fillId="0" borderId="0" xfId="0" applyFont="1" applyAlignment="1">
      <alignment horizontal="center" vertical="top"/>
    </xf>
    <xf numFmtId="0" fontId="3" fillId="0" borderId="25" xfId="0" applyFont="1" applyBorder="1" applyAlignment="1">
      <alignment horizontal="right" vertical="top"/>
    </xf>
    <xf numFmtId="0" fontId="33" fillId="0" borderId="6" xfId="0" applyFont="1" applyBorder="1" applyAlignment="1">
      <alignment horizontal="center" vertical="center" textRotation="90" shrinkToFit="1"/>
    </xf>
    <xf numFmtId="0" fontId="33" fillId="0" borderId="8" xfId="0" applyFont="1" applyBorder="1" applyAlignment="1">
      <alignment horizontal="center" vertical="center" textRotation="90" shrinkToFit="1"/>
    </xf>
    <xf numFmtId="0" fontId="33" fillId="0" borderId="9" xfId="0" applyFont="1" applyBorder="1" applyAlignment="1">
      <alignment horizontal="center" vertical="center" textRotation="90" shrinkToFit="1"/>
    </xf>
    <xf numFmtId="0" fontId="33" fillId="0" borderId="42" xfId="0" applyFont="1" applyBorder="1" applyAlignment="1">
      <alignment horizontal="center" vertical="center" shrinkToFit="1"/>
    </xf>
    <xf numFmtId="0" fontId="33" fillId="0" borderId="45" xfId="0" applyFont="1" applyBorder="1" applyAlignment="1">
      <alignment horizontal="center" vertical="center" shrinkToFit="1"/>
    </xf>
    <xf numFmtId="0" fontId="33" fillId="0" borderId="54" xfId="0" applyFont="1" applyBorder="1" applyAlignment="1">
      <alignment horizontal="center" vertical="center" shrinkToFit="1"/>
    </xf>
    <xf numFmtId="3" fontId="15" fillId="0" borderId="61" xfId="0" applyNumberFormat="1" applyFont="1" applyBorder="1" applyAlignment="1">
      <alignment horizontal="center" vertical="center" wrapText="1"/>
    </xf>
    <xf numFmtId="3" fontId="15" fillId="0" borderId="56" xfId="0" applyNumberFormat="1" applyFont="1" applyBorder="1" applyAlignment="1">
      <alignment horizontal="center" vertical="center" wrapText="1"/>
    </xf>
  </cellXfs>
  <cellStyles count="4">
    <cellStyle name="Excel Built-in Normal" xfId="3"/>
    <cellStyle name="Įprastas" xfId="0" builtinId="0"/>
    <cellStyle name="Įprastas 2" xfId="1"/>
    <cellStyle name="Stilius 1" xfId="2"/>
  </cellStyles>
  <dxfs count="0"/>
  <tableStyles count="0" defaultTableStyle="TableStyleMedium2" defaultPivotStyle="PivotStyleLight16"/>
  <colors>
    <mruColors>
      <color rgb="FFFFCCFF"/>
      <color rgb="FFCCFFCC"/>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solidFill>
              <a:ln w="25400">
                <a:solidFill>
                  <a:schemeClr val="bg1">
                    <a:lumMod val="65000"/>
                  </a:schemeClr>
                </a:solidFill>
              </a:ln>
              <a:effectLst/>
              <a:sp3d contourW="25400">
                <a:contourClr>
                  <a:schemeClr val="bg1">
                    <a:lumMod val="65000"/>
                  </a:schemeClr>
                </a:contourClr>
              </a:sp3d>
            </c:spPr>
            <c:extLst>
              <c:ext xmlns:c16="http://schemas.microsoft.com/office/drawing/2014/chart" uri="{C3380CC4-5D6E-409C-BE32-E72D297353CC}">
                <c16:uniqueId val="{00000001-4F20-480D-9673-EB556DF15B51}"/>
              </c:ext>
            </c:extLst>
          </c:dPt>
          <c:dPt>
            <c:idx val="1"/>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4F20-480D-9673-EB556DF15B51}"/>
              </c:ext>
            </c:extLst>
          </c:dPt>
          <c:dPt>
            <c:idx val="2"/>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3-4F20-480D-9673-EB556DF15B51}"/>
              </c:ext>
            </c:extLst>
          </c:dPt>
          <c:dLbls>
            <c:dLbl>
              <c:idx val="1"/>
              <c:layout>
                <c:manualLayout>
                  <c:x val="0.25884634733158357"/>
                  <c:y val="0.3318390930300378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4F20-480D-9673-EB556DF15B5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multiLvlStrRef>
              <c:f>Ataskaita!$B$14:$D$16</c:f>
              <c:multiLvlStrCache>
                <c:ptCount val="3"/>
                <c:lvl>
                  <c:pt idx="0">
                    <c:v>–</c:v>
                  </c:pt>
                  <c:pt idx="1">
                    <c:v>–</c:v>
                  </c:pt>
                  <c:pt idx="2">
                    <c:v>–</c:v>
                  </c:pt>
                </c:lvl>
                <c:lvl>
                  <c:pt idx="0">
                    <c:v>faktiškai įvykdyta</c:v>
                  </c:pt>
                  <c:pt idx="1">
                    <c:v>iš dalies įvykdyta</c:v>
                  </c:pt>
                  <c:pt idx="2">
                    <c:v>neįvykdyta</c:v>
                  </c:pt>
                </c:lvl>
              </c:multiLvlStrCache>
            </c:multiLvlStrRef>
          </c:cat>
          <c:val>
            <c:numRef>
              <c:f>Ataskaita!$E$14:$E$16</c:f>
              <c:numCache>
                <c:formatCode>General</c:formatCode>
                <c:ptCount val="3"/>
                <c:pt idx="0">
                  <c:v>36</c:v>
                </c:pt>
                <c:pt idx="1">
                  <c:v>11</c:v>
                </c:pt>
                <c:pt idx="2">
                  <c:v>2</c:v>
                </c:pt>
              </c:numCache>
            </c:numRef>
          </c:val>
          <c:extLst>
            <c:ext xmlns:c16="http://schemas.microsoft.com/office/drawing/2014/chart" uri="{C3380CC4-5D6E-409C-BE32-E72D297353CC}">
              <c16:uniqueId val="{00000000-4F20-480D-9673-EB556DF15B51}"/>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514350</xdr:colOff>
      <xdr:row>18</xdr:row>
      <xdr:rowOff>114300</xdr:rowOff>
    </xdr:from>
    <xdr:to>
      <xdr:col>8</xdr:col>
      <xdr:colOff>209550</xdr:colOff>
      <xdr:row>32</xdr:row>
      <xdr:rowOff>57150</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zoomScaleSheetLayoutView="100" workbookViewId="0">
      <selection activeCell="X15" sqref="X15"/>
    </sheetView>
  </sheetViews>
  <sheetFormatPr defaultRowHeight="12.75" x14ac:dyDescent="0.2"/>
  <cols>
    <col min="6" max="6" width="8" customWidth="1"/>
    <col min="10" max="10" width="13.28515625" customWidth="1"/>
  </cols>
  <sheetData>
    <row r="1" spans="1:11" ht="34.5" customHeight="1" x14ac:dyDescent="0.2">
      <c r="E1" s="983"/>
      <c r="F1" s="983"/>
      <c r="G1" s="992" t="s">
        <v>828</v>
      </c>
      <c r="H1" s="992"/>
      <c r="I1" s="992"/>
      <c r="J1" s="992"/>
    </row>
    <row r="2" spans="1:11" ht="19.5" customHeight="1" x14ac:dyDescent="0.2">
      <c r="E2" s="983"/>
      <c r="F2" s="983"/>
      <c r="G2" s="992" t="s">
        <v>829</v>
      </c>
      <c r="H2" s="992"/>
      <c r="I2" s="992"/>
      <c r="J2" s="992"/>
    </row>
    <row r="3" spans="1:11" ht="15" customHeight="1" x14ac:dyDescent="0.2">
      <c r="E3" s="983"/>
      <c r="F3" s="984"/>
      <c r="G3" s="984"/>
      <c r="H3" s="984"/>
      <c r="I3" s="984"/>
      <c r="J3" s="984"/>
    </row>
    <row r="4" spans="1:11" ht="15.75" x14ac:dyDescent="0.25">
      <c r="A4" s="995" t="s">
        <v>179</v>
      </c>
      <c r="B4" s="996"/>
      <c r="C4" s="996"/>
      <c r="D4" s="996"/>
      <c r="E4" s="996"/>
      <c r="F4" s="996"/>
      <c r="G4" s="996"/>
      <c r="H4" s="996"/>
      <c r="I4" s="996"/>
      <c r="J4" s="996"/>
      <c r="K4" s="213"/>
    </row>
    <row r="5" spans="1:11" ht="15.75" x14ac:dyDescent="0.25">
      <c r="A5" s="995" t="s">
        <v>161</v>
      </c>
      <c r="B5" s="996"/>
      <c r="C5" s="996"/>
      <c r="D5" s="996"/>
      <c r="E5" s="996"/>
      <c r="F5" s="996"/>
      <c r="G5" s="996"/>
      <c r="H5" s="996"/>
      <c r="I5" s="996"/>
      <c r="J5" s="996"/>
      <c r="K5" s="213"/>
    </row>
    <row r="6" spans="1:11" ht="15.75" x14ac:dyDescent="0.25">
      <c r="A6" s="995" t="s">
        <v>162</v>
      </c>
      <c r="B6" s="996"/>
      <c r="C6" s="996"/>
      <c r="D6" s="996"/>
      <c r="E6" s="996"/>
      <c r="F6" s="996"/>
      <c r="G6" s="996"/>
      <c r="H6" s="996"/>
      <c r="I6" s="996"/>
      <c r="J6" s="996"/>
      <c r="K6" s="213"/>
    </row>
    <row r="8" spans="1:11" ht="35.25" customHeight="1" x14ac:dyDescent="0.2">
      <c r="A8" s="997" t="s">
        <v>163</v>
      </c>
      <c r="B8" s="996"/>
      <c r="C8" s="996"/>
      <c r="D8" s="996"/>
      <c r="E8" s="996"/>
      <c r="F8" s="996"/>
      <c r="G8" s="996"/>
      <c r="H8" s="996"/>
      <c r="I8" s="996"/>
      <c r="J8" s="996"/>
      <c r="K8" s="214"/>
    </row>
    <row r="10" spans="1:11" ht="45.75" customHeight="1" x14ac:dyDescent="0.2">
      <c r="A10" s="993" t="s">
        <v>164</v>
      </c>
      <c r="B10" s="996"/>
      <c r="C10" s="996"/>
      <c r="D10" s="996"/>
      <c r="E10" s="996"/>
      <c r="F10" s="996"/>
      <c r="G10" s="996"/>
      <c r="H10" s="996"/>
      <c r="I10" s="996"/>
      <c r="J10" s="996"/>
      <c r="K10" s="215"/>
    </row>
    <row r="12" spans="1:11" ht="15.75" x14ac:dyDescent="0.2">
      <c r="A12" s="993" t="s">
        <v>769</v>
      </c>
      <c r="B12" s="994"/>
      <c r="C12" s="994"/>
      <c r="D12" s="994"/>
      <c r="E12" s="994"/>
      <c r="F12" s="994"/>
      <c r="G12" s="994"/>
      <c r="H12" s="994"/>
      <c r="I12" s="994"/>
      <c r="J12" s="994"/>
      <c r="K12" s="215"/>
    </row>
    <row r="13" spans="1:11" ht="15.75" x14ac:dyDescent="0.2">
      <c r="A13" s="215"/>
      <c r="B13" s="198"/>
      <c r="C13" s="198"/>
      <c r="D13" s="198"/>
      <c r="E13" s="198"/>
      <c r="F13" s="198"/>
      <c r="G13" s="198"/>
      <c r="H13" s="198"/>
      <c r="I13" s="198"/>
      <c r="J13" s="198"/>
      <c r="K13" s="215"/>
    </row>
    <row r="14" spans="1:11" ht="15.75" x14ac:dyDescent="0.25">
      <c r="A14" s="216"/>
      <c r="B14" s="987" t="s">
        <v>165</v>
      </c>
      <c r="C14" s="987"/>
      <c r="D14" s="217" t="s">
        <v>166</v>
      </c>
      <c r="E14" s="218">
        <v>36</v>
      </c>
      <c r="F14" s="219" t="s">
        <v>167</v>
      </c>
      <c r="G14" s="219"/>
      <c r="H14" s="219"/>
      <c r="I14" s="219"/>
      <c r="J14" s="219"/>
      <c r="K14" s="219"/>
    </row>
    <row r="15" spans="1:11" ht="15.75" x14ac:dyDescent="0.25">
      <c r="A15" s="216"/>
      <c r="B15" s="987" t="s">
        <v>168</v>
      </c>
      <c r="C15" s="987"/>
      <c r="D15" s="217" t="s">
        <v>166</v>
      </c>
      <c r="E15" s="218">
        <v>11</v>
      </c>
      <c r="F15" s="219" t="s">
        <v>176</v>
      </c>
      <c r="G15" s="219"/>
      <c r="H15" s="219"/>
      <c r="I15" s="219"/>
      <c r="J15" s="219"/>
      <c r="K15" s="219"/>
    </row>
    <row r="16" spans="1:11" ht="15.75" x14ac:dyDescent="0.25">
      <c r="A16" s="216"/>
      <c r="B16" s="988" t="s">
        <v>177</v>
      </c>
      <c r="C16" s="988"/>
      <c r="D16" s="242" t="s">
        <v>166</v>
      </c>
      <c r="E16" s="241">
        <v>2</v>
      </c>
      <c r="F16" s="219" t="s">
        <v>178</v>
      </c>
      <c r="G16" s="219"/>
      <c r="H16" s="219"/>
      <c r="I16" s="219"/>
      <c r="J16" s="219"/>
      <c r="K16" s="219"/>
    </row>
    <row r="17" spans="1:11" ht="15.75" x14ac:dyDescent="0.25">
      <c r="A17" s="216"/>
      <c r="B17" s="220"/>
      <c r="C17" s="220"/>
      <c r="D17" s="217"/>
      <c r="E17" s="218"/>
      <c r="F17" s="219"/>
      <c r="G17" s="219"/>
      <c r="H17" s="219"/>
      <c r="I17" s="219"/>
      <c r="J17" s="219"/>
      <c r="K17" s="219"/>
    </row>
    <row r="18" spans="1:11" s="221" customFormat="1" ht="15.75" x14ac:dyDescent="0.25">
      <c r="B18" s="989" t="s">
        <v>180</v>
      </c>
      <c r="C18" s="990"/>
      <c r="D18" s="990"/>
      <c r="E18" s="990"/>
      <c r="F18" s="990"/>
      <c r="G18" s="990"/>
      <c r="H18" s="990"/>
      <c r="I18" s="990"/>
    </row>
    <row r="19" spans="1:11" s="221" customFormat="1" ht="15.75" x14ac:dyDescent="0.25">
      <c r="B19" s="222"/>
      <c r="C19" s="222"/>
      <c r="D19" s="222"/>
      <c r="E19" s="223"/>
      <c r="F19" s="222"/>
      <c r="G19" s="222"/>
    </row>
    <row r="20" spans="1:11" s="221" customFormat="1" ht="15.75" x14ac:dyDescent="0.25">
      <c r="E20" s="199"/>
    </row>
    <row r="21" spans="1:11" s="221" customFormat="1" ht="15.75" x14ac:dyDescent="0.25">
      <c r="E21" s="199"/>
    </row>
    <row r="22" spans="1:11" s="221" customFormat="1" ht="15.75" x14ac:dyDescent="0.25">
      <c r="E22" s="199"/>
    </row>
    <row r="23" spans="1:11" s="221" customFormat="1" ht="15.75" x14ac:dyDescent="0.25">
      <c r="E23" s="199"/>
    </row>
    <row r="24" spans="1:11" s="221" customFormat="1" ht="15.75" x14ac:dyDescent="0.25">
      <c r="E24" s="199"/>
    </row>
    <row r="25" spans="1:11" s="221" customFormat="1" ht="15.75" x14ac:dyDescent="0.25">
      <c r="E25" s="199"/>
    </row>
    <row r="26" spans="1:11" s="221" customFormat="1" ht="15.75" x14ac:dyDescent="0.25">
      <c r="E26" s="199"/>
    </row>
    <row r="27" spans="1:11" s="221" customFormat="1" ht="15.75" x14ac:dyDescent="0.25">
      <c r="E27" s="199"/>
    </row>
    <row r="28" spans="1:11" s="221" customFormat="1" ht="15.75" x14ac:dyDescent="0.25">
      <c r="E28" s="199"/>
    </row>
    <row r="29" spans="1:11" s="221" customFormat="1" ht="15.75" x14ac:dyDescent="0.25">
      <c r="E29" s="199"/>
    </row>
    <row r="30" spans="1:11" s="221" customFormat="1" ht="15.75" x14ac:dyDescent="0.25">
      <c r="E30" s="199"/>
    </row>
    <row r="31" spans="1:11" s="221" customFormat="1" ht="15.75" x14ac:dyDescent="0.25">
      <c r="E31" s="199"/>
    </row>
    <row r="32" spans="1:11" s="221" customFormat="1" ht="15.75" x14ac:dyDescent="0.25">
      <c r="E32" s="199"/>
    </row>
    <row r="33" spans="1:11" s="221" customFormat="1" ht="15.75" x14ac:dyDescent="0.25">
      <c r="E33" s="199"/>
    </row>
    <row r="35" spans="1:11" ht="35.25" customHeight="1" x14ac:dyDescent="0.2">
      <c r="A35" s="991" t="s">
        <v>169</v>
      </c>
      <c r="B35" s="986"/>
      <c r="C35" s="986"/>
      <c r="D35" s="986"/>
      <c r="E35" s="986"/>
      <c r="F35" s="986"/>
      <c r="G35" s="986"/>
      <c r="H35" s="986"/>
      <c r="I35" s="986"/>
      <c r="J35" s="986"/>
      <c r="K35" s="224"/>
    </row>
    <row r="36" spans="1:11" ht="32.25" customHeight="1" x14ac:dyDescent="0.2">
      <c r="A36" s="985" t="s">
        <v>170</v>
      </c>
      <c r="B36" s="986"/>
      <c r="C36" s="986"/>
      <c r="D36" s="986"/>
      <c r="E36" s="986"/>
      <c r="F36" s="986"/>
      <c r="G36" s="986"/>
      <c r="H36" s="986"/>
      <c r="I36" s="986"/>
      <c r="J36" s="986"/>
      <c r="K36" s="225"/>
    </row>
    <row r="37" spans="1:11" ht="30" customHeight="1" x14ac:dyDescent="0.2">
      <c r="A37" s="985" t="s">
        <v>171</v>
      </c>
      <c r="B37" s="986"/>
      <c r="C37" s="986"/>
      <c r="D37" s="986"/>
      <c r="E37" s="986"/>
      <c r="F37" s="986"/>
      <c r="G37" s="986"/>
      <c r="H37" s="986"/>
      <c r="I37" s="986"/>
      <c r="J37" s="986"/>
      <c r="K37" s="225"/>
    </row>
    <row r="38" spans="1:11" ht="36" customHeight="1" x14ac:dyDescent="0.2">
      <c r="A38" s="985" t="s">
        <v>172</v>
      </c>
      <c r="B38" s="986"/>
      <c r="C38" s="986"/>
      <c r="D38" s="986"/>
      <c r="E38" s="986"/>
      <c r="F38" s="986"/>
      <c r="G38" s="986"/>
      <c r="H38" s="986"/>
      <c r="I38" s="986"/>
      <c r="J38" s="986"/>
      <c r="K38" s="225"/>
    </row>
  </sheetData>
  <mergeCells count="16">
    <mergeCell ref="G1:J1"/>
    <mergeCell ref="G2:J2"/>
    <mergeCell ref="A12:J12"/>
    <mergeCell ref="A4:J4"/>
    <mergeCell ref="A5:J5"/>
    <mergeCell ref="A6:J6"/>
    <mergeCell ref="A8:J8"/>
    <mergeCell ref="A10:J10"/>
    <mergeCell ref="A37:J37"/>
    <mergeCell ref="A38:J38"/>
    <mergeCell ref="B14:C14"/>
    <mergeCell ref="B15:C15"/>
    <mergeCell ref="B16:C16"/>
    <mergeCell ref="B18:I18"/>
    <mergeCell ref="A35:J35"/>
    <mergeCell ref="A36:J36"/>
  </mergeCells>
  <pageMargins left="1.1811023622047245" right="0.19685039370078741" top="0.3937007874015748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29"/>
  <sheetViews>
    <sheetView tabSelected="1" zoomScaleNormal="100" zoomScaleSheetLayoutView="100" workbookViewId="0">
      <selection activeCell="R11" sqref="R10:R11"/>
    </sheetView>
  </sheetViews>
  <sheetFormatPr defaultColWidth="9.140625" defaultRowHeight="12.75" x14ac:dyDescent="0.2"/>
  <cols>
    <col min="1" max="3" width="2.7109375" style="4" customWidth="1"/>
    <col min="4" max="4" width="32" style="4" customWidth="1"/>
    <col min="5" max="5" width="3.28515625" style="11" customWidth="1"/>
    <col min="6" max="6" width="3.28515625" style="14" customWidth="1"/>
    <col min="7" max="7" width="8.28515625" style="15" customWidth="1"/>
    <col min="8" max="10" width="9.85546875" style="4" customWidth="1"/>
    <col min="11" max="11" width="35.42578125" style="4" customWidth="1"/>
    <col min="12" max="13" width="4.5703125" style="4" customWidth="1"/>
    <col min="14" max="14" width="38.42578125" style="4" customWidth="1"/>
    <col min="15" max="15" width="36.28515625" style="4" customWidth="1"/>
    <col min="16" max="16384" width="9.140625" style="3"/>
  </cols>
  <sheetData>
    <row r="1" spans="1:15" s="122" customFormat="1" ht="15.75" customHeight="1" x14ac:dyDescent="0.2">
      <c r="A1" s="1041" t="s">
        <v>159</v>
      </c>
      <c r="B1" s="1041"/>
      <c r="C1" s="1041"/>
      <c r="D1" s="1041"/>
      <c r="E1" s="1041"/>
      <c r="F1" s="1041"/>
      <c r="G1" s="1041"/>
      <c r="H1" s="1041"/>
      <c r="I1" s="1041"/>
      <c r="J1" s="1041"/>
      <c r="K1" s="1041"/>
      <c r="L1" s="1041"/>
      <c r="M1" s="1041"/>
      <c r="N1" s="1041"/>
      <c r="O1" s="1041"/>
    </row>
    <row r="2" spans="1:15" ht="15.75" x14ac:dyDescent="0.2">
      <c r="A2" s="1042" t="s">
        <v>160</v>
      </c>
      <c r="B2" s="1042"/>
      <c r="C2" s="1042"/>
      <c r="D2" s="1042"/>
      <c r="E2" s="1042"/>
      <c r="F2" s="1042"/>
      <c r="G2" s="1042"/>
      <c r="H2" s="1042"/>
      <c r="I2" s="1042"/>
      <c r="J2" s="1042"/>
      <c r="K2" s="1042"/>
      <c r="L2" s="1042"/>
      <c r="M2" s="1042"/>
      <c r="N2" s="1042"/>
      <c r="O2" s="1042"/>
    </row>
    <row r="3" spans="1:15" s="122" customFormat="1" ht="13.5" thickBot="1" x14ac:dyDescent="0.25">
      <c r="A3" s="12"/>
      <c r="B3" s="12"/>
      <c r="C3" s="12"/>
      <c r="D3" s="12"/>
      <c r="E3" s="211"/>
      <c r="F3" s="12"/>
      <c r="G3" s="130"/>
      <c r="H3" s="12"/>
      <c r="I3" s="12"/>
      <c r="J3" s="12"/>
      <c r="K3" s="12"/>
      <c r="L3" s="1043"/>
      <c r="M3" s="1043"/>
      <c r="N3" s="1043"/>
      <c r="O3" s="1043"/>
    </row>
    <row r="4" spans="1:15" s="122" customFormat="1" ht="30" customHeight="1" x14ac:dyDescent="0.2">
      <c r="A4" s="1044" t="s">
        <v>15</v>
      </c>
      <c r="B4" s="1047" t="s">
        <v>0</v>
      </c>
      <c r="C4" s="826"/>
      <c r="D4" s="1050" t="s">
        <v>10</v>
      </c>
      <c r="E4" s="1083" t="s">
        <v>1</v>
      </c>
      <c r="F4" s="1086" t="s">
        <v>2</v>
      </c>
      <c r="G4" s="1089" t="s">
        <v>3</v>
      </c>
      <c r="H4" s="1092" t="s">
        <v>831</v>
      </c>
      <c r="I4" s="1402"/>
      <c r="J4" s="1403"/>
      <c r="K4" s="1093" t="s">
        <v>154</v>
      </c>
      <c r="L4" s="1094"/>
      <c r="M4" s="1094"/>
      <c r="N4" s="1095" t="s">
        <v>155</v>
      </c>
      <c r="O4" s="1098" t="s">
        <v>156</v>
      </c>
    </row>
    <row r="5" spans="1:15" s="122" customFormat="1" ht="33.75" customHeight="1" x14ac:dyDescent="0.2">
      <c r="A5" s="1045"/>
      <c r="B5" s="1048"/>
      <c r="C5" s="827"/>
      <c r="D5" s="1051"/>
      <c r="E5" s="1084"/>
      <c r="F5" s="1087"/>
      <c r="G5" s="1090"/>
      <c r="H5" s="1101" t="s">
        <v>253</v>
      </c>
      <c r="I5" s="1101" t="s">
        <v>738</v>
      </c>
      <c r="J5" s="1103" t="s">
        <v>254</v>
      </c>
      <c r="K5" s="1105" t="s">
        <v>157</v>
      </c>
      <c r="L5" s="1053" t="s">
        <v>739</v>
      </c>
      <c r="M5" s="1053" t="s">
        <v>158</v>
      </c>
      <c r="N5" s="1096"/>
      <c r="O5" s="1099"/>
    </row>
    <row r="6" spans="1:15" s="122" customFormat="1" ht="48" customHeight="1" thickBot="1" x14ac:dyDescent="0.25">
      <c r="A6" s="1046"/>
      <c r="B6" s="1049"/>
      <c r="C6" s="828"/>
      <c r="D6" s="1052"/>
      <c r="E6" s="1085"/>
      <c r="F6" s="1088"/>
      <c r="G6" s="1091"/>
      <c r="H6" s="1102"/>
      <c r="I6" s="1102"/>
      <c r="J6" s="1104"/>
      <c r="K6" s="1106"/>
      <c r="L6" s="1054"/>
      <c r="M6" s="1054"/>
      <c r="N6" s="1097"/>
      <c r="O6" s="1100"/>
    </row>
    <row r="7" spans="1:15" s="10" customFormat="1" ht="15" customHeight="1" x14ac:dyDescent="0.2">
      <c r="A7" s="1074" t="s">
        <v>55</v>
      </c>
      <c r="B7" s="1075"/>
      <c r="C7" s="1075"/>
      <c r="D7" s="1075"/>
      <c r="E7" s="1075"/>
      <c r="F7" s="1075"/>
      <c r="G7" s="1075"/>
      <c r="H7" s="1075"/>
      <c r="I7" s="1075"/>
      <c r="J7" s="1075"/>
      <c r="K7" s="1075"/>
      <c r="L7" s="1075"/>
      <c r="M7" s="1075"/>
      <c r="N7" s="1075"/>
      <c r="O7" s="1076"/>
    </row>
    <row r="8" spans="1:15" s="10" customFormat="1" ht="16.5" customHeight="1" x14ac:dyDescent="0.2">
      <c r="A8" s="1077" t="s">
        <v>41</v>
      </c>
      <c r="B8" s="1078"/>
      <c r="C8" s="1078"/>
      <c r="D8" s="1078"/>
      <c r="E8" s="1078"/>
      <c r="F8" s="1078"/>
      <c r="G8" s="1078"/>
      <c r="H8" s="1078"/>
      <c r="I8" s="1078"/>
      <c r="J8" s="1078"/>
      <c r="K8" s="1078"/>
      <c r="L8" s="1078"/>
      <c r="M8" s="1078"/>
      <c r="N8" s="1078"/>
      <c r="O8" s="1079"/>
    </row>
    <row r="9" spans="1:15" s="207" customFormat="1" ht="34.5" customHeight="1" x14ac:dyDescent="0.2">
      <c r="A9" s="949" t="s">
        <v>4</v>
      </c>
      <c r="B9" s="1080" t="s">
        <v>56</v>
      </c>
      <c r="C9" s="1081"/>
      <c r="D9" s="1082"/>
      <c r="E9" s="1082"/>
      <c r="F9" s="1082"/>
      <c r="G9" s="1082"/>
      <c r="H9" s="1067" t="s">
        <v>175</v>
      </c>
      <c r="I9" s="1068"/>
      <c r="J9" s="1069"/>
      <c r="K9" s="205" t="s">
        <v>151</v>
      </c>
      <c r="L9" s="206">
        <v>2</v>
      </c>
      <c r="M9" s="206">
        <v>1</v>
      </c>
      <c r="N9" s="1006" t="s">
        <v>770</v>
      </c>
      <c r="O9" s="1007"/>
    </row>
    <row r="10" spans="1:15" s="207" customFormat="1" ht="28.5" customHeight="1" x14ac:dyDescent="0.2">
      <c r="A10" s="949"/>
      <c r="B10" s="1064"/>
      <c r="C10" s="1065"/>
      <c r="D10" s="1066"/>
      <c r="E10" s="1066"/>
      <c r="F10" s="1066"/>
      <c r="G10" s="1066"/>
      <c r="H10" s="1067" t="s">
        <v>175</v>
      </c>
      <c r="I10" s="1068"/>
      <c r="J10" s="1069"/>
      <c r="K10" s="973" t="s">
        <v>802</v>
      </c>
      <c r="L10" s="206">
        <v>2</v>
      </c>
      <c r="M10" s="206">
        <v>2</v>
      </c>
      <c r="N10" s="1070"/>
      <c r="O10" s="1007"/>
    </row>
    <row r="11" spans="1:15" s="207" customFormat="1" ht="39.75" customHeight="1" x14ac:dyDescent="0.2">
      <c r="A11" s="949"/>
      <c r="B11" s="208"/>
      <c r="C11" s="436"/>
      <c r="D11" s="209"/>
      <c r="E11" s="209"/>
      <c r="F11" s="209"/>
      <c r="G11" s="209"/>
      <c r="H11" s="1071" t="s">
        <v>175</v>
      </c>
      <c r="I11" s="1072"/>
      <c r="J11" s="1073"/>
      <c r="K11" s="973" t="s">
        <v>784</v>
      </c>
      <c r="L11" s="206">
        <v>556</v>
      </c>
      <c r="M11" s="206">
        <v>540</v>
      </c>
      <c r="N11" s="1006"/>
      <c r="O11" s="1007"/>
    </row>
    <row r="12" spans="1:15" s="207" customFormat="1" ht="40.5" customHeight="1" x14ac:dyDescent="0.2">
      <c r="A12" s="949"/>
      <c r="B12" s="208"/>
      <c r="C12" s="436"/>
      <c r="D12" s="209"/>
      <c r="E12" s="209"/>
      <c r="F12" s="209"/>
      <c r="G12" s="209"/>
      <c r="H12" s="1008" t="s">
        <v>174</v>
      </c>
      <c r="I12" s="1009"/>
      <c r="J12" s="1010"/>
      <c r="K12" s="235" t="s">
        <v>153</v>
      </c>
      <c r="L12" s="206">
        <v>105</v>
      </c>
      <c r="M12" s="206">
        <v>100</v>
      </c>
      <c r="N12" s="1006"/>
      <c r="O12" s="1007"/>
    </row>
    <row r="13" spans="1:15" ht="15.75" customHeight="1" x14ac:dyDescent="0.2">
      <c r="A13" s="27" t="s">
        <v>4</v>
      </c>
      <c r="B13" s="28" t="s">
        <v>4</v>
      </c>
      <c r="C13" s="1205" t="s">
        <v>37</v>
      </c>
      <c r="D13" s="1206"/>
      <c r="E13" s="1206"/>
      <c r="F13" s="1206"/>
      <c r="G13" s="1206"/>
      <c r="H13" s="1206"/>
      <c r="I13" s="1206"/>
      <c r="J13" s="1206"/>
      <c r="K13" s="1206"/>
      <c r="L13" s="1206"/>
      <c r="M13" s="1206"/>
      <c r="N13" s="1206"/>
      <c r="O13" s="1207"/>
    </row>
    <row r="14" spans="1:15" ht="39" customHeight="1" x14ac:dyDescent="0.2">
      <c r="A14" s="949" t="s">
        <v>4</v>
      </c>
      <c r="B14" s="950" t="s">
        <v>4</v>
      </c>
      <c r="C14" s="967" t="s">
        <v>4</v>
      </c>
      <c r="D14" s="358" t="s">
        <v>77</v>
      </c>
      <c r="E14" s="359" t="s">
        <v>181</v>
      </c>
      <c r="F14" s="256" t="s">
        <v>23</v>
      </c>
      <c r="G14" s="360"/>
      <c r="H14" s="128"/>
      <c r="I14" s="128"/>
      <c r="J14" s="128"/>
      <c r="K14" s="135"/>
      <c r="L14" s="77"/>
      <c r="M14" s="77"/>
      <c r="N14" s="77"/>
      <c r="O14" s="255"/>
    </row>
    <row r="15" spans="1:15" ht="16.5" customHeight="1" x14ac:dyDescent="0.2">
      <c r="A15" s="949"/>
      <c r="B15" s="950"/>
      <c r="C15" s="951" t="s">
        <v>4</v>
      </c>
      <c r="D15" s="1192" t="s">
        <v>87</v>
      </c>
      <c r="E15" s="963"/>
      <c r="F15" s="931"/>
      <c r="G15" s="38" t="s">
        <v>21</v>
      </c>
      <c r="H15" s="56">
        <v>140.1</v>
      </c>
      <c r="I15" s="56">
        <v>141.30000000000001</v>
      </c>
      <c r="J15" s="56">
        <v>141.30000000000001</v>
      </c>
      <c r="K15" s="33" t="s">
        <v>182</v>
      </c>
      <c r="L15" s="361">
        <v>3.9</v>
      </c>
      <c r="M15" s="362">
        <v>3.9</v>
      </c>
      <c r="N15" s="74"/>
      <c r="O15" s="802"/>
    </row>
    <row r="16" spans="1:15" ht="16.5" customHeight="1" x14ac:dyDescent="0.2">
      <c r="A16" s="949"/>
      <c r="B16" s="950"/>
      <c r="C16" s="952"/>
      <c r="D16" s="1175"/>
      <c r="E16" s="963"/>
      <c r="F16" s="931"/>
      <c r="G16" s="18"/>
      <c r="H16" s="128"/>
      <c r="I16" s="128"/>
      <c r="J16" s="128"/>
      <c r="K16" s="363" t="s">
        <v>183</v>
      </c>
      <c r="L16" s="364">
        <v>341</v>
      </c>
      <c r="M16" s="365">
        <v>323</v>
      </c>
      <c r="N16" s="1222" t="s">
        <v>804</v>
      </c>
      <c r="O16" s="259"/>
    </row>
    <row r="17" spans="1:15" ht="51" customHeight="1" x14ac:dyDescent="0.2">
      <c r="A17" s="949"/>
      <c r="B17" s="950"/>
      <c r="C17" s="952"/>
      <c r="D17" s="1194"/>
      <c r="E17" s="963"/>
      <c r="F17" s="931"/>
      <c r="G17" s="257"/>
      <c r="H17" s="128"/>
      <c r="I17" s="128"/>
      <c r="J17" s="128"/>
      <c r="K17" s="366"/>
      <c r="L17" s="258"/>
      <c r="M17" s="367"/>
      <c r="N17" s="1223"/>
      <c r="O17" s="368"/>
    </row>
    <row r="18" spans="1:15" ht="45.75" customHeight="1" x14ac:dyDescent="0.2">
      <c r="A18" s="1061"/>
      <c r="B18" s="1003"/>
      <c r="C18" s="1187" t="s">
        <v>6</v>
      </c>
      <c r="D18" s="1192" t="s">
        <v>26</v>
      </c>
      <c r="E18" s="1208" t="s">
        <v>80</v>
      </c>
      <c r="F18" s="1022"/>
      <c r="G18" s="236" t="s">
        <v>21</v>
      </c>
      <c r="H18" s="56">
        <f>15.6+15+10.7</f>
        <v>41.3</v>
      </c>
      <c r="I18" s="56">
        <v>42.1</v>
      </c>
      <c r="J18" s="56">
        <v>29.3</v>
      </c>
      <c r="K18" s="936" t="s">
        <v>28</v>
      </c>
      <c r="L18" s="25">
        <v>4</v>
      </c>
      <c r="M18" s="188">
        <v>4</v>
      </c>
      <c r="N18" s="955" t="s">
        <v>803</v>
      </c>
      <c r="O18" s="252"/>
    </row>
    <row r="19" spans="1:15" ht="16.5" customHeight="1" x14ac:dyDescent="0.2">
      <c r="A19" s="1061"/>
      <c r="B19" s="1003"/>
      <c r="C19" s="1188"/>
      <c r="D19" s="1175"/>
      <c r="E19" s="1209"/>
      <c r="F19" s="1022"/>
      <c r="G19" s="978"/>
      <c r="H19" s="128"/>
      <c r="I19" s="128"/>
      <c r="J19" s="128"/>
      <c r="K19" s="244" t="s">
        <v>67</v>
      </c>
      <c r="L19" s="369">
        <v>3</v>
      </c>
      <c r="M19" s="262">
        <v>3</v>
      </c>
      <c r="N19" s="179"/>
      <c r="O19" s="260"/>
    </row>
    <row r="20" spans="1:15" ht="27" customHeight="1" x14ac:dyDescent="0.2">
      <c r="A20" s="1061"/>
      <c r="B20" s="1003"/>
      <c r="C20" s="1188"/>
      <c r="D20" s="1175"/>
      <c r="E20" s="1209"/>
      <c r="F20" s="1022"/>
      <c r="G20" s="305"/>
      <c r="H20" s="306"/>
      <c r="I20" s="306"/>
      <c r="J20" s="306"/>
      <c r="K20" s="783" t="s">
        <v>184</v>
      </c>
      <c r="L20" s="784">
        <v>1</v>
      </c>
      <c r="M20" s="785">
        <v>0</v>
      </c>
      <c r="N20" s="881" t="s">
        <v>783</v>
      </c>
      <c r="O20" s="829" t="s">
        <v>754</v>
      </c>
    </row>
    <row r="21" spans="1:15" ht="16.5" customHeight="1" x14ac:dyDescent="0.2">
      <c r="A21" s="1061"/>
      <c r="B21" s="1003"/>
      <c r="C21" s="1188"/>
      <c r="D21" s="1175"/>
      <c r="E21" s="1209"/>
      <c r="F21" s="1022"/>
      <c r="G21" s="978" t="s">
        <v>53</v>
      </c>
      <c r="H21" s="128">
        <v>39.5</v>
      </c>
      <c r="I21" s="128">
        <v>39.5</v>
      </c>
      <c r="J21" s="128">
        <v>39.5</v>
      </c>
      <c r="K21" s="999" t="s">
        <v>237</v>
      </c>
      <c r="L21" s="71">
        <v>100</v>
      </c>
      <c r="M21" s="71">
        <v>100</v>
      </c>
      <c r="N21" s="243"/>
      <c r="O21" s="260"/>
    </row>
    <row r="22" spans="1:15" ht="28.5" customHeight="1" x14ac:dyDescent="0.2">
      <c r="A22" s="1061"/>
      <c r="B22" s="1003"/>
      <c r="C22" s="1188"/>
      <c r="D22" s="1189"/>
      <c r="E22" s="1210"/>
      <c r="F22" s="1022"/>
      <c r="G22" s="140"/>
      <c r="H22" s="57"/>
      <c r="I22" s="57"/>
      <c r="J22" s="57"/>
      <c r="K22" s="1000"/>
      <c r="L22" s="72"/>
      <c r="M22" s="72"/>
      <c r="N22" s="238"/>
      <c r="O22" s="261"/>
    </row>
    <row r="23" spans="1:15" ht="12.75" customHeight="1" x14ac:dyDescent="0.2">
      <c r="A23" s="949"/>
      <c r="B23" s="950"/>
      <c r="C23" s="951" t="s">
        <v>22</v>
      </c>
      <c r="D23" s="1192" t="s">
        <v>27</v>
      </c>
      <c r="E23" s="1228"/>
      <c r="F23" s="931"/>
      <c r="G23" s="978" t="s">
        <v>21</v>
      </c>
      <c r="H23" s="128">
        <f>252-127.1</f>
        <v>124.9</v>
      </c>
      <c r="I23" s="128">
        <v>122.9</v>
      </c>
      <c r="J23" s="128">
        <v>122.9</v>
      </c>
      <c r="K23" s="796" t="s">
        <v>130</v>
      </c>
      <c r="L23" s="25"/>
      <c r="M23" s="797"/>
      <c r="N23" s="797"/>
      <c r="O23" s="263"/>
    </row>
    <row r="24" spans="1:15" ht="26.25" customHeight="1" x14ac:dyDescent="0.2">
      <c r="A24" s="949"/>
      <c r="B24" s="950"/>
      <c r="C24" s="952"/>
      <c r="D24" s="1221"/>
      <c r="E24" s="1229"/>
      <c r="F24" s="931"/>
      <c r="G24" s="978" t="s">
        <v>53</v>
      </c>
      <c r="H24" s="128">
        <f>85.8+14.1</f>
        <v>99.9</v>
      </c>
      <c r="I24" s="128">
        <f>85.8+14.1</f>
        <v>99.9</v>
      </c>
      <c r="J24" s="128">
        <v>99.8</v>
      </c>
      <c r="K24" s="798" t="s">
        <v>131</v>
      </c>
      <c r="L24" s="179">
        <v>87</v>
      </c>
      <c r="M24" s="264">
        <v>5</v>
      </c>
      <c r="N24" s="930" t="s">
        <v>771</v>
      </c>
      <c r="O24" s="260"/>
    </row>
    <row r="25" spans="1:15" ht="25.5" customHeight="1" x14ac:dyDescent="0.2">
      <c r="A25" s="949"/>
      <c r="B25" s="950"/>
      <c r="C25" s="952"/>
      <c r="D25" s="1221"/>
      <c r="E25" s="1229"/>
      <c r="F25" s="931"/>
      <c r="G25" s="978"/>
      <c r="H25" s="128"/>
      <c r="I25" s="128"/>
      <c r="J25" s="128"/>
      <c r="K25" s="798" t="s">
        <v>113</v>
      </c>
      <c r="L25" s="179">
        <v>63</v>
      </c>
      <c r="M25" s="264">
        <v>16</v>
      </c>
      <c r="N25" s="264"/>
      <c r="O25" s="260"/>
    </row>
    <row r="26" spans="1:15" ht="15" customHeight="1" x14ac:dyDescent="0.2">
      <c r="A26" s="949"/>
      <c r="B26" s="950"/>
      <c r="C26" s="952"/>
      <c r="D26" s="1221"/>
      <c r="E26" s="1229"/>
      <c r="F26" s="931"/>
      <c r="G26" s="978"/>
      <c r="H26" s="128"/>
      <c r="I26" s="128"/>
      <c r="J26" s="128"/>
      <c r="K26" s="371" t="s">
        <v>132</v>
      </c>
      <c r="L26" s="121"/>
      <c r="M26" s="190"/>
      <c r="N26" s="190"/>
      <c r="O26" s="267"/>
    </row>
    <row r="27" spans="1:15" ht="13.5" customHeight="1" x14ac:dyDescent="0.2">
      <c r="A27" s="949"/>
      <c r="B27" s="950"/>
      <c r="C27" s="952"/>
      <c r="D27" s="97"/>
      <c r="E27" s="1229"/>
      <c r="F27" s="931"/>
      <c r="G27" s="978"/>
      <c r="H27" s="128"/>
      <c r="I27" s="128"/>
      <c r="J27" s="128"/>
      <c r="K27" s="962" t="s">
        <v>85</v>
      </c>
      <c r="L27" s="243">
        <v>10</v>
      </c>
      <c r="M27" s="71">
        <v>18</v>
      </c>
      <c r="N27" s="795" t="s">
        <v>772</v>
      </c>
      <c r="O27" s="260"/>
    </row>
    <row r="28" spans="1:15" ht="13.5" customHeight="1" x14ac:dyDescent="0.2">
      <c r="A28" s="949"/>
      <c r="B28" s="950"/>
      <c r="C28" s="952"/>
      <c r="D28" s="97"/>
      <c r="E28" s="1229"/>
      <c r="F28" s="931"/>
      <c r="G28" s="978"/>
      <c r="H28" s="128"/>
      <c r="I28" s="128"/>
      <c r="J28" s="128"/>
      <c r="K28" s="320" t="s">
        <v>29</v>
      </c>
      <c r="L28" s="799" t="s">
        <v>185</v>
      </c>
      <c r="M28" s="788" t="s">
        <v>756</v>
      </c>
      <c r="N28" s="799"/>
      <c r="O28" s="267"/>
    </row>
    <row r="29" spans="1:15" ht="13.5" customHeight="1" x14ac:dyDescent="0.2">
      <c r="A29" s="949"/>
      <c r="B29" s="950"/>
      <c r="C29" s="952"/>
      <c r="D29" s="97"/>
      <c r="E29" s="1229"/>
      <c r="F29" s="931"/>
      <c r="G29" s="978"/>
      <c r="H29" s="128"/>
      <c r="I29" s="128"/>
      <c r="J29" s="128"/>
      <c r="K29" s="320" t="s">
        <v>66</v>
      </c>
      <c r="L29" s="799" t="s">
        <v>186</v>
      </c>
      <c r="M29" s="788" t="s">
        <v>758</v>
      </c>
      <c r="N29" s="799"/>
      <c r="O29" s="267"/>
    </row>
    <row r="30" spans="1:15" ht="13.5" customHeight="1" x14ac:dyDescent="0.2">
      <c r="A30" s="949"/>
      <c r="B30" s="950"/>
      <c r="C30" s="952"/>
      <c r="D30" s="97"/>
      <c r="E30" s="1229"/>
      <c r="F30" s="931"/>
      <c r="G30" s="978"/>
      <c r="H30" s="128"/>
      <c r="I30" s="128"/>
      <c r="J30" s="128"/>
      <c r="K30" s="800" t="s">
        <v>188</v>
      </c>
      <c r="L30" s="799" t="s">
        <v>189</v>
      </c>
      <c r="M30" s="788" t="s">
        <v>755</v>
      </c>
      <c r="N30" s="801" t="s">
        <v>773</v>
      </c>
      <c r="O30" s="267"/>
    </row>
    <row r="31" spans="1:15" ht="13.5" customHeight="1" x14ac:dyDescent="0.2">
      <c r="A31" s="949"/>
      <c r="B31" s="950"/>
      <c r="C31" s="952"/>
      <c r="D31" s="97"/>
      <c r="E31" s="1229"/>
      <c r="F31" s="931"/>
      <c r="G31" s="978"/>
      <c r="H31" s="128"/>
      <c r="I31" s="128"/>
      <c r="J31" s="128"/>
      <c r="K31" s="320" t="s">
        <v>190</v>
      </c>
      <c r="L31" s="799" t="s">
        <v>191</v>
      </c>
      <c r="M31" s="788" t="s">
        <v>185</v>
      </c>
      <c r="N31" s="799"/>
      <c r="O31" s="267"/>
    </row>
    <row r="32" spans="1:15" ht="13.5" customHeight="1" x14ac:dyDescent="0.2">
      <c r="A32" s="949"/>
      <c r="B32" s="950"/>
      <c r="C32" s="952"/>
      <c r="D32" s="97"/>
      <c r="E32" s="1229"/>
      <c r="F32" s="931"/>
      <c r="G32" s="978"/>
      <c r="H32" s="128"/>
      <c r="I32" s="128"/>
      <c r="J32" s="128"/>
      <c r="K32" s="152" t="s">
        <v>192</v>
      </c>
      <c r="L32" s="972" t="s">
        <v>45</v>
      </c>
      <c r="M32" s="126" t="s">
        <v>45</v>
      </c>
      <c r="N32" s="786"/>
      <c r="O32" s="267"/>
    </row>
    <row r="33" spans="1:17" ht="14.25" customHeight="1" x14ac:dyDescent="0.2">
      <c r="A33" s="949"/>
      <c r="B33" s="950"/>
      <c r="C33" s="952"/>
      <c r="D33" s="97"/>
      <c r="E33" s="1229"/>
      <c r="F33" s="931"/>
      <c r="G33" s="978"/>
      <c r="H33" s="128"/>
      <c r="I33" s="128"/>
      <c r="J33" s="128"/>
      <c r="K33" s="316" t="s">
        <v>133</v>
      </c>
      <c r="L33" s="121"/>
      <c r="M33" s="190"/>
      <c r="N33" s="190"/>
      <c r="O33" s="267"/>
    </row>
    <row r="34" spans="1:17" ht="13.5" customHeight="1" x14ac:dyDescent="0.2">
      <c r="A34" s="949"/>
      <c r="B34" s="950"/>
      <c r="C34" s="952"/>
      <c r="D34" s="97"/>
      <c r="E34" s="1229"/>
      <c r="F34" s="931"/>
      <c r="G34" s="978"/>
      <c r="H34" s="128"/>
      <c r="I34" s="128"/>
      <c r="J34" s="128"/>
      <c r="K34" s="980" t="s">
        <v>805</v>
      </c>
      <c r="L34" s="283">
        <v>11</v>
      </c>
      <c r="M34" s="163">
        <v>1</v>
      </c>
      <c r="N34" s="790" t="s">
        <v>759</v>
      </c>
      <c r="O34" s="269"/>
    </row>
    <row r="35" spans="1:17" ht="137.25" customHeight="1" x14ac:dyDescent="0.2">
      <c r="A35" s="949"/>
      <c r="B35" s="950"/>
      <c r="C35" s="952"/>
      <c r="D35" s="97"/>
      <c r="E35" s="1229"/>
      <c r="F35" s="931"/>
      <c r="G35" s="978"/>
      <c r="H35" s="128"/>
      <c r="I35" s="128"/>
      <c r="J35" s="128"/>
      <c r="K35" s="30" t="s">
        <v>806</v>
      </c>
      <c r="L35" s="787" t="s">
        <v>100</v>
      </c>
      <c r="M35" s="788" t="s">
        <v>757</v>
      </c>
      <c r="N35" s="789" t="s">
        <v>807</v>
      </c>
      <c r="O35" s="270"/>
    </row>
    <row r="36" spans="1:17" ht="73.5" customHeight="1" x14ac:dyDescent="0.2">
      <c r="A36" s="949"/>
      <c r="B36" s="950"/>
      <c r="C36" s="952"/>
      <c r="D36" s="97"/>
      <c r="E36" s="1229"/>
      <c r="F36" s="931"/>
      <c r="G36" s="978"/>
      <c r="H36" s="128"/>
      <c r="I36" s="128"/>
      <c r="J36" s="128"/>
      <c r="K36" s="791" t="s">
        <v>193</v>
      </c>
      <c r="L36" s="792">
        <v>1</v>
      </c>
      <c r="M36" s="793" t="s">
        <v>755</v>
      </c>
      <c r="N36" s="794" t="s">
        <v>774</v>
      </c>
      <c r="O36" s="830" t="s">
        <v>808</v>
      </c>
    </row>
    <row r="37" spans="1:17" ht="30" customHeight="1" x14ac:dyDescent="0.2">
      <c r="A37" s="949"/>
      <c r="B37" s="950"/>
      <c r="C37" s="952"/>
      <c r="D37" s="98"/>
      <c r="E37" s="1230"/>
      <c r="F37" s="931"/>
      <c r="G37" s="140"/>
      <c r="H37" s="57"/>
      <c r="I37" s="57"/>
      <c r="J37" s="57"/>
      <c r="K37" s="103" t="s">
        <v>194</v>
      </c>
      <c r="L37" s="271">
        <v>2</v>
      </c>
      <c r="M37" s="372">
        <v>2</v>
      </c>
      <c r="N37" s="295"/>
      <c r="O37" s="272"/>
    </row>
    <row r="38" spans="1:17" ht="28.5" customHeight="1" x14ac:dyDescent="0.2">
      <c r="A38" s="949"/>
      <c r="B38" s="950"/>
      <c r="C38" s="951" t="s">
        <v>30</v>
      </c>
      <c r="D38" s="1175" t="s">
        <v>103</v>
      </c>
      <c r="E38" s="1215" t="s">
        <v>106</v>
      </c>
      <c r="F38" s="931"/>
      <c r="G38" s="18" t="s">
        <v>21</v>
      </c>
      <c r="H38" s="128">
        <v>20.9</v>
      </c>
      <c r="I38" s="128">
        <v>20.9</v>
      </c>
      <c r="J38" s="128">
        <v>20.9</v>
      </c>
      <c r="K38" s="152" t="s">
        <v>118</v>
      </c>
      <c r="L38" s="90">
        <v>100</v>
      </c>
      <c r="M38" s="164">
        <v>100</v>
      </c>
      <c r="N38" s="90"/>
      <c r="O38" s="127"/>
    </row>
    <row r="39" spans="1:17" ht="14.25" customHeight="1" x14ac:dyDescent="0.2">
      <c r="A39" s="949"/>
      <c r="B39" s="950"/>
      <c r="C39" s="820"/>
      <c r="D39" s="1175"/>
      <c r="E39" s="1216"/>
      <c r="F39" s="931"/>
      <c r="G39" s="18" t="s">
        <v>53</v>
      </c>
      <c r="H39" s="128">
        <f>270+7.8</f>
        <v>277.8</v>
      </c>
      <c r="I39" s="128">
        <f>270+7.8</f>
        <v>277.8</v>
      </c>
      <c r="J39" s="128">
        <v>277.8</v>
      </c>
      <c r="K39" s="962" t="s">
        <v>105</v>
      </c>
      <c r="L39" s="90">
        <v>1</v>
      </c>
      <c r="M39" s="164">
        <v>1</v>
      </c>
      <c r="N39" s="90"/>
      <c r="O39" s="127"/>
    </row>
    <row r="40" spans="1:17" ht="9.75" customHeight="1" x14ac:dyDescent="0.2">
      <c r="A40" s="949"/>
      <c r="B40" s="950"/>
      <c r="C40" s="820"/>
      <c r="D40" s="1189"/>
      <c r="E40" s="1216"/>
      <c r="F40" s="931"/>
      <c r="G40" s="373"/>
      <c r="H40" s="57"/>
      <c r="I40" s="57"/>
      <c r="J40" s="57"/>
      <c r="K40" s="374"/>
      <c r="L40" s="238"/>
      <c r="M40" s="182"/>
      <c r="N40" s="92"/>
      <c r="O40" s="273"/>
    </row>
    <row r="41" spans="1:17" ht="19.5" customHeight="1" x14ac:dyDescent="0.2">
      <c r="A41" s="949"/>
      <c r="B41" s="950"/>
      <c r="C41" s="951" t="s">
        <v>31</v>
      </c>
      <c r="D41" s="1192" t="s">
        <v>99</v>
      </c>
      <c r="E41" s="1216"/>
      <c r="F41" s="1217"/>
      <c r="G41" s="38" t="s">
        <v>21</v>
      </c>
      <c r="H41" s="128">
        <v>21</v>
      </c>
      <c r="I41" s="128">
        <v>8.1</v>
      </c>
      <c r="J41" s="128">
        <v>8</v>
      </c>
      <c r="K41" s="979" t="s">
        <v>78</v>
      </c>
      <c r="L41" s="90">
        <v>1</v>
      </c>
      <c r="M41" s="185">
        <v>1</v>
      </c>
      <c r="N41" s="1224" t="s">
        <v>809</v>
      </c>
      <c r="O41" s="127"/>
    </row>
    <row r="42" spans="1:17" ht="44.25" customHeight="1" x14ac:dyDescent="0.2">
      <c r="A42" s="949"/>
      <c r="B42" s="950"/>
      <c r="C42" s="952"/>
      <c r="D42" s="1189"/>
      <c r="E42" s="1216"/>
      <c r="F42" s="1217"/>
      <c r="G42" s="140" t="s">
        <v>53</v>
      </c>
      <c r="H42" s="57">
        <f>179+8</f>
        <v>187</v>
      </c>
      <c r="I42" s="57">
        <v>0</v>
      </c>
      <c r="J42" s="57">
        <v>0</v>
      </c>
      <c r="K42" s="227"/>
      <c r="L42" s="238"/>
      <c r="M42" s="182"/>
      <c r="N42" s="1225"/>
      <c r="O42" s="273"/>
    </row>
    <row r="43" spans="1:17" ht="18" customHeight="1" x14ac:dyDescent="0.2">
      <c r="A43" s="949"/>
      <c r="B43" s="950"/>
      <c r="C43" s="951" t="s">
        <v>24</v>
      </c>
      <c r="D43" s="1201" t="s">
        <v>89</v>
      </c>
      <c r="E43" s="1212" t="s">
        <v>84</v>
      </c>
      <c r="F43" s="1214"/>
      <c r="G43" s="236" t="s">
        <v>53</v>
      </c>
      <c r="H43" s="56">
        <f>244+17</f>
        <v>261</v>
      </c>
      <c r="I43" s="56">
        <v>19</v>
      </c>
      <c r="J43" s="56">
        <v>2.4</v>
      </c>
      <c r="K43" s="1027" t="s">
        <v>258</v>
      </c>
      <c r="L43" s="803">
        <v>1</v>
      </c>
      <c r="M43" s="894">
        <v>0.9</v>
      </c>
      <c r="N43" s="1218" t="s">
        <v>785</v>
      </c>
      <c r="O43" s="1226" t="s">
        <v>810</v>
      </c>
    </row>
    <row r="44" spans="1:17" ht="62.25" customHeight="1" x14ac:dyDescent="0.2">
      <c r="A44" s="949"/>
      <c r="B44" s="950"/>
      <c r="C44" s="952"/>
      <c r="D44" s="1211"/>
      <c r="E44" s="1213"/>
      <c r="F44" s="1214"/>
      <c r="G44" s="140"/>
      <c r="H44" s="57"/>
      <c r="I44" s="57"/>
      <c r="J44" s="57"/>
      <c r="K44" s="1220"/>
      <c r="L44" s="805"/>
      <c r="M44" s="806"/>
      <c r="N44" s="1219"/>
      <c r="O44" s="1227"/>
    </row>
    <row r="45" spans="1:17" ht="27" customHeight="1" x14ac:dyDescent="0.2">
      <c r="A45" s="949"/>
      <c r="B45" s="950"/>
      <c r="C45" s="951" t="s">
        <v>32</v>
      </c>
      <c r="D45" s="1014" t="s">
        <v>195</v>
      </c>
      <c r="E45" s="1212" t="s">
        <v>106</v>
      </c>
      <c r="F45" s="931"/>
      <c r="G45" s="38" t="s">
        <v>21</v>
      </c>
      <c r="H45" s="56">
        <f>400+8.4</f>
        <v>408.4</v>
      </c>
      <c r="I45" s="56">
        <v>414.9</v>
      </c>
      <c r="J45" s="56">
        <v>176.5</v>
      </c>
      <c r="K45" s="807" t="s">
        <v>118</v>
      </c>
      <c r="L45" s="808">
        <v>100</v>
      </c>
      <c r="M45" s="809">
        <v>40</v>
      </c>
      <c r="N45" s="954" t="s">
        <v>783</v>
      </c>
      <c r="O45" s="1226" t="s">
        <v>786</v>
      </c>
    </row>
    <row r="46" spans="1:17" ht="95.25" customHeight="1" x14ac:dyDescent="0.2">
      <c r="A46" s="949"/>
      <c r="B46" s="950"/>
      <c r="C46" s="820"/>
      <c r="D46" s="1016"/>
      <c r="E46" s="1231"/>
      <c r="F46" s="932"/>
      <c r="G46" s="39"/>
      <c r="H46" s="57"/>
      <c r="I46" s="57"/>
      <c r="J46" s="57"/>
      <c r="K46" s="811"/>
      <c r="L46" s="812"/>
      <c r="M46" s="813"/>
      <c r="N46" s="814"/>
      <c r="O46" s="1227"/>
    </row>
    <row r="47" spans="1:17" ht="15" customHeight="1" x14ac:dyDescent="0.2">
      <c r="A47" s="949"/>
      <c r="B47" s="950"/>
      <c r="C47" s="951" t="s">
        <v>25</v>
      </c>
      <c r="D47" s="1203" t="s">
        <v>101</v>
      </c>
      <c r="E47" s="1233"/>
      <c r="F47" s="1214"/>
      <c r="G47" s="978" t="s">
        <v>53</v>
      </c>
      <c r="H47" s="128">
        <v>20</v>
      </c>
      <c r="I47" s="128">
        <v>20</v>
      </c>
      <c r="J47" s="55">
        <v>18.7</v>
      </c>
      <c r="K47" s="979" t="s">
        <v>78</v>
      </c>
      <c r="L47" s="71">
        <v>1</v>
      </c>
      <c r="M47" s="274">
        <v>1</v>
      </c>
      <c r="N47" s="815" t="s">
        <v>775</v>
      </c>
      <c r="O47" s="100"/>
    </row>
    <row r="48" spans="1:17" ht="11.25" customHeight="1" x14ac:dyDescent="0.2">
      <c r="A48" s="949"/>
      <c r="B48" s="950"/>
      <c r="C48" s="952"/>
      <c r="D48" s="1232"/>
      <c r="E48" s="1231"/>
      <c r="F48" s="1214"/>
      <c r="G48" s="140"/>
      <c r="H48" s="57"/>
      <c r="I48" s="57"/>
      <c r="J48" s="57"/>
      <c r="K48" s="375"/>
      <c r="L48" s="72"/>
      <c r="M48" s="72"/>
      <c r="N48" s="238"/>
      <c r="O48" s="273"/>
      <c r="Q48" s="122"/>
    </row>
    <row r="49" spans="1:17" ht="21" customHeight="1" x14ac:dyDescent="0.2">
      <c r="A49" s="949"/>
      <c r="B49" s="950"/>
      <c r="C49" s="951" t="s">
        <v>697</v>
      </c>
      <c r="D49" s="1234" t="s">
        <v>794</v>
      </c>
      <c r="E49" s="1212" t="s">
        <v>84</v>
      </c>
      <c r="F49" s="1214"/>
      <c r="G49" s="978" t="s">
        <v>53</v>
      </c>
      <c r="H49" s="128">
        <v>15</v>
      </c>
      <c r="I49" s="128">
        <v>15</v>
      </c>
      <c r="J49" s="56">
        <v>0</v>
      </c>
      <c r="K49" s="848" t="s">
        <v>78</v>
      </c>
      <c r="L49" s="850">
        <v>1</v>
      </c>
      <c r="M49" s="917">
        <v>0</v>
      </c>
      <c r="N49" s="918" t="s">
        <v>788</v>
      </c>
      <c r="O49" s="1237" t="s">
        <v>787</v>
      </c>
    </row>
    <row r="50" spans="1:17" ht="36.75" customHeight="1" x14ac:dyDescent="0.2">
      <c r="A50" s="949"/>
      <c r="B50" s="950"/>
      <c r="C50" s="821"/>
      <c r="D50" s="1235"/>
      <c r="E50" s="1213"/>
      <c r="F50" s="1236"/>
      <c r="G50" s="140"/>
      <c r="H50" s="57"/>
      <c r="I50" s="57"/>
      <c r="J50" s="57"/>
      <c r="K50" s="919"/>
      <c r="L50" s="817"/>
      <c r="M50" s="818"/>
      <c r="N50" s="819"/>
      <c r="O50" s="1238"/>
      <c r="Q50" s="122"/>
    </row>
    <row r="51" spans="1:17" ht="16.5" customHeight="1" thickBot="1" x14ac:dyDescent="0.25">
      <c r="A51" s="969"/>
      <c r="B51" s="133"/>
      <c r="C51" s="472"/>
      <c r="D51" s="473"/>
      <c r="E51" s="474"/>
      <c r="F51" s="471"/>
      <c r="G51" s="26" t="s">
        <v>5</v>
      </c>
      <c r="H51" s="85">
        <f>SUM(H14:H50)</f>
        <v>1656.8</v>
      </c>
      <c r="I51" s="85">
        <f>SUM(I14:I50)</f>
        <v>1221.4000000000001</v>
      </c>
      <c r="J51" s="85">
        <f>SUM(J14:J50)</f>
        <v>937.1</v>
      </c>
      <c r="K51" s="114"/>
      <c r="L51" s="29"/>
      <c r="M51" s="186"/>
      <c r="N51" s="29"/>
      <c r="O51" s="276"/>
    </row>
    <row r="52" spans="1:17" ht="27" customHeight="1" x14ac:dyDescent="0.2">
      <c r="A52" s="949" t="s">
        <v>4</v>
      </c>
      <c r="B52" s="960" t="s">
        <v>4</v>
      </c>
      <c r="C52" s="967" t="s">
        <v>6</v>
      </c>
      <c r="D52" s="475" t="s">
        <v>48</v>
      </c>
      <c r="E52" s="376"/>
      <c r="F52" s="968" t="s">
        <v>23</v>
      </c>
      <c r="G52" s="40"/>
      <c r="H52" s="377"/>
      <c r="I52" s="377"/>
      <c r="J52" s="78"/>
      <c r="K52" s="378"/>
      <c r="L52" s="379"/>
      <c r="M52" s="380"/>
      <c r="N52" s="379"/>
      <c r="O52" s="381"/>
    </row>
    <row r="53" spans="1:17" ht="27.75" customHeight="1" x14ac:dyDescent="0.2">
      <c r="A53" s="1061"/>
      <c r="B53" s="1169"/>
      <c r="C53" s="1187" t="s">
        <v>4</v>
      </c>
      <c r="D53" s="1192" t="s">
        <v>62</v>
      </c>
      <c r="E53" s="1241"/>
      <c r="F53" s="1022"/>
      <c r="G53" s="6" t="s">
        <v>21</v>
      </c>
      <c r="H53" s="239">
        <v>2632.1</v>
      </c>
      <c r="I53" s="239">
        <f>2632.1-16.6-15+9.1+1.1</f>
        <v>2610.6999999999998</v>
      </c>
      <c r="J53" s="56">
        <v>2610.6999999999998</v>
      </c>
      <c r="K53" s="278" t="s">
        <v>146</v>
      </c>
      <c r="L53" s="210">
        <v>8.6</v>
      </c>
      <c r="M53" s="279">
        <v>8.6</v>
      </c>
      <c r="N53" s="210"/>
      <c r="O53" s="280"/>
    </row>
    <row r="54" spans="1:17" ht="17.25" customHeight="1" x14ac:dyDescent="0.2">
      <c r="A54" s="1061"/>
      <c r="B54" s="1169"/>
      <c r="C54" s="1188"/>
      <c r="D54" s="1194"/>
      <c r="E54" s="1242"/>
      <c r="F54" s="1022"/>
      <c r="G54" s="305" t="s">
        <v>53</v>
      </c>
      <c r="H54" s="441">
        <v>132.19999999999999</v>
      </c>
      <c r="I54" s="441">
        <v>132.19999999999999</v>
      </c>
      <c r="J54" s="306">
        <v>132.19999999999999</v>
      </c>
      <c r="K54" s="281" t="s">
        <v>127</v>
      </c>
      <c r="L54" s="264">
        <v>445</v>
      </c>
      <c r="M54" s="264">
        <v>445</v>
      </c>
      <c r="N54" s="179"/>
      <c r="O54" s="265"/>
    </row>
    <row r="55" spans="1:17" ht="18" customHeight="1" x14ac:dyDescent="0.2">
      <c r="A55" s="1061"/>
      <c r="B55" s="1169"/>
      <c r="C55" s="1187" t="s">
        <v>6</v>
      </c>
      <c r="D55" s="1201" t="s">
        <v>33</v>
      </c>
      <c r="E55" s="938"/>
      <c r="F55" s="931"/>
      <c r="G55" s="6" t="s">
        <v>21</v>
      </c>
      <c r="H55" s="239">
        <v>127.4</v>
      </c>
      <c r="I55" s="60">
        <f>127.4+10+15+1.6</f>
        <v>154</v>
      </c>
      <c r="J55" s="56">
        <v>144</v>
      </c>
      <c r="K55" s="910" t="s">
        <v>35</v>
      </c>
      <c r="L55" s="844">
        <v>46</v>
      </c>
      <c r="M55" s="844">
        <v>46</v>
      </c>
      <c r="N55" s="810"/>
      <c r="O55" s="911"/>
    </row>
    <row r="56" spans="1:17" ht="24.75" customHeight="1" x14ac:dyDescent="0.2">
      <c r="A56" s="1061"/>
      <c r="B56" s="1169"/>
      <c r="C56" s="1188"/>
      <c r="D56" s="1202"/>
      <c r="E56" s="939"/>
      <c r="F56" s="931"/>
      <c r="G56" s="978" t="s">
        <v>36</v>
      </c>
      <c r="H56" s="240">
        <v>2</v>
      </c>
      <c r="I56" s="202">
        <v>2</v>
      </c>
      <c r="J56" s="128">
        <v>2</v>
      </c>
      <c r="K56" s="912" t="s">
        <v>63</v>
      </c>
      <c r="L56" s="913">
        <v>1500</v>
      </c>
      <c r="M56" s="914">
        <v>1544</v>
      </c>
      <c r="N56" s="915"/>
      <c r="O56" s="916"/>
    </row>
    <row r="57" spans="1:17" ht="53.25" customHeight="1" x14ac:dyDescent="0.2">
      <c r="A57" s="949"/>
      <c r="B57" s="960"/>
      <c r="C57" s="952"/>
      <c r="D57" s="961"/>
      <c r="E57" s="939"/>
      <c r="F57" s="931"/>
      <c r="G57" s="978" t="s">
        <v>70</v>
      </c>
      <c r="H57" s="447">
        <v>1.8</v>
      </c>
      <c r="I57" s="202">
        <v>1.8</v>
      </c>
      <c r="J57" s="57">
        <v>1.8</v>
      </c>
      <c r="K57" s="895" t="s">
        <v>196</v>
      </c>
      <c r="L57" s="896">
        <v>1</v>
      </c>
      <c r="M57" s="897">
        <v>0</v>
      </c>
      <c r="N57" s="898" t="s">
        <v>789</v>
      </c>
      <c r="O57" s="899" t="s">
        <v>811</v>
      </c>
      <c r="P57" s="900"/>
    </row>
    <row r="58" spans="1:17" ht="16.5" customHeight="1" x14ac:dyDescent="0.2">
      <c r="A58" s="949"/>
      <c r="B58" s="960"/>
      <c r="C58" s="951" t="s">
        <v>22</v>
      </c>
      <c r="D58" s="1203" t="s">
        <v>92</v>
      </c>
      <c r="E58" s="957"/>
      <c r="F58" s="931"/>
      <c r="G58" s="236" t="s">
        <v>21</v>
      </c>
      <c r="H58" s="239">
        <v>30.2</v>
      </c>
      <c r="I58" s="60">
        <f>30.2+16.6+20.5-1.1</f>
        <v>66.2</v>
      </c>
      <c r="J58" s="56">
        <v>66.099999999999994</v>
      </c>
      <c r="K58" s="383" t="s">
        <v>110</v>
      </c>
      <c r="L58" s="384" t="s">
        <v>197</v>
      </c>
      <c r="M58" s="124" t="s">
        <v>760</v>
      </c>
      <c r="N58" s="458"/>
      <c r="O58" s="823"/>
    </row>
    <row r="59" spans="1:17" ht="40.5" customHeight="1" x14ac:dyDescent="0.2">
      <c r="A59" s="949"/>
      <c r="B59" s="960"/>
      <c r="C59" s="952"/>
      <c r="D59" s="1204"/>
      <c r="E59" s="958"/>
      <c r="F59" s="931"/>
      <c r="G59" s="140" t="s">
        <v>53</v>
      </c>
      <c r="H59" s="240"/>
      <c r="I59" s="202"/>
      <c r="J59" s="128"/>
      <c r="K59" s="69" t="s">
        <v>111</v>
      </c>
      <c r="L59" s="143" t="s">
        <v>90</v>
      </c>
      <c r="M59" s="178" t="s">
        <v>761</v>
      </c>
      <c r="N59" s="457"/>
      <c r="O59" s="824"/>
    </row>
    <row r="60" spans="1:17" ht="243" customHeight="1" x14ac:dyDescent="0.2">
      <c r="A60" s="949"/>
      <c r="B60" s="960"/>
      <c r="C60" s="951" t="s">
        <v>30</v>
      </c>
      <c r="D60" s="946" t="s">
        <v>52</v>
      </c>
      <c r="E60" s="958"/>
      <c r="F60" s="931"/>
      <c r="G60" s="17" t="s">
        <v>21</v>
      </c>
      <c r="H60" s="386">
        <v>95</v>
      </c>
      <c r="I60" s="642">
        <f>95-20.5-1.6-9.1</f>
        <v>63.8</v>
      </c>
      <c r="J60" s="58">
        <v>63.8</v>
      </c>
      <c r="K60" s="285" t="s">
        <v>34</v>
      </c>
      <c r="L60" s="286">
        <v>11</v>
      </c>
      <c r="M60" s="286">
        <v>13</v>
      </c>
      <c r="N60" s="825" t="s">
        <v>812</v>
      </c>
      <c r="O60" s="287"/>
    </row>
    <row r="61" spans="1:17" ht="102" customHeight="1" x14ac:dyDescent="0.2">
      <c r="A61" s="949"/>
      <c r="B61" s="960"/>
      <c r="C61" s="822" t="s">
        <v>31</v>
      </c>
      <c r="D61" s="946" t="s">
        <v>198</v>
      </c>
      <c r="E61" s="958"/>
      <c r="F61" s="932"/>
      <c r="G61" s="17" t="s">
        <v>21</v>
      </c>
      <c r="H61" s="386">
        <v>200</v>
      </c>
      <c r="I61" s="386">
        <v>15</v>
      </c>
      <c r="J61" s="58">
        <v>1.1000000000000001</v>
      </c>
      <c r="K61" s="387" t="s">
        <v>199</v>
      </c>
      <c r="L61" s="150">
        <v>0</v>
      </c>
      <c r="M61" s="150">
        <v>0</v>
      </c>
      <c r="N61" s="825" t="s">
        <v>813</v>
      </c>
      <c r="O61" s="831"/>
    </row>
    <row r="62" spans="1:17" ht="16.5" customHeight="1" thickBot="1" x14ac:dyDescent="0.25">
      <c r="A62" s="20"/>
      <c r="B62" s="970"/>
      <c r="C62" s="472"/>
      <c r="D62" s="473"/>
      <c r="E62" s="474"/>
      <c r="F62" s="471"/>
      <c r="G62" s="26" t="s">
        <v>5</v>
      </c>
      <c r="H62" s="85">
        <f>SUM(H53:H61)</f>
        <v>3220.7</v>
      </c>
      <c r="I62" s="85">
        <f>SUM(I53:I61)</f>
        <v>3045.7</v>
      </c>
      <c r="J62" s="85">
        <f>SUM(J53:J61)</f>
        <v>3021.7</v>
      </c>
      <c r="K62" s="114"/>
      <c r="L62" s="29"/>
      <c r="M62" s="186"/>
      <c r="N62" s="29"/>
      <c r="O62" s="276"/>
    </row>
    <row r="63" spans="1:17" ht="25.5" customHeight="1" x14ac:dyDescent="0.2">
      <c r="A63" s="964" t="s">
        <v>4</v>
      </c>
      <c r="B63" s="965" t="s">
        <v>4</v>
      </c>
      <c r="C63" s="466" t="s">
        <v>22</v>
      </c>
      <c r="D63" s="476" t="s">
        <v>49</v>
      </c>
      <c r="E63" s="388"/>
      <c r="F63" s="968" t="s">
        <v>23</v>
      </c>
      <c r="G63" s="40"/>
      <c r="H63" s="78"/>
      <c r="I63" s="78"/>
      <c r="J63" s="389"/>
      <c r="K63" s="390"/>
      <c r="L63" s="379"/>
      <c r="M63" s="380"/>
      <c r="N63" s="379"/>
      <c r="O63" s="381"/>
    </row>
    <row r="64" spans="1:17" ht="28.5" customHeight="1" x14ac:dyDescent="0.2">
      <c r="A64" s="949"/>
      <c r="B64" s="960"/>
      <c r="C64" s="951" t="s">
        <v>4</v>
      </c>
      <c r="D64" s="1192" t="s">
        <v>200</v>
      </c>
      <c r="E64" s="391"/>
      <c r="F64" s="931"/>
      <c r="G64" s="38" t="s">
        <v>21</v>
      </c>
      <c r="H64" s="56">
        <v>136</v>
      </c>
      <c r="I64" s="56">
        <v>69.7</v>
      </c>
      <c r="J64" s="81">
        <v>42.6</v>
      </c>
      <c r="K64" s="289" t="s">
        <v>147</v>
      </c>
      <c r="L64" s="144">
        <v>4</v>
      </c>
      <c r="M64" s="187">
        <v>4</v>
      </c>
      <c r="N64" s="101"/>
      <c r="O64" s="275"/>
      <c r="Q64" s="122"/>
    </row>
    <row r="65" spans="1:15" ht="27.75" customHeight="1" x14ac:dyDescent="0.2">
      <c r="A65" s="949"/>
      <c r="B65" s="960"/>
      <c r="C65" s="820"/>
      <c r="D65" s="1194"/>
      <c r="E65" s="290"/>
      <c r="F65" s="931"/>
      <c r="G65" s="18"/>
      <c r="H65" s="128"/>
      <c r="I65" s="128"/>
      <c r="J65" s="79"/>
      <c r="K65" s="942" t="s">
        <v>134</v>
      </c>
      <c r="L65" s="832">
        <v>40</v>
      </c>
      <c r="M65" s="833">
        <v>40</v>
      </c>
      <c r="N65" s="75"/>
      <c r="O65" s="291"/>
    </row>
    <row r="66" spans="1:15" ht="54" customHeight="1" x14ac:dyDescent="0.2">
      <c r="A66" s="949"/>
      <c r="B66" s="960"/>
      <c r="C66" s="820"/>
      <c r="D66" s="948"/>
      <c r="E66" s="290"/>
      <c r="F66" s="931"/>
      <c r="G66" s="18"/>
      <c r="H66" s="128"/>
      <c r="I66" s="128"/>
      <c r="J66" s="128"/>
      <c r="K66" s="942" t="s">
        <v>814</v>
      </c>
      <c r="L66" s="832">
        <v>15</v>
      </c>
      <c r="M66" s="885">
        <v>15</v>
      </c>
      <c r="N66" s="886" t="s">
        <v>790</v>
      </c>
      <c r="O66" s="291"/>
    </row>
    <row r="67" spans="1:15" ht="64.5" customHeight="1" x14ac:dyDescent="0.2">
      <c r="A67" s="949"/>
      <c r="B67" s="960"/>
      <c r="C67" s="820"/>
      <c r="D67" s="933"/>
      <c r="E67" s="290"/>
      <c r="F67" s="931"/>
      <c r="G67" s="373"/>
      <c r="H67" s="306"/>
      <c r="I67" s="306"/>
      <c r="J67" s="392"/>
      <c r="K67" s="882" t="s">
        <v>256</v>
      </c>
      <c r="L67" s="883">
        <v>1</v>
      </c>
      <c r="M67" s="901">
        <v>0.8</v>
      </c>
      <c r="N67" s="884" t="s">
        <v>783</v>
      </c>
      <c r="O67" s="893" t="s">
        <v>791</v>
      </c>
    </row>
    <row r="68" spans="1:15" ht="27" customHeight="1" x14ac:dyDescent="0.2">
      <c r="A68" s="949"/>
      <c r="B68" s="960"/>
      <c r="C68" s="820"/>
      <c r="D68" s="933"/>
      <c r="E68" s="54"/>
      <c r="F68" s="931"/>
      <c r="G68" s="39" t="s">
        <v>53</v>
      </c>
      <c r="H68" s="57">
        <f>19.4+16.6</f>
        <v>36</v>
      </c>
      <c r="I68" s="57">
        <f>19.4+16.6</f>
        <v>36</v>
      </c>
      <c r="J68" s="80">
        <v>33.200000000000003</v>
      </c>
      <c r="K68" s="113" t="s">
        <v>201</v>
      </c>
      <c r="L68" s="393">
        <v>2</v>
      </c>
      <c r="M68" s="394">
        <v>2</v>
      </c>
      <c r="N68" s="393"/>
      <c r="O68" s="395"/>
    </row>
    <row r="69" spans="1:15" ht="29.25" customHeight="1" x14ac:dyDescent="0.2">
      <c r="A69" s="949"/>
      <c r="B69" s="960"/>
      <c r="C69" s="951" t="s">
        <v>6</v>
      </c>
      <c r="D69" s="1192" t="s">
        <v>91</v>
      </c>
      <c r="E69" s="246"/>
      <c r="F69" s="245"/>
      <c r="G69" s="236" t="s">
        <v>21</v>
      </c>
      <c r="H69" s="56">
        <v>10</v>
      </c>
      <c r="I69" s="56">
        <v>10</v>
      </c>
      <c r="J69" s="81">
        <v>10</v>
      </c>
      <c r="K69" s="1195" t="s">
        <v>816</v>
      </c>
      <c r="L69" s="101">
        <v>1</v>
      </c>
      <c r="M69" s="288">
        <v>1</v>
      </c>
      <c r="N69" s="101"/>
      <c r="O69" s="275"/>
    </row>
    <row r="70" spans="1:15" ht="22.5" customHeight="1" x14ac:dyDescent="0.2">
      <c r="A70" s="949"/>
      <c r="B70" s="960"/>
      <c r="C70" s="820"/>
      <c r="D70" s="1189"/>
      <c r="E70" s="247"/>
      <c r="F70" s="932"/>
      <c r="G70" s="17"/>
      <c r="H70" s="57"/>
      <c r="I70" s="57"/>
      <c r="J70" s="80"/>
      <c r="K70" s="1196"/>
      <c r="L70" s="238"/>
      <c r="M70" s="184"/>
      <c r="N70" s="238"/>
      <c r="O70" s="260"/>
    </row>
    <row r="71" spans="1:15" ht="15.75" customHeight="1" x14ac:dyDescent="0.2">
      <c r="A71" s="949"/>
      <c r="B71" s="960"/>
      <c r="C71" s="951" t="s">
        <v>22</v>
      </c>
      <c r="D71" s="1192" t="s">
        <v>69</v>
      </c>
      <c r="E71" s="1197" t="s">
        <v>59</v>
      </c>
      <c r="F71" s="931"/>
      <c r="G71" s="236" t="s">
        <v>21</v>
      </c>
      <c r="H71" s="83">
        <v>795.5</v>
      </c>
      <c r="I71" s="83">
        <v>795.5</v>
      </c>
      <c r="J71" s="82">
        <v>718.5</v>
      </c>
      <c r="K71" s="770" t="s">
        <v>94</v>
      </c>
      <c r="L71" s="158">
        <v>22.5</v>
      </c>
      <c r="M71" s="292">
        <v>22.5</v>
      </c>
      <c r="N71" s="158"/>
      <c r="O71" s="834"/>
    </row>
    <row r="72" spans="1:15" ht="15.75" customHeight="1" x14ac:dyDescent="0.2">
      <c r="A72" s="949"/>
      <c r="B72" s="960"/>
      <c r="C72" s="820"/>
      <c r="D72" s="1175"/>
      <c r="E72" s="1198"/>
      <c r="F72" s="931"/>
      <c r="G72" s="978" t="s">
        <v>36</v>
      </c>
      <c r="H72" s="128">
        <v>7.7</v>
      </c>
      <c r="I72" s="128">
        <v>7.7</v>
      </c>
      <c r="J72" s="79">
        <v>7.7</v>
      </c>
      <c r="K72" s="771" t="s">
        <v>95</v>
      </c>
      <c r="L72" s="159">
        <v>108</v>
      </c>
      <c r="M72" s="396">
        <v>108</v>
      </c>
      <c r="N72" s="159"/>
      <c r="O72" s="397"/>
    </row>
    <row r="73" spans="1:15" ht="15.75" customHeight="1" x14ac:dyDescent="0.2">
      <c r="A73" s="949"/>
      <c r="B73" s="950"/>
      <c r="C73" s="952"/>
      <c r="D73" s="1175"/>
      <c r="E73" s="1198"/>
      <c r="F73" s="931"/>
      <c r="G73" s="978"/>
      <c r="H73" s="128"/>
      <c r="I73" s="128"/>
      <c r="J73" s="79"/>
      <c r="K73" s="102" t="s">
        <v>93</v>
      </c>
      <c r="L73" s="160">
        <v>5</v>
      </c>
      <c r="M73" s="398">
        <v>5</v>
      </c>
      <c r="N73" s="450"/>
      <c r="O73" s="451"/>
    </row>
    <row r="74" spans="1:15" ht="15" customHeight="1" x14ac:dyDescent="0.2">
      <c r="A74" s="949"/>
      <c r="B74" s="960"/>
      <c r="C74" s="820"/>
      <c r="D74" s="1175"/>
      <c r="E74" s="1198"/>
      <c r="F74" s="931"/>
      <c r="G74" s="978"/>
      <c r="H74" s="128"/>
      <c r="I74" s="128"/>
      <c r="J74" s="79"/>
      <c r="K74" s="1199" t="s">
        <v>815</v>
      </c>
      <c r="L74" s="972">
        <v>1</v>
      </c>
      <c r="M74" s="84" t="s">
        <v>45</v>
      </c>
      <c r="N74" s="972"/>
      <c r="O74" s="267"/>
    </row>
    <row r="75" spans="1:15" ht="12.75" customHeight="1" x14ac:dyDescent="0.2">
      <c r="A75" s="949"/>
      <c r="B75" s="960"/>
      <c r="C75" s="820"/>
      <c r="D75" s="166"/>
      <c r="E75" s="1198"/>
      <c r="F75" s="931"/>
      <c r="G75" s="978"/>
      <c r="H75" s="128"/>
      <c r="I75" s="128"/>
      <c r="J75" s="79"/>
      <c r="K75" s="1199"/>
      <c r="L75" s="141"/>
      <c r="M75" s="129"/>
      <c r="N75" s="141"/>
      <c r="O75" s="277"/>
    </row>
    <row r="76" spans="1:15" ht="29.25" customHeight="1" x14ac:dyDescent="0.2">
      <c r="A76" s="949"/>
      <c r="B76" s="960"/>
      <c r="C76" s="820"/>
      <c r="D76" s="1175"/>
      <c r="E76" s="963"/>
      <c r="F76" s="931"/>
      <c r="G76" s="978"/>
      <c r="H76" s="128"/>
      <c r="I76" s="128"/>
      <c r="J76" s="79"/>
      <c r="K76" s="770" t="s">
        <v>116</v>
      </c>
      <c r="L76" s="399">
        <v>1</v>
      </c>
      <c r="M76" s="400">
        <v>1</v>
      </c>
      <c r="N76" s="450"/>
      <c r="O76" s="451"/>
    </row>
    <row r="77" spans="1:15" ht="29.25" customHeight="1" x14ac:dyDescent="0.2">
      <c r="A77" s="949"/>
      <c r="B77" s="960"/>
      <c r="C77" s="820"/>
      <c r="D77" s="1175"/>
      <c r="E77" s="963"/>
      <c r="F77" s="931"/>
      <c r="G77" s="978"/>
      <c r="H77" s="128"/>
      <c r="I77" s="128"/>
      <c r="J77" s="79"/>
      <c r="K77" s="443" t="s">
        <v>240</v>
      </c>
      <c r="L77" s="448">
        <v>1</v>
      </c>
      <c r="M77" s="449">
        <v>1</v>
      </c>
      <c r="N77" s="450"/>
      <c r="O77" s="451"/>
    </row>
    <row r="78" spans="1:15" ht="29.25" customHeight="1" x14ac:dyDescent="0.2">
      <c r="A78" s="949"/>
      <c r="B78" s="960"/>
      <c r="C78" s="820"/>
      <c r="D78" s="933"/>
      <c r="E78" s="963"/>
      <c r="F78" s="931"/>
      <c r="G78" s="978"/>
      <c r="H78" s="128"/>
      <c r="I78" s="128"/>
      <c r="J78" s="79"/>
      <c r="K78" s="453" t="s">
        <v>202</v>
      </c>
      <c r="L78" s="454">
        <v>50</v>
      </c>
      <c r="M78" s="455"/>
      <c r="N78" s="450"/>
      <c r="O78" s="451"/>
    </row>
    <row r="79" spans="1:15" ht="68.25" customHeight="1" x14ac:dyDescent="0.2">
      <c r="A79" s="949"/>
      <c r="B79" s="960"/>
      <c r="C79" s="820"/>
      <c r="D79" s="933"/>
      <c r="E79" s="294"/>
      <c r="F79" s="931"/>
      <c r="G79" s="978"/>
      <c r="H79" s="128"/>
      <c r="I79" s="128"/>
      <c r="J79" s="79"/>
      <c r="K79" s="962" t="s">
        <v>257</v>
      </c>
      <c r="L79" s="243">
        <v>66</v>
      </c>
      <c r="M79" s="243">
        <v>66</v>
      </c>
      <c r="N79" s="141"/>
      <c r="O79" s="277"/>
    </row>
    <row r="80" spans="1:15" ht="12.75" customHeight="1" x14ac:dyDescent="0.2">
      <c r="A80" s="1061"/>
      <c r="B80" s="1003"/>
      <c r="C80" s="1187" t="s">
        <v>30</v>
      </c>
      <c r="D80" s="1192" t="s">
        <v>149</v>
      </c>
      <c r="E80" s="1200"/>
      <c r="F80" s="1022"/>
      <c r="G80" s="236" t="s">
        <v>21</v>
      </c>
      <c r="H80" s="56">
        <f>24.1-1</f>
        <v>23.1</v>
      </c>
      <c r="I80" s="56">
        <f>24.1-1</f>
        <v>23.1</v>
      </c>
      <c r="J80" s="81">
        <v>22.8</v>
      </c>
      <c r="K80" s="936" t="s">
        <v>107</v>
      </c>
      <c r="L80" s="25">
        <v>2</v>
      </c>
      <c r="M80" s="188">
        <v>2</v>
      </c>
      <c r="N80" s="25"/>
      <c r="O80" s="260"/>
    </row>
    <row r="81" spans="1:15" ht="29.25" customHeight="1" x14ac:dyDescent="0.2">
      <c r="A81" s="1061"/>
      <c r="B81" s="1003"/>
      <c r="C81" s="1188"/>
      <c r="D81" s="1189"/>
      <c r="E81" s="1200"/>
      <c r="F81" s="1022"/>
      <c r="G81" s="978" t="s">
        <v>36</v>
      </c>
      <c r="H81" s="128">
        <v>5</v>
      </c>
      <c r="I81" s="128">
        <v>5</v>
      </c>
      <c r="J81" s="79">
        <v>3.9</v>
      </c>
      <c r="K81" s="402" t="s">
        <v>95</v>
      </c>
      <c r="L81" s="403">
        <v>5</v>
      </c>
      <c r="M81" s="404">
        <v>5</v>
      </c>
      <c r="N81" s="403"/>
      <c r="O81" s="405"/>
    </row>
    <row r="82" spans="1:15" ht="15" customHeight="1" x14ac:dyDescent="0.2">
      <c r="A82" s="949"/>
      <c r="B82" s="960"/>
      <c r="C82" s="951" t="s">
        <v>31</v>
      </c>
      <c r="D82" s="1175" t="s">
        <v>57</v>
      </c>
      <c r="E82" s="963"/>
      <c r="F82" s="931"/>
      <c r="G82" s="236" t="s">
        <v>36</v>
      </c>
      <c r="H82" s="56">
        <v>20</v>
      </c>
      <c r="I82" s="56">
        <v>20</v>
      </c>
      <c r="J82" s="81">
        <v>18.3</v>
      </c>
      <c r="K82" s="936" t="s">
        <v>94</v>
      </c>
      <c r="L82" s="25">
        <v>2</v>
      </c>
      <c r="M82" s="228">
        <v>2</v>
      </c>
      <c r="N82" s="188"/>
      <c r="O82" s="260"/>
    </row>
    <row r="83" spans="1:15" ht="18.75" customHeight="1" x14ac:dyDescent="0.2">
      <c r="A83" s="949"/>
      <c r="B83" s="960"/>
      <c r="C83" s="977"/>
      <c r="D83" s="1189"/>
      <c r="E83" s="247"/>
      <c r="F83" s="932"/>
      <c r="G83" s="17" t="s">
        <v>70</v>
      </c>
      <c r="H83" s="57">
        <v>2.6</v>
      </c>
      <c r="I83" s="57">
        <v>2.6</v>
      </c>
      <c r="J83" s="80">
        <f>1.9+0.4+0.3</f>
        <v>2.6</v>
      </c>
      <c r="K83" s="937"/>
      <c r="L83" s="238"/>
      <c r="M83" s="238"/>
      <c r="N83" s="229"/>
      <c r="O83" s="260"/>
    </row>
    <row r="84" spans="1:15" ht="16.5" customHeight="1" thickBot="1" x14ac:dyDescent="0.25">
      <c r="A84" s="20"/>
      <c r="B84" s="970"/>
      <c r="C84" s="472"/>
      <c r="D84" s="473"/>
      <c r="E84" s="474"/>
      <c r="F84" s="471"/>
      <c r="G84" s="26" t="s">
        <v>5</v>
      </c>
      <c r="H84" s="85">
        <f>SUM(H64:H83)</f>
        <v>1035.9000000000001</v>
      </c>
      <c r="I84" s="85">
        <f>SUM(I64:I83)</f>
        <v>969.6</v>
      </c>
      <c r="J84" s="85">
        <f t="shared" ref="J84" si="0">SUM(J64:J83)</f>
        <v>859.6</v>
      </c>
      <c r="K84" s="114"/>
      <c r="L84" s="29"/>
      <c r="M84" s="186"/>
      <c r="N84" s="29"/>
      <c r="O84" s="276"/>
    </row>
    <row r="85" spans="1:15" ht="18" customHeight="1" x14ac:dyDescent="0.2">
      <c r="A85" s="1166" t="s">
        <v>4</v>
      </c>
      <c r="B85" s="1168" t="s">
        <v>4</v>
      </c>
      <c r="C85" s="1171" t="s">
        <v>30</v>
      </c>
      <c r="D85" s="1177" t="s">
        <v>50</v>
      </c>
      <c r="E85" s="1179" t="s">
        <v>88</v>
      </c>
      <c r="F85" s="1181" t="s">
        <v>23</v>
      </c>
      <c r="G85" s="94"/>
      <c r="H85" s="67"/>
      <c r="I85" s="67"/>
      <c r="J85" s="68"/>
      <c r="K85" s="1182"/>
      <c r="L85" s="237"/>
      <c r="M85" s="1183"/>
      <c r="N85" s="237"/>
      <c r="O85" s="1243"/>
    </row>
    <row r="86" spans="1:15" ht="11.25" customHeight="1" x14ac:dyDescent="0.2">
      <c r="A86" s="1061"/>
      <c r="B86" s="1169"/>
      <c r="C86" s="1172"/>
      <c r="D86" s="1178"/>
      <c r="E86" s="1180"/>
      <c r="F86" s="1022"/>
      <c r="G86" s="140"/>
      <c r="H86" s="57"/>
      <c r="I86" s="57"/>
      <c r="J86" s="192"/>
      <c r="K86" s="1000"/>
      <c r="L86" s="243"/>
      <c r="M86" s="1184"/>
      <c r="N86" s="243"/>
      <c r="O86" s="1244"/>
    </row>
    <row r="87" spans="1:15" ht="15.75" customHeight="1" x14ac:dyDescent="0.2">
      <c r="A87" s="1061"/>
      <c r="B87" s="1003"/>
      <c r="C87" s="1187" t="s">
        <v>4</v>
      </c>
      <c r="D87" s="1175" t="s">
        <v>82</v>
      </c>
      <c r="E87" s="1190" t="s">
        <v>61</v>
      </c>
      <c r="F87" s="1022"/>
      <c r="G87" s="236" t="s">
        <v>21</v>
      </c>
      <c r="H87" s="60">
        <v>1911.2</v>
      </c>
      <c r="I87" s="60">
        <f>1911.2-15+9.3</f>
        <v>1905.5</v>
      </c>
      <c r="J87" s="60">
        <v>1905.5</v>
      </c>
      <c r="K87" s="927" t="s">
        <v>64</v>
      </c>
      <c r="L87" s="76">
        <v>17.8</v>
      </c>
      <c r="M87" s="296">
        <v>17.899999999999999</v>
      </c>
      <c r="N87" s="76"/>
      <c r="O87" s="842"/>
    </row>
    <row r="88" spans="1:15" ht="15.75" customHeight="1" x14ac:dyDescent="0.2">
      <c r="A88" s="1061"/>
      <c r="B88" s="1003"/>
      <c r="C88" s="1188"/>
      <c r="D88" s="1189"/>
      <c r="E88" s="1191"/>
      <c r="F88" s="1022"/>
      <c r="G88" s="140" t="s">
        <v>53</v>
      </c>
      <c r="H88" s="57">
        <v>110.5</v>
      </c>
      <c r="I88" s="57">
        <v>110.5</v>
      </c>
      <c r="J88" s="192">
        <v>110.5</v>
      </c>
      <c r="K88" s="113" t="s">
        <v>817</v>
      </c>
      <c r="L88" s="297">
        <v>9.4</v>
      </c>
      <c r="M88" s="297">
        <v>9.4</v>
      </c>
      <c r="N88" s="123"/>
      <c r="O88" s="277"/>
    </row>
    <row r="89" spans="1:15" ht="16.5" customHeight="1" x14ac:dyDescent="0.2">
      <c r="A89" s="949"/>
      <c r="B89" s="960"/>
      <c r="C89" s="951" t="s">
        <v>6</v>
      </c>
      <c r="D89" s="1192" t="s">
        <v>128</v>
      </c>
      <c r="E89" s="246"/>
      <c r="F89" s="931"/>
      <c r="G89" s="978" t="s">
        <v>21</v>
      </c>
      <c r="H89" s="56">
        <v>132.69999999999999</v>
      </c>
      <c r="I89" s="56">
        <v>138.4</v>
      </c>
      <c r="J89" s="56">
        <v>138.4</v>
      </c>
      <c r="K89" s="936" t="s">
        <v>817</v>
      </c>
      <c r="L89" s="161">
        <v>0.4</v>
      </c>
      <c r="M89" s="161">
        <v>0.7</v>
      </c>
      <c r="N89" s="210"/>
      <c r="O89" s="277"/>
    </row>
    <row r="90" spans="1:15" ht="26.25" customHeight="1" x14ac:dyDescent="0.2">
      <c r="A90" s="949"/>
      <c r="B90" s="960"/>
      <c r="C90" s="952"/>
      <c r="D90" s="1175"/>
      <c r="E90" s="299"/>
      <c r="F90" s="931"/>
      <c r="G90" s="978" t="s">
        <v>53</v>
      </c>
      <c r="H90" s="128">
        <v>90.4</v>
      </c>
      <c r="I90" s="128">
        <v>90.4</v>
      </c>
      <c r="J90" s="128">
        <v>90.4</v>
      </c>
      <c r="K90" s="30" t="s">
        <v>203</v>
      </c>
      <c r="L90" s="226">
        <v>1206</v>
      </c>
      <c r="M90" s="226">
        <v>1213</v>
      </c>
      <c r="N90" s="99"/>
      <c r="O90" s="269"/>
    </row>
    <row r="91" spans="1:15" ht="39" customHeight="1" x14ac:dyDescent="0.2">
      <c r="A91" s="949"/>
      <c r="B91" s="950"/>
      <c r="C91" s="952"/>
      <c r="D91" s="1175"/>
      <c r="E91" s="299"/>
      <c r="F91" s="931"/>
      <c r="G91" s="406"/>
      <c r="H91" s="407"/>
      <c r="I91" s="407"/>
      <c r="J91" s="128"/>
      <c r="K91" s="30" t="s">
        <v>204</v>
      </c>
      <c r="L91" s="300">
        <v>22.2</v>
      </c>
      <c r="M91" s="301">
        <v>17.5</v>
      </c>
      <c r="N91" s="840" t="s">
        <v>777</v>
      </c>
      <c r="O91" s="277"/>
    </row>
    <row r="92" spans="1:15" ht="26.25" customHeight="1" x14ac:dyDescent="0.2">
      <c r="A92" s="949"/>
      <c r="B92" s="960"/>
      <c r="C92" s="952"/>
      <c r="D92" s="1193"/>
      <c r="E92" s="959"/>
      <c r="F92" s="931"/>
      <c r="G92" s="140"/>
      <c r="H92" s="57"/>
      <c r="I92" s="57"/>
      <c r="J92" s="57"/>
      <c r="K92" s="227" t="s">
        <v>241</v>
      </c>
      <c r="L92" s="302">
        <v>3</v>
      </c>
      <c r="M92" s="238">
        <v>3</v>
      </c>
      <c r="N92" s="841" t="s">
        <v>778</v>
      </c>
      <c r="O92" s="260"/>
    </row>
    <row r="93" spans="1:15" ht="14.25" customHeight="1" x14ac:dyDescent="0.2">
      <c r="A93" s="949"/>
      <c r="B93" s="960"/>
      <c r="C93" s="951" t="s">
        <v>22</v>
      </c>
      <c r="D93" s="1192" t="s">
        <v>205</v>
      </c>
      <c r="E93" s="957"/>
      <c r="F93" s="931"/>
      <c r="G93" s="978" t="s">
        <v>21</v>
      </c>
      <c r="H93" s="128">
        <v>112.8</v>
      </c>
      <c r="I93" s="128">
        <v>84.8</v>
      </c>
      <c r="J93" s="60">
        <v>81.900000000000006</v>
      </c>
      <c r="K93" s="254"/>
      <c r="L93" s="303"/>
      <c r="M93" s="304"/>
      <c r="N93" s="304"/>
      <c r="O93" s="260"/>
    </row>
    <row r="94" spans="1:15" ht="14.25" customHeight="1" x14ac:dyDescent="0.2">
      <c r="A94" s="949"/>
      <c r="B94" s="960"/>
      <c r="C94" s="952"/>
      <c r="D94" s="1194"/>
      <c r="E94" s="958"/>
      <c r="F94" s="230"/>
      <c r="G94" s="978" t="s">
        <v>53</v>
      </c>
      <c r="H94" s="128">
        <v>4.7</v>
      </c>
      <c r="I94" s="128">
        <v>4.7</v>
      </c>
      <c r="J94" s="202">
        <v>4.7</v>
      </c>
      <c r="K94" s="980" t="s">
        <v>206</v>
      </c>
      <c r="L94" s="172">
        <v>9</v>
      </c>
      <c r="M94" s="71">
        <v>9</v>
      </c>
      <c r="N94" s="71"/>
      <c r="O94" s="260"/>
    </row>
    <row r="95" spans="1:15" ht="27" customHeight="1" x14ac:dyDescent="0.2">
      <c r="A95" s="949"/>
      <c r="B95" s="960"/>
      <c r="C95" s="952"/>
      <c r="D95" s="233" t="s">
        <v>795</v>
      </c>
      <c r="E95" s="958"/>
      <c r="F95" s="230"/>
      <c r="G95" s="978"/>
      <c r="H95" s="128"/>
      <c r="I95" s="128"/>
      <c r="J95" s="128"/>
      <c r="K95" s="980" t="s">
        <v>208</v>
      </c>
      <c r="L95" s="172">
        <v>100</v>
      </c>
      <c r="M95" s="71">
        <v>100</v>
      </c>
      <c r="N95" s="1040" t="s">
        <v>818</v>
      </c>
      <c r="O95" s="260"/>
    </row>
    <row r="96" spans="1:15" ht="27.75" customHeight="1" x14ac:dyDescent="0.2">
      <c r="A96" s="949"/>
      <c r="B96" s="960"/>
      <c r="C96" s="967"/>
      <c r="D96" s="233" t="s">
        <v>207</v>
      </c>
      <c r="E96" s="958"/>
      <c r="F96" s="230"/>
      <c r="G96" s="978"/>
      <c r="H96" s="128"/>
      <c r="I96" s="128"/>
      <c r="J96" s="202"/>
      <c r="K96" s="980"/>
      <c r="L96" s="172"/>
      <c r="M96" s="71"/>
      <c r="N96" s="1040"/>
      <c r="O96" s="260"/>
    </row>
    <row r="97" spans="1:18" ht="29.25" customHeight="1" x14ac:dyDescent="0.2">
      <c r="A97" s="949"/>
      <c r="B97" s="960"/>
      <c r="C97" s="967"/>
      <c r="D97" s="233" t="s">
        <v>209</v>
      </c>
      <c r="E97" s="958"/>
      <c r="F97" s="230"/>
      <c r="G97" s="978"/>
      <c r="H97" s="128"/>
      <c r="I97" s="128"/>
      <c r="J97" s="202"/>
      <c r="K97" s="980"/>
      <c r="L97" s="172"/>
      <c r="M97" s="71"/>
      <c r="N97" s="1040"/>
      <c r="O97" s="260"/>
    </row>
    <row r="98" spans="1:18" ht="16.5" customHeight="1" x14ac:dyDescent="0.2">
      <c r="A98" s="949"/>
      <c r="B98" s="960"/>
      <c r="C98" s="977"/>
      <c r="D98" s="953" t="s">
        <v>796</v>
      </c>
      <c r="E98" s="959"/>
      <c r="F98" s="231"/>
      <c r="G98" s="140"/>
      <c r="H98" s="57"/>
      <c r="I98" s="57"/>
      <c r="J98" s="192"/>
      <c r="K98" s="113"/>
      <c r="L98" s="173"/>
      <c r="M98" s="173"/>
      <c r="N98" s="173"/>
      <c r="O98" s="261"/>
    </row>
    <row r="99" spans="1:18" ht="16.5" customHeight="1" thickBot="1" x14ac:dyDescent="0.25">
      <c r="A99" s="20"/>
      <c r="B99" s="970"/>
      <c r="C99" s="472"/>
      <c r="D99" s="473"/>
      <c r="E99" s="474"/>
      <c r="F99" s="471"/>
      <c r="G99" s="26" t="s">
        <v>5</v>
      </c>
      <c r="H99" s="85">
        <f>SUM(H87:H98)</f>
        <v>2362.3000000000002</v>
      </c>
      <c r="I99" s="85">
        <f>SUM(I87:I98)</f>
        <v>2334.3000000000002</v>
      </c>
      <c r="J99" s="85">
        <f t="shared" ref="J99" si="1">SUM(J87:J98)</f>
        <v>2331.4</v>
      </c>
      <c r="K99" s="114"/>
      <c r="L99" s="29"/>
      <c r="M99" s="186"/>
      <c r="N99" s="29"/>
      <c r="O99" s="276"/>
    </row>
    <row r="100" spans="1:18" ht="18.75" customHeight="1" x14ac:dyDescent="0.2">
      <c r="A100" s="1166" t="s">
        <v>4</v>
      </c>
      <c r="B100" s="1168" t="s">
        <v>4</v>
      </c>
      <c r="C100" s="1171" t="s">
        <v>31</v>
      </c>
      <c r="D100" s="1174" t="s">
        <v>243</v>
      </c>
      <c r="E100" s="1034"/>
      <c r="F100" s="1128" t="s">
        <v>45</v>
      </c>
      <c r="G100" s="176" t="s">
        <v>21</v>
      </c>
      <c r="H100" s="67">
        <v>152.30000000000001</v>
      </c>
      <c r="I100" s="67">
        <v>138</v>
      </c>
      <c r="J100" s="68">
        <v>86</v>
      </c>
      <c r="K100" s="926" t="s">
        <v>96</v>
      </c>
      <c r="L100" s="237">
        <v>151</v>
      </c>
      <c r="M100" s="200">
        <v>151</v>
      </c>
      <c r="N100" s="237"/>
      <c r="O100" s="308"/>
    </row>
    <row r="101" spans="1:18" ht="16.5" customHeight="1" x14ac:dyDescent="0.2">
      <c r="A101" s="1061"/>
      <c r="B101" s="1169"/>
      <c r="C101" s="1172"/>
      <c r="D101" s="1175"/>
      <c r="E101" s="1035"/>
      <c r="F101" s="1129"/>
      <c r="G101" s="174" t="s">
        <v>53</v>
      </c>
      <c r="H101" s="57">
        <v>135.19999999999999</v>
      </c>
      <c r="I101" s="57">
        <v>135.19999999999999</v>
      </c>
      <c r="J101" s="57">
        <v>123</v>
      </c>
      <c r="K101" s="444" t="s">
        <v>210</v>
      </c>
      <c r="L101" s="243">
        <v>1</v>
      </c>
      <c r="M101" s="201">
        <v>1</v>
      </c>
      <c r="N101" s="243"/>
      <c r="O101" s="260"/>
      <c r="R101" s="122"/>
    </row>
    <row r="102" spans="1:18" ht="16.5" customHeight="1" thickBot="1" x14ac:dyDescent="0.25">
      <c r="A102" s="1167"/>
      <c r="B102" s="1170"/>
      <c r="C102" s="1173"/>
      <c r="D102" s="1176"/>
      <c r="E102" s="1036"/>
      <c r="F102" s="1130"/>
      <c r="G102" s="26" t="s">
        <v>5</v>
      </c>
      <c r="H102" s="85">
        <f t="shared" ref="H102" si="2">SUM(H100:H101)</f>
        <v>287.5</v>
      </c>
      <c r="I102" s="85">
        <f>SUM(I100:I101)</f>
        <v>273.2</v>
      </c>
      <c r="J102" s="85">
        <f t="shared" ref="J102" si="3">SUM(J100:J101)</f>
        <v>209</v>
      </c>
      <c r="K102" s="114"/>
      <c r="L102" s="29"/>
      <c r="M102" s="186"/>
      <c r="N102" s="29"/>
      <c r="O102" s="276"/>
    </row>
    <row r="103" spans="1:18" ht="15.75" customHeight="1" x14ac:dyDescent="0.2">
      <c r="A103" s="1166" t="s">
        <v>4</v>
      </c>
      <c r="B103" s="1168" t="s">
        <v>4</v>
      </c>
      <c r="C103" s="1171" t="s">
        <v>24</v>
      </c>
      <c r="D103" s="1174" t="s">
        <v>244</v>
      </c>
      <c r="E103" s="1034"/>
      <c r="F103" s="1128" t="s">
        <v>45</v>
      </c>
      <c r="G103" s="176" t="s">
        <v>21</v>
      </c>
      <c r="H103" s="67">
        <v>16.8</v>
      </c>
      <c r="I103" s="67">
        <v>16.8</v>
      </c>
      <c r="J103" s="67">
        <v>16.7</v>
      </c>
      <c r="K103" s="1182" t="s">
        <v>245</v>
      </c>
      <c r="L103" s="237">
        <v>2</v>
      </c>
      <c r="M103" s="201">
        <v>2</v>
      </c>
      <c r="N103" s="243"/>
      <c r="O103" s="260"/>
    </row>
    <row r="104" spans="1:18" ht="12.75" customHeight="1" x14ac:dyDescent="0.2">
      <c r="A104" s="1061"/>
      <c r="B104" s="1169"/>
      <c r="C104" s="1172"/>
      <c r="D104" s="1175"/>
      <c r="E104" s="1035"/>
      <c r="F104" s="1129"/>
      <c r="G104" s="174"/>
      <c r="H104" s="57"/>
      <c r="I104" s="57"/>
      <c r="J104" s="57"/>
      <c r="K104" s="999"/>
      <c r="L104" s="243"/>
      <c r="M104" s="201"/>
      <c r="N104" s="243"/>
      <c r="O104" s="260"/>
    </row>
    <row r="105" spans="1:18" ht="16.5" customHeight="1" thickBot="1" x14ac:dyDescent="0.25">
      <c r="A105" s="1167"/>
      <c r="B105" s="1170"/>
      <c r="C105" s="1173"/>
      <c r="D105" s="1176"/>
      <c r="E105" s="1036"/>
      <c r="F105" s="1130"/>
      <c r="G105" s="26" t="s">
        <v>5</v>
      </c>
      <c r="H105" s="85">
        <f>SUM(H103:H104)</f>
        <v>16.8</v>
      </c>
      <c r="I105" s="85">
        <f>SUM(I103:I104)</f>
        <v>16.8</v>
      </c>
      <c r="J105" s="93">
        <f>SUM(J103:J104)</f>
        <v>16.7</v>
      </c>
      <c r="K105" s="1265"/>
      <c r="L105" s="29"/>
      <c r="M105" s="186"/>
      <c r="N105" s="29"/>
      <c r="O105" s="276"/>
    </row>
    <row r="106" spans="1:18" ht="20.25" customHeight="1" x14ac:dyDescent="0.2">
      <c r="A106" s="964" t="s">
        <v>4</v>
      </c>
      <c r="B106" s="965" t="s">
        <v>4</v>
      </c>
      <c r="C106" s="966" t="s">
        <v>32</v>
      </c>
      <c r="D106" s="1001" t="s">
        <v>112</v>
      </c>
      <c r="E106" s="115" t="s">
        <v>43</v>
      </c>
      <c r="F106" s="968" t="s">
        <v>42</v>
      </c>
      <c r="G106" s="42"/>
      <c r="H106" s="67"/>
      <c r="I106" s="67"/>
      <c r="J106" s="67"/>
      <c r="K106" s="1012"/>
      <c r="L106" s="65"/>
      <c r="M106" s="189"/>
      <c r="N106" s="65"/>
      <c r="O106" s="309"/>
    </row>
    <row r="107" spans="1:18" ht="21.75" customHeight="1" x14ac:dyDescent="0.2">
      <c r="A107" s="949"/>
      <c r="B107" s="960"/>
      <c r="C107" s="967"/>
      <c r="D107" s="1002"/>
      <c r="E107" s="963"/>
      <c r="F107" s="931"/>
      <c r="G107" s="456"/>
      <c r="H107" s="57"/>
      <c r="I107" s="57"/>
      <c r="J107" s="57"/>
      <c r="K107" s="1013"/>
      <c r="L107" s="66"/>
      <c r="M107" s="145"/>
      <c r="N107" s="232"/>
      <c r="O107" s="310"/>
    </row>
    <row r="108" spans="1:18" ht="16.5" customHeight="1" x14ac:dyDescent="0.2">
      <c r="A108" s="949"/>
      <c r="B108" s="960"/>
      <c r="C108" s="951" t="s">
        <v>4</v>
      </c>
      <c r="D108" s="1014" t="s">
        <v>124</v>
      </c>
      <c r="E108" s="1020" t="s">
        <v>79</v>
      </c>
      <c r="F108" s="1022"/>
      <c r="G108" s="978" t="s">
        <v>53</v>
      </c>
      <c r="H108" s="128">
        <v>70.3</v>
      </c>
      <c r="I108" s="128">
        <v>73.099999999999994</v>
      </c>
      <c r="J108" s="128">
        <v>44.8</v>
      </c>
      <c r="K108" s="843" t="s">
        <v>78</v>
      </c>
      <c r="L108" s="810">
        <v>1</v>
      </c>
      <c r="M108" s="902">
        <v>0.9</v>
      </c>
      <c r="N108" s="887" t="s">
        <v>774</v>
      </c>
      <c r="O108" s="1226" t="s">
        <v>819</v>
      </c>
    </row>
    <row r="109" spans="1:18" ht="151.5" customHeight="1" x14ac:dyDescent="0.2">
      <c r="A109" s="949"/>
      <c r="B109" s="960"/>
      <c r="C109" s="952"/>
      <c r="D109" s="1016"/>
      <c r="E109" s="1021"/>
      <c r="F109" s="1022"/>
      <c r="G109" s="140"/>
      <c r="H109" s="57"/>
      <c r="I109" s="57"/>
      <c r="J109" s="57"/>
      <c r="K109" s="845"/>
      <c r="L109" s="812"/>
      <c r="M109" s="805"/>
      <c r="N109" s="805"/>
      <c r="O109" s="1227"/>
    </row>
    <row r="110" spans="1:18" ht="14.25" customHeight="1" x14ac:dyDescent="0.2">
      <c r="A110" s="949"/>
      <c r="B110" s="960"/>
      <c r="C110" s="951" t="s">
        <v>6</v>
      </c>
      <c r="D110" s="1014" t="s">
        <v>142</v>
      </c>
      <c r="E110" s="1185" t="s">
        <v>58</v>
      </c>
      <c r="F110" s="1022"/>
      <c r="G110" s="236" t="s">
        <v>21</v>
      </c>
      <c r="H110" s="56">
        <v>364.5</v>
      </c>
      <c r="I110" s="56">
        <v>26</v>
      </c>
      <c r="J110" s="56">
        <v>0</v>
      </c>
      <c r="K110" s="1027" t="s">
        <v>78</v>
      </c>
      <c r="L110" s="810">
        <v>1</v>
      </c>
      <c r="M110" s="844">
        <v>1</v>
      </c>
      <c r="N110" s="920" t="s">
        <v>774</v>
      </c>
      <c r="O110" s="1226" t="s">
        <v>822</v>
      </c>
      <c r="P110" s="900"/>
    </row>
    <row r="111" spans="1:18" ht="13.5" customHeight="1" x14ac:dyDescent="0.2">
      <c r="A111" s="949"/>
      <c r="B111" s="960"/>
      <c r="C111" s="952"/>
      <c r="D111" s="1015"/>
      <c r="E111" s="1186"/>
      <c r="F111" s="1022"/>
      <c r="G111" s="978" t="s">
        <v>53</v>
      </c>
      <c r="H111" s="408">
        <f>322.5+20.3</f>
        <v>342.8</v>
      </c>
      <c r="I111" s="408">
        <f>322.5+20.3-15</f>
        <v>327.8</v>
      </c>
      <c r="J111" s="128">
        <v>18.2</v>
      </c>
      <c r="K111" s="1028"/>
      <c r="L111" s="903"/>
      <c r="M111" s="803"/>
      <c r="N111" s="1246" t="s">
        <v>762</v>
      </c>
      <c r="O111" s="1245"/>
    </row>
    <row r="112" spans="1:18" ht="13.5" customHeight="1" x14ac:dyDescent="0.2">
      <c r="A112" s="949"/>
      <c r="B112" s="960"/>
      <c r="C112" s="952"/>
      <c r="D112" s="1015"/>
      <c r="E112" s="1186"/>
      <c r="F112" s="1022"/>
      <c r="G112" s="978" t="s">
        <v>74</v>
      </c>
      <c r="H112" s="408">
        <f>85.6-0.2</f>
        <v>85.4</v>
      </c>
      <c r="I112" s="408">
        <v>0</v>
      </c>
      <c r="J112" s="128">
        <v>0</v>
      </c>
      <c r="K112" s="975"/>
      <c r="L112" s="903"/>
      <c r="M112" s="803"/>
      <c r="N112" s="1247"/>
      <c r="O112" s="1245"/>
    </row>
    <row r="113" spans="1:16" ht="15" customHeight="1" x14ac:dyDescent="0.2">
      <c r="A113" s="949"/>
      <c r="B113" s="960"/>
      <c r="C113" s="952"/>
      <c r="D113" s="1015"/>
      <c r="E113" s="1186"/>
      <c r="F113" s="1022"/>
      <c r="G113" s="978" t="s">
        <v>173</v>
      </c>
      <c r="H113" s="409">
        <f>969.9-1.6</f>
        <v>968.3</v>
      </c>
      <c r="I113" s="409">
        <v>0</v>
      </c>
      <c r="J113" s="128">
        <v>0</v>
      </c>
      <c r="K113" s="904"/>
      <c r="L113" s="903"/>
      <c r="M113" s="803"/>
      <c r="N113" s="1248"/>
      <c r="O113" s="1227"/>
    </row>
    <row r="114" spans="1:16" ht="15.75" customHeight="1" x14ac:dyDescent="0.2">
      <c r="A114" s="949"/>
      <c r="B114" s="960"/>
      <c r="C114" s="951" t="s">
        <v>22</v>
      </c>
      <c r="D114" s="1014" t="s">
        <v>246</v>
      </c>
      <c r="E114" s="1017" t="s">
        <v>211</v>
      </c>
      <c r="F114" s="1022"/>
      <c r="G114" s="236" t="s">
        <v>21</v>
      </c>
      <c r="H114" s="56">
        <v>355.7</v>
      </c>
      <c r="I114" s="56">
        <v>0</v>
      </c>
      <c r="J114" s="56"/>
      <c r="K114" s="1027" t="s">
        <v>78</v>
      </c>
      <c r="L114" s="810">
        <v>1</v>
      </c>
      <c r="M114" s="844">
        <v>1</v>
      </c>
      <c r="N114" s="920" t="s">
        <v>774</v>
      </c>
      <c r="O114" s="1226" t="s">
        <v>822</v>
      </c>
      <c r="P114" s="900"/>
    </row>
    <row r="115" spans="1:16" ht="16.5" customHeight="1" x14ac:dyDescent="0.2">
      <c r="A115" s="949"/>
      <c r="B115" s="960"/>
      <c r="C115" s="952"/>
      <c r="D115" s="1015"/>
      <c r="E115" s="1018"/>
      <c r="F115" s="1022"/>
      <c r="G115" s="978" t="s">
        <v>173</v>
      </c>
      <c r="H115" s="128">
        <v>370.8</v>
      </c>
      <c r="I115" s="128">
        <v>0.2</v>
      </c>
      <c r="J115" s="128">
        <v>0</v>
      </c>
      <c r="K115" s="1028"/>
      <c r="L115" s="905"/>
      <c r="M115" s="803"/>
      <c r="N115" s="1246" t="s">
        <v>820</v>
      </c>
      <c r="O115" s="1245"/>
    </row>
    <row r="116" spans="1:16" ht="24.75" customHeight="1" x14ac:dyDescent="0.2">
      <c r="A116" s="949"/>
      <c r="B116" s="960"/>
      <c r="C116" s="952"/>
      <c r="D116" s="1015"/>
      <c r="E116" s="1018"/>
      <c r="F116" s="1022"/>
      <c r="G116" s="978" t="s">
        <v>53</v>
      </c>
      <c r="H116" s="128">
        <v>133.30000000000001</v>
      </c>
      <c r="I116" s="128">
        <v>67.900000000000006</v>
      </c>
      <c r="J116" s="128">
        <v>47.1</v>
      </c>
      <c r="K116" s="975"/>
      <c r="L116" s="903"/>
      <c r="M116" s="803"/>
      <c r="N116" s="1246"/>
      <c r="O116" s="1245"/>
    </row>
    <row r="117" spans="1:16" ht="17.25" customHeight="1" x14ac:dyDescent="0.2">
      <c r="A117" s="949"/>
      <c r="B117" s="960"/>
      <c r="C117" s="952"/>
      <c r="D117" s="1016"/>
      <c r="E117" s="1019"/>
      <c r="F117" s="1022"/>
      <c r="G117" s="140" t="s">
        <v>74</v>
      </c>
      <c r="H117" s="57">
        <v>32.700000000000003</v>
      </c>
      <c r="I117" s="57">
        <v>0.1</v>
      </c>
      <c r="J117" s="57">
        <v>0</v>
      </c>
      <c r="K117" s="906"/>
      <c r="L117" s="812"/>
      <c r="M117" s="805"/>
      <c r="N117" s="921"/>
      <c r="O117" s="1227"/>
    </row>
    <row r="118" spans="1:16" ht="17.25" customHeight="1" x14ac:dyDescent="0.2">
      <c r="A118" s="949"/>
      <c r="B118" s="960"/>
      <c r="C118" s="951" t="s">
        <v>30</v>
      </c>
      <c r="D118" s="1211" t="s">
        <v>212</v>
      </c>
      <c r="E118" s="1018" t="s">
        <v>213</v>
      </c>
      <c r="F118" s="931"/>
      <c r="G118" s="86" t="s">
        <v>53</v>
      </c>
      <c r="H118" s="86">
        <v>129.6</v>
      </c>
      <c r="I118" s="86">
        <f>129.6+15</f>
        <v>144.6</v>
      </c>
      <c r="J118" s="86">
        <v>76.2</v>
      </c>
      <c r="K118" s="975" t="s">
        <v>78</v>
      </c>
      <c r="L118" s="803">
        <v>1</v>
      </c>
      <c r="M118" s="847" t="s">
        <v>763</v>
      </c>
      <c r="N118" s="887" t="s">
        <v>774</v>
      </c>
      <c r="O118" s="1226" t="s">
        <v>823</v>
      </c>
    </row>
    <row r="119" spans="1:16" ht="22.5" customHeight="1" x14ac:dyDescent="0.2">
      <c r="A119" s="949"/>
      <c r="B119" s="960"/>
      <c r="C119" s="952"/>
      <c r="D119" s="1276"/>
      <c r="E119" s="1018"/>
      <c r="F119" s="931"/>
      <c r="G119" s="86"/>
      <c r="H119" s="86"/>
      <c r="I119" s="86"/>
      <c r="J119" s="86"/>
      <c r="K119" s="1029"/>
      <c r="L119" s="803"/>
      <c r="M119" s="803"/>
      <c r="N119" s="803"/>
      <c r="O119" s="1245"/>
    </row>
    <row r="120" spans="1:16" ht="42" customHeight="1" x14ac:dyDescent="0.2">
      <c r="A120" s="949"/>
      <c r="B120" s="960"/>
      <c r="C120" s="952"/>
      <c r="D120" s="1277"/>
      <c r="E120" s="1213"/>
      <c r="F120" s="1022"/>
      <c r="G120" s="87"/>
      <c r="H120" s="57"/>
      <c r="I120" s="57"/>
      <c r="J120" s="57"/>
      <c r="K120" s="1030"/>
      <c r="L120" s="846"/>
      <c r="M120" s="805"/>
      <c r="N120" s="805"/>
      <c r="O120" s="1227"/>
    </row>
    <row r="121" spans="1:16" ht="15.75" customHeight="1" x14ac:dyDescent="0.2">
      <c r="A121" s="949"/>
      <c r="B121" s="960"/>
      <c r="C121" s="951" t="s">
        <v>31</v>
      </c>
      <c r="D121" s="1014" t="s">
        <v>123</v>
      </c>
      <c r="E121" s="1017" t="s">
        <v>79</v>
      </c>
      <c r="F121" s="1022"/>
      <c r="G121" s="86" t="s">
        <v>173</v>
      </c>
      <c r="H121" s="86">
        <v>522.79999999999995</v>
      </c>
      <c r="I121" s="86">
        <f>522.8-513.6</f>
        <v>9.1999999999999993</v>
      </c>
      <c r="J121" s="86">
        <v>9.9</v>
      </c>
      <c r="K121" s="1027" t="s">
        <v>78</v>
      </c>
      <c r="L121" s="803">
        <v>1</v>
      </c>
      <c r="M121" s="847" t="s">
        <v>45</v>
      </c>
      <c r="N121" s="920" t="s">
        <v>774</v>
      </c>
      <c r="O121" s="908"/>
      <c r="P121" s="900"/>
    </row>
    <row r="122" spans="1:16" ht="13.5" customHeight="1" x14ac:dyDescent="0.2">
      <c r="A122" s="949"/>
      <c r="B122" s="960"/>
      <c r="C122" s="952"/>
      <c r="D122" s="1015"/>
      <c r="E122" s="1018"/>
      <c r="F122" s="1022"/>
      <c r="G122" s="86" t="s">
        <v>53</v>
      </c>
      <c r="H122" s="86">
        <v>28.2</v>
      </c>
      <c r="I122" s="86">
        <v>28.2</v>
      </c>
      <c r="J122" s="86">
        <v>22.8</v>
      </c>
      <c r="K122" s="1028"/>
      <c r="L122" s="803"/>
      <c r="M122" s="847"/>
      <c r="N122" s="1246" t="s">
        <v>821</v>
      </c>
      <c r="O122" s="908"/>
    </row>
    <row r="123" spans="1:16" ht="13.5" customHeight="1" x14ac:dyDescent="0.2">
      <c r="A123" s="949"/>
      <c r="B123" s="960"/>
      <c r="C123" s="952"/>
      <c r="D123" s="1015"/>
      <c r="E123" s="1018"/>
      <c r="F123" s="931"/>
      <c r="G123" s="86" t="s">
        <v>21</v>
      </c>
      <c r="H123" s="86">
        <v>52.3</v>
      </c>
      <c r="I123" s="86">
        <v>52.3</v>
      </c>
      <c r="J123" s="86"/>
      <c r="K123" s="975"/>
      <c r="L123" s="803"/>
      <c r="M123" s="847"/>
      <c r="N123" s="1247"/>
      <c r="O123" s="908"/>
    </row>
    <row r="124" spans="1:16" ht="13.5" customHeight="1" x14ac:dyDescent="0.2">
      <c r="A124" s="949"/>
      <c r="B124" s="960"/>
      <c r="C124" s="952"/>
      <c r="D124" s="1016"/>
      <c r="E124" s="1018"/>
      <c r="F124" s="1022"/>
      <c r="G124" s="87" t="s">
        <v>74</v>
      </c>
      <c r="H124" s="57">
        <v>46.1</v>
      </c>
      <c r="I124" s="57">
        <f>46.1-45.3</f>
        <v>0.8</v>
      </c>
      <c r="J124" s="57"/>
      <c r="K124" s="976"/>
      <c r="L124" s="805"/>
      <c r="M124" s="880"/>
      <c r="N124" s="1248"/>
      <c r="O124" s="907"/>
    </row>
    <row r="125" spans="1:16" ht="17.25" customHeight="1" x14ac:dyDescent="0.2">
      <c r="A125" s="949"/>
      <c r="B125" s="960"/>
      <c r="C125" s="951" t="s">
        <v>24</v>
      </c>
      <c r="D125" s="1023" t="s">
        <v>125</v>
      </c>
      <c r="E125" s="1017" t="s">
        <v>79</v>
      </c>
      <c r="F125" s="1022"/>
      <c r="G125" s="86" t="s">
        <v>21</v>
      </c>
      <c r="H125" s="128">
        <v>66.8</v>
      </c>
      <c r="I125" s="128">
        <v>66.8</v>
      </c>
      <c r="J125" s="56">
        <v>0</v>
      </c>
      <c r="K125" s="975" t="s">
        <v>78</v>
      </c>
      <c r="L125" s="804">
        <v>1</v>
      </c>
      <c r="M125" s="847" t="s">
        <v>45</v>
      </c>
      <c r="N125" s="929" t="s">
        <v>774</v>
      </c>
      <c r="O125" s="928" t="s">
        <v>779</v>
      </c>
      <c r="P125" s="900"/>
    </row>
    <row r="126" spans="1:16" ht="14.25" customHeight="1" x14ac:dyDescent="0.2">
      <c r="A126" s="949"/>
      <c r="B126" s="960"/>
      <c r="C126" s="952"/>
      <c r="D126" s="1024"/>
      <c r="E126" s="1018"/>
      <c r="F126" s="1022"/>
      <c r="G126" s="86" t="s">
        <v>53</v>
      </c>
      <c r="H126" s="128">
        <v>107.3</v>
      </c>
      <c r="I126" s="128">
        <v>107.3</v>
      </c>
      <c r="J126" s="79">
        <v>51.4</v>
      </c>
      <c r="K126" s="1028" t="s">
        <v>214</v>
      </c>
      <c r="L126" s="803">
        <v>40</v>
      </c>
      <c r="M126" s="847" t="s">
        <v>129</v>
      </c>
      <c r="N126" s="1246"/>
      <c r="O126" s="1245" t="s">
        <v>792</v>
      </c>
    </row>
    <row r="127" spans="1:16" ht="12.75" customHeight="1" x14ac:dyDescent="0.2">
      <c r="A127" s="949"/>
      <c r="B127" s="960"/>
      <c r="C127" s="952"/>
      <c r="D127" s="1025"/>
      <c r="E127" s="1018"/>
      <c r="F127" s="1022"/>
      <c r="G127" s="86" t="s">
        <v>44</v>
      </c>
      <c r="H127" s="128">
        <v>737.4</v>
      </c>
      <c r="I127" s="128">
        <v>737.4</v>
      </c>
      <c r="J127" s="73">
        <v>0</v>
      </c>
      <c r="K127" s="1028"/>
      <c r="L127" s="803"/>
      <c r="M127" s="847"/>
      <c r="N127" s="1246"/>
      <c r="O127" s="1245"/>
    </row>
    <row r="128" spans="1:16" ht="14.25" customHeight="1" x14ac:dyDescent="0.2">
      <c r="A128" s="949"/>
      <c r="B128" s="960"/>
      <c r="C128" s="952"/>
      <c r="D128" s="1026"/>
      <c r="E128" s="1019"/>
      <c r="F128" s="230"/>
      <c r="G128" s="87" t="s">
        <v>140</v>
      </c>
      <c r="H128" s="57">
        <v>65.099999999999994</v>
      </c>
      <c r="I128" s="57">
        <v>65.099999999999994</v>
      </c>
      <c r="J128" s="57">
        <v>0</v>
      </c>
      <c r="K128" s="976"/>
      <c r="L128" s="805"/>
      <c r="M128" s="880"/>
      <c r="N128" s="812"/>
      <c r="O128" s="1227"/>
    </row>
    <row r="129" spans="1:15" ht="17.25" customHeight="1" x14ac:dyDescent="0.2">
      <c r="A129" s="949"/>
      <c r="B129" s="960"/>
      <c r="C129" s="951" t="s">
        <v>32</v>
      </c>
      <c r="D129" s="1031" t="s">
        <v>797</v>
      </c>
      <c r="E129" s="1017"/>
      <c r="F129" s="44"/>
      <c r="G129" s="410" t="s">
        <v>21</v>
      </c>
      <c r="H129" s="128"/>
      <c r="I129" s="128"/>
      <c r="J129" s="128"/>
      <c r="K129" s="998" t="s">
        <v>824</v>
      </c>
      <c r="L129" s="274">
        <v>1</v>
      </c>
      <c r="M129" s="458" t="s">
        <v>45</v>
      </c>
      <c r="N129" s="25"/>
      <c r="O129" s="252"/>
    </row>
    <row r="130" spans="1:15" ht="18.75" customHeight="1" x14ac:dyDescent="0.2">
      <c r="A130" s="949"/>
      <c r="B130" s="960"/>
      <c r="C130" s="952"/>
      <c r="D130" s="1032"/>
      <c r="E130" s="1018"/>
      <c r="F130" s="44"/>
      <c r="G130" s="86" t="s">
        <v>53</v>
      </c>
      <c r="H130" s="128">
        <v>5</v>
      </c>
      <c r="I130" s="128">
        <v>5</v>
      </c>
      <c r="J130" s="73">
        <v>4.9000000000000004</v>
      </c>
      <c r="K130" s="999"/>
      <c r="L130" s="88"/>
      <c r="M130" s="71"/>
      <c r="N130" s="243"/>
      <c r="O130" s="260"/>
    </row>
    <row r="131" spans="1:15" ht="9" customHeight="1" x14ac:dyDescent="0.2">
      <c r="A131" s="949"/>
      <c r="B131" s="960"/>
      <c r="C131" s="821"/>
      <c r="D131" s="1033"/>
      <c r="E131" s="1019"/>
      <c r="F131" s="231"/>
      <c r="G131" s="411"/>
      <c r="H131" s="57"/>
      <c r="I131" s="57"/>
      <c r="J131" s="57"/>
      <c r="K131" s="1000"/>
      <c r="L131" s="72"/>
      <c r="M131" s="72"/>
      <c r="N131" s="72"/>
      <c r="O131" s="261"/>
    </row>
    <row r="132" spans="1:15" ht="16.5" customHeight="1" thickBot="1" x14ac:dyDescent="0.25">
      <c r="A132" s="20"/>
      <c r="B132" s="970"/>
      <c r="C132" s="472"/>
      <c r="D132" s="473"/>
      <c r="E132" s="474"/>
      <c r="F132" s="471"/>
      <c r="G132" s="26" t="s">
        <v>5</v>
      </c>
      <c r="H132" s="85">
        <f>SUM(H108:H131)</f>
        <v>4484.3999999999996</v>
      </c>
      <c r="I132" s="85">
        <f>SUM(I108:I131)</f>
        <v>1711.8</v>
      </c>
      <c r="J132" s="85">
        <f t="shared" ref="J132" si="4">SUM(J108:J131)</f>
        <v>275.3</v>
      </c>
      <c r="K132" s="114"/>
      <c r="L132" s="29"/>
      <c r="M132" s="186"/>
      <c r="N132" s="29"/>
      <c r="O132" s="276"/>
    </row>
    <row r="133" spans="1:15" ht="20.25" customHeight="1" x14ac:dyDescent="0.2">
      <c r="A133" s="964" t="s">
        <v>4</v>
      </c>
      <c r="B133" s="965" t="s">
        <v>4</v>
      </c>
      <c r="C133" s="966" t="s">
        <v>25</v>
      </c>
      <c r="D133" s="1001" t="s">
        <v>215</v>
      </c>
      <c r="E133" s="115" t="s">
        <v>43</v>
      </c>
      <c r="F133" s="968" t="s">
        <v>42</v>
      </c>
      <c r="G133" s="42"/>
      <c r="H133" s="67"/>
      <c r="I133" s="67"/>
      <c r="J133" s="67"/>
      <c r="K133" s="1012"/>
      <c r="L133" s="65"/>
      <c r="M133" s="189"/>
      <c r="N133" s="189"/>
      <c r="O133" s="309"/>
    </row>
    <row r="134" spans="1:15" ht="19.5" customHeight="1" x14ac:dyDescent="0.2">
      <c r="A134" s="949"/>
      <c r="B134" s="960"/>
      <c r="C134" s="967"/>
      <c r="D134" s="1002"/>
      <c r="E134" s="963"/>
      <c r="F134" s="931"/>
      <c r="G134" s="43"/>
      <c r="H134" s="128"/>
      <c r="I134" s="128"/>
      <c r="J134" s="128"/>
      <c r="K134" s="1013"/>
      <c r="L134" s="66"/>
      <c r="M134" s="145"/>
      <c r="N134" s="145"/>
      <c r="O134" s="310"/>
    </row>
    <row r="135" spans="1:15" ht="16.5" customHeight="1" x14ac:dyDescent="0.2">
      <c r="A135" s="949"/>
      <c r="B135" s="960"/>
      <c r="C135" s="967"/>
      <c r="D135" s="1278" t="s">
        <v>216</v>
      </c>
      <c r="E135" s="1020" t="s">
        <v>217</v>
      </c>
      <c r="F135" s="1022"/>
      <c r="G135" s="236" t="s">
        <v>21</v>
      </c>
      <c r="H135" s="56">
        <v>10</v>
      </c>
      <c r="I135" s="56">
        <v>10</v>
      </c>
      <c r="J135" s="56">
        <v>0</v>
      </c>
      <c r="K135" s="848" t="s">
        <v>78</v>
      </c>
      <c r="L135" s="849">
        <v>1</v>
      </c>
      <c r="M135" s="850">
        <v>0</v>
      </c>
      <c r="N135" s="888" t="s">
        <v>776</v>
      </c>
      <c r="O135" s="1237" t="s">
        <v>793</v>
      </c>
    </row>
    <row r="136" spans="1:15" ht="12.75" customHeight="1" x14ac:dyDescent="0.2">
      <c r="A136" s="949"/>
      <c r="B136" s="960"/>
      <c r="C136" s="967"/>
      <c r="D136" s="1279"/>
      <c r="E136" s="1281"/>
      <c r="F136" s="1022"/>
      <c r="G136" s="978"/>
      <c r="H136" s="128"/>
      <c r="I136" s="128"/>
      <c r="J136" s="128"/>
      <c r="K136" s="851"/>
      <c r="L136" s="852"/>
      <c r="M136" s="816"/>
      <c r="N136" s="816"/>
      <c r="O136" s="1268"/>
    </row>
    <row r="137" spans="1:15" ht="28.5" customHeight="1" x14ac:dyDescent="0.2">
      <c r="A137" s="949"/>
      <c r="B137" s="960"/>
      <c r="C137" s="967"/>
      <c r="D137" s="1280"/>
      <c r="E137" s="1021"/>
      <c r="F137" s="1282"/>
      <c r="G137" s="140"/>
      <c r="H137" s="57"/>
      <c r="I137" s="57"/>
      <c r="J137" s="57"/>
      <c r="K137" s="853"/>
      <c r="L137" s="854"/>
      <c r="M137" s="817"/>
      <c r="N137" s="817"/>
      <c r="O137" s="1238"/>
    </row>
    <row r="138" spans="1:15" ht="16.5" customHeight="1" thickBot="1" x14ac:dyDescent="0.25">
      <c r="A138" s="20"/>
      <c r="B138" s="970"/>
      <c r="C138" s="472"/>
      <c r="D138" s="473"/>
      <c r="E138" s="474"/>
      <c r="F138" s="471"/>
      <c r="G138" s="26" t="s">
        <v>5</v>
      </c>
      <c r="H138" s="85">
        <f>SUM(H135:H137)</f>
        <v>10</v>
      </c>
      <c r="I138" s="85">
        <f>SUM(I135:I137)</f>
        <v>10</v>
      </c>
      <c r="J138" s="85">
        <f>SUM(J135:J137)</f>
        <v>0</v>
      </c>
      <c r="K138" s="114"/>
      <c r="L138" s="29"/>
      <c r="M138" s="186"/>
      <c r="N138" s="29"/>
      <c r="O138" s="276"/>
    </row>
    <row r="139" spans="1:15" ht="14.25" customHeight="1" thickBot="1" x14ac:dyDescent="0.25">
      <c r="A139" s="21" t="s">
        <v>4</v>
      </c>
      <c r="B139" s="45" t="s">
        <v>4</v>
      </c>
      <c r="C139" s="1256" t="s">
        <v>7</v>
      </c>
      <c r="D139" s="1249"/>
      <c r="E139" s="1249"/>
      <c r="F139" s="1249"/>
      <c r="G139" s="1257"/>
      <c r="H139" s="162">
        <f>H138+H132+H105+H102+H99+H84+H62+H51</f>
        <v>13074.4</v>
      </c>
      <c r="I139" s="162">
        <f t="shared" ref="I139:J139" si="5">I138+I132+I105+I102+I99+I84+I62+I51</f>
        <v>9582.7999999999993</v>
      </c>
      <c r="J139" s="162">
        <f t="shared" si="5"/>
        <v>7650.8</v>
      </c>
      <c r="K139" s="131"/>
      <c r="L139" s="131"/>
      <c r="M139" s="131"/>
      <c r="N139" s="131"/>
      <c r="O139" s="116"/>
    </row>
    <row r="140" spans="1:15" ht="17.25" customHeight="1" thickBot="1" x14ac:dyDescent="0.25">
      <c r="A140" s="21" t="s">
        <v>4</v>
      </c>
      <c r="B140" s="45" t="s">
        <v>6</v>
      </c>
      <c r="C140" s="1258" t="s">
        <v>38</v>
      </c>
      <c r="D140" s="1259"/>
      <c r="E140" s="1259"/>
      <c r="F140" s="1259"/>
      <c r="G140" s="1259"/>
      <c r="H140" s="1259"/>
      <c r="I140" s="1259"/>
      <c r="J140" s="1259"/>
      <c r="K140" s="1259"/>
      <c r="L140" s="1259"/>
      <c r="M140" s="1259"/>
      <c r="N140" s="1259"/>
      <c r="O140" s="1260"/>
    </row>
    <row r="141" spans="1:15" ht="27.75" customHeight="1" x14ac:dyDescent="0.2">
      <c r="A141" s="47" t="s">
        <v>4</v>
      </c>
      <c r="B141" s="62" t="s">
        <v>6</v>
      </c>
      <c r="C141" s="466" t="s">
        <v>4</v>
      </c>
      <c r="D141" s="111" t="s">
        <v>65</v>
      </c>
      <c r="E141" s="412"/>
      <c r="F141" s="413">
        <v>6</v>
      </c>
      <c r="G141" s="414"/>
      <c r="H141" s="415"/>
      <c r="I141" s="415"/>
      <c r="J141" s="416"/>
      <c r="K141" s="417"/>
      <c r="L141" s="418"/>
      <c r="M141" s="419"/>
      <c r="N141" s="419"/>
      <c r="O141" s="420"/>
    </row>
    <row r="142" spans="1:15" ht="18" customHeight="1" x14ac:dyDescent="0.2">
      <c r="A142" s="48"/>
      <c r="B142" s="119"/>
      <c r="C142" s="951" t="s">
        <v>4</v>
      </c>
      <c r="D142" s="1261" t="s">
        <v>47</v>
      </c>
      <c r="E142" s="963"/>
      <c r="F142" s="36"/>
      <c r="G142" s="421" t="s">
        <v>21</v>
      </c>
      <c r="H142" s="249">
        <v>39</v>
      </c>
      <c r="I142" s="249">
        <v>15.3</v>
      </c>
      <c r="J142" s="312">
        <v>15.3</v>
      </c>
      <c r="K142" s="945" t="s">
        <v>825</v>
      </c>
      <c r="L142" s="935">
        <v>350</v>
      </c>
      <c r="M142" s="303">
        <v>261</v>
      </c>
      <c r="N142" s="855" t="s">
        <v>780</v>
      </c>
      <c r="O142" s="590"/>
    </row>
    <row r="143" spans="1:15" ht="28.5" customHeight="1" x14ac:dyDescent="0.2">
      <c r="A143" s="48"/>
      <c r="B143" s="119"/>
      <c r="C143" s="820"/>
      <c r="D143" s="1261"/>
      <c r="E143" s="963"/>
      <c r="F143" s="36"/>
      <c r="G143" s="311"/>
      <c r="H143" s="128"/>
      <c r="I143" s="128"/>
      <c r="J143" s="202"/>
      <c r="K143" s="152" t="s">
        <v>97</v>
      </c>
      <c r="L143" s="89">
        <v>300</v>
      </c>
      <c r="M143" s="172">
        <v>268</v>
      </c>
      <c r="N143" s="172"/>
      <c r="O143" s="974"/>
    </row>
    <row r="144" spans="1:15" ht="33" customHeight="1" x14ac:dyDescent="0.2">
      <c r="A144" s="48"/>
      <c r="B144" s="119"/>
      <c r="C144" s="952"/>
      <c r="D144" s="1063"/>
      <c r="E144" s="247"/>
      <c r="F144" s="36"/>
      <c r="G144" s="37"/>
      <c r="H144" s="57"/>
      <c r="I144" s="57"/>
      <c r="J144" s="192"/>
      <c r="K144" s="227" t="s">
        <v>68</v>
      </c>
      <c r="L144" s="180">
        <v>11</v>
      </c>
      <c r="M144" s="173">
        <v>16</v>
      </c>
      <c r="N144" s="947"/>
      <c r="O144" s="974"/>
    </row>
    <row r="145" spans="1:15" ht="14.25" customHeight="1" x14ac:dyDescent="0.2">
      <c r="A145" s="48"/>
      <c r="B145" s="119"/>
      <c r="C145" s="951" t="s">
        <v>6</v>
      </c>
      <c r="D145" s="1062" t="s">
        <v>141</v>
      </c>
      <c r="E145" s="963"/>
      <c r="F145" s="36"/>
      <c r="G145" s="421" t="s">
        <v>21</v>
      </c>
      <c r="H145" s="56">
        <v>526.29999999999995</v>
      </c>
      <c r="I145" s="56">
        <v>550</v>
      </c>
      <c r="J145" s="60">
        <v>389.1</v>
      </c>
      <c r="K145" s="1262" t="s">
        <v>86</v>
      </c>
      <c r="L145" s="89">
        <v>18</v>
      </c>
      <c r="M145" s="303">
        <v>18</v>
      </c>
      <c r="N145" s="1239"/>
      <c r="O145" s="1011"/>
    </row>
    <row r="146" spans="1:15" ht="13.5" customHeight="1" x14ac:dyDescent="0.2">
      <c r="A146" s="48"/>
      <c r="B146" s="119"/>
      <c r="C146" s="230"/>
      <c r="D146" s="1221"/>
      <c r="E146" s="963"/>
      <c r="F146" s="36"/>
      <c r="G146" s="311" t="s">
        <v>53</v>
      </c>
      <c r="H146" s="128">
        <f>11.8+13.8+10</f>
        <v>35.6</v>
      </c>
      <c r="I146" s="128">
        <f>11.8+13.8+10</f>
        <v>35.6</v>
      </c>
      <c r="J146" s="202">
        <v>24.9</v>
      </c>
      <c r="K146" s="1263"/>
      <c r="L146" s="459"/>
      <c r="M146" s="460"/>
      <c r="N146" s="1240"/>
      <c r="O146" s="1011"/>
    </row>
    <row r="147" spans="1:15" ht="27.75" customHeight="1" x14ac:dyDescent="0.2">
      <c r="A147" s="48"/>
      <c r="B147" s="119"/>
      <c r="C147" s="230"/>
      <c r="D147" s="1221"/>
      <c r="E147" s="963"/>
      <c r="F147" s="36"/>
      <c r="G147" s="311"/>
      <c r="H147" s="128"/>
      <c r="I147" s="128"/>
      <c r="J147" s="128"/>
      <c r="K147" s="50" t="s">
        <v>83</v>
      </c>
      <c r="L147" s="313">
        <v>25</v>
      </c>
      <c r="M147" s="314">
        <v>23</v>
      </c>
      <c r="N147" s="314"/>
      <c r="O147" s="892"/>
    </row>
    <row r="148" spans="1:15" ht="15.75" customHeight="1" x14ac:dyDescent="0.2">
      <c r="A148" s="48"/>
      <c r="B148" s="119"/>
      <c r="C148" s="230"/>
      <c r="D148" s="1221"/>
      <c r="E148" s="49"/>
      <c r="F148" s="46"/>
      <c r="G148" s="311"/>
      <c r="H148" s="128"/>
      <c r="I148" s="128"/>
      <c r="J148" s="128"/>
      <c r="K148" s="316" t="s">
        <v>40</v>
      </c>
      <c r="L148" s="317">
        <v>57</v>
      </c>
      <c r="M148" s="318">
        <v>60</v>
      </c>
      <c r="N148" s="318"/>
      <c r="O148" s="892"/>
    </row>
    <row r="149" spans="1:15" ht="25.5" customHeight="1" x14ac:dyDescent="0.2">
      <c r="A149" s="48"/>
      <c r="B149" s="119"/>
      <c r="C149" s="230"/>
      <c r="D149" s="1221"/>
      <c r="E149" s="49"/>
      <c r="F149" s="46"/>
      <c r="G149" s="311"/>
      <c r="H149" s="128"/>
      <c r="I149" s="128"/>
      <c r="J149" s="128"/>
      <c r="K149" s="316" t="s">
        <v>218</v>
      </c>
      <c r="L149" s="317">
        <v>1</v>
      </c>
      <c r="M149" s="318">
        <v>1</v>
      </c>
      <c r="N149" s="318"/>
      <c r="O149" s="892"/>
    </row>
    <row r="150" spans="1:15" ht="27" customHeight="1" x14ac:dyDescent="0.2">
      <c r="A150" s="48"/>
      <c r="B150" s="119"/>
      <c r="C150" s="230"/>
      <c r="D150" s="941"/>
      <c r="E150" s="49"/>
      <c r="F150" s="46"/>
      <c r="G150" s="311"/>
      <c r="H150" s="128"/>
      <c r="I150" s="128"/>
      <c r="J150" s="128"/>
      <c r="K150" s="320" t="s">
        <v>219</v>
      </c>
      <c r="L150" s="234">
        <v>7.5</v>
      </c>
      <c r="M150" s="177">
        <v>5.7</v>
      </c>
      <c r="N150" s="177"/>
      <c r="O150" s="974"/>
    </row>
    <row r="151" spans="1:15" ht="55.5" customHeight="1" x14ac:dyDescent="0.2">
      <c r="A151" s="48"/>
      <c r="B151" s="119"/>
      <c r="C151" s="230"/>
      <c r="D151" s="941"/>
      <c r="E151" s="49"/>
      <c r="F151" s="46"/>
      <c r="G151" s="18"/>
      <c r="H151" s="128"/>
      <c r="I151" s="128"/>
      <c r="J151" s="128"/>
      <c r="K151" s="320" t="s">
        <v>136</v>
      </c>
      <c r="L151" s="234">
        <v>100</v>
      </c>
      <c r="M151" s="177">
        <v>100</v>
      </c>
      <c r="N151" s="314"/>
      <c r="O151" s="892"/>
    </row>
    <row r="152" spans="1:15" ht="29.25" customHeight="1" x14ac:dyDescent="0.2">
      <c r="A152" s="48"/>
      <c r="B152" s="119"/>
      <c r="C152" s="230"/>
      <c r="D152" s="941"/>
      <c r="E152" s="49"/>
      <c r="F152" s="46"/>
      <c r="G152" s="311"/>
      <c r="H152" s="128"/>
      <c r="I152" s="128"/>
      <c r="J152" s="128"/>
      <c r="K152" s="320" t="s">
        <v>220</v>
      </c>
      <c r="L152" s="234">
        <v>50</v>
      </c>
      <c r="M152" s="177">
        <v>50</v>
      </c>
      <c r="N152" s="857" t="s">
        <v>765</v>
      </c>
      <c r="O152" s="892"/>
    </row>
    <row r="153" spans="1:15" ht="29.25" customHeight="1" x14ac:dyDescent="0.2">
      <c r="A153" s="48"/>
      <c r="B153" s="119"/>
      <c r="C153" s="977"/>
      <c r="D153" s="934"/>
      <c r="E153" s="422"/>
      <c r="F153" s="195"/>
      <c r="G153" s="37"/>
      <c r="H153" s="57"/>
      <c r="I153" s="57"/>
      <c r="J153" s="452"/>
      <c r="K153" s="423" t="s">
        <v>221</v>
      </c>
      <c r="L153" s="889">
        <v>10</v>
      </c>
      <c r="M153" s="890">
        <v>10</v>
      </c>
      <c r="N153" s="856" t="s">
        <v>764</v>
      </c>
      <c r="O153" s="891"/>
    </row>
    <row r="154" spans="1:15" ht="16.5" customHeight="1" thickBot="1" x14ac:dyDescent="0.25">
      <c r="A154" s="20"/>
      <c r="B154" s="970"/>
      <c r="C154" s="472"/>
      <c r="D154" s="473"/>
      <c r="E154" s="474"/>
      <c r="F154" s="471"/>
      <c r="G154" s="26" t="s">
        <v>5</v>
      </c>
      <c r="H154" s="85">
        <f>SUM(H142:H153)</f>
        <v>600.9</v>
      </c>
      <c r="I154" s="85">
        <f t="shared" ref="I154:J154" si="6">SUM(I142:I153)</f>
        <v>600.9</v>
      </c>
      <c r="J154" s="85">
        <f t="shared" si="6"/>
        <v>429.3</v>
      </c>
      <c r="K154" s="114"/>
      <c r="L154" s="29"/>
      <c r="M154" s="186"/>
      <c r="N154" s="29"/>
      <c r="O154" s="276"/>
    </row>
    <row r="155" spans="1:15" ht="14.25" customHeight="1" thickBot="1" x14ac:dyDescent="0.25">
      <c r="A155" s="22" t="s">
        <v>4</v>
      </c>
      <c r="B155" s="5" t="s">
        <v>6</v>
      </c>
      <c r="C155" s="1249" t="s">
        <v>7</v>
      </c>
      <c r="D155" s="1249"/>
      <c r="E155" s="1249"/>
      <c r="F155" s="1249"/>
      <c r="G155" s="1249"/>
      <c r="H155" s="59">
        <f>H154</f>
        <v>600.9</v>
      </c>
      <c r="I155" s="59">
        <f>I154</f>
        <v>600.9</v>
      </c>
      <c r="J155" s="59">
        <f>J154</f>
        <v>429.3</v>
      </c>
      <c r="K155" s="131"/>
      <c r="L155" s="131"/>
      <c r="M155" s="131"/>
      <c r="N155" s="131"/>
      <c r="O155" s="116"/>
    </row>
    <row r="156" spans="1:15" ht="17.25" customHeight="1" thickBot="1" x14ac:dyDescent="0.25">
      <c r="A156" s="21" t="s">
        <v>4</v>
      </c>
      <c r="B156" s="5" t="s">
        <v>22</v>
      </c>
      <c r="C156" s="1250" t="s">
        <v>104</v>
      </c>
      <c r="D156" s="1251"/>
      <c r="E156" s="1251"/>
      <c r="F156" s="1251"/>
      <c r="G156" s="1251"/>
      <c r="H156" s="1251"/>
      <c r="I156" s="1251"/>
      <c r="J156" s="1251"/>
      <c r="K156" s="1251"/>
      <c r="L156" s="1251"/>
      <c r="M156" s="1251"/>
      <c r="N156" s="940"/>
      <c r="O156" s="437"/>
    </row>
    <row r="157" spans="1:15" ht="27.75" customHeight="1" x14ac:dyDescent="0.2">
      <c r="A157" s="136" t="s">
        <v>4</v>
      </c>
      <c r="B157" s="132" t="s">
        <v>22</v>
      </c>
      <c r="C157" s="981" t="s">
        <v>4</v>
      </c>
      <c r="D157" s="358" t="s">
        <v>81</v>
      </c>
      <c r="E157" s="138"/>
      <c r="F157" s="322">
        <v>6</v>
      </c>
      <c r="G157" s="424"/>
      <c r="H157" s="425"/>
      <c r="I157" s="425"/>
      <c r="J157" s="426"/>
      <c r="K157" s="113"/>
      <c r="L157" s="324"/>
      <c r="M157" s="323"/>
      <c r="N157" s="438"/>
      <c r="O157" s="325"/>
    </row>
    <row r="158" spans="1:15" ht="14.25" customHeight="1" x14ac:dyDescent="0.2">
      <c r="A158" s="136"/>
      <c r="B158" s="132"/>
      <c r="C158" s="971" t="s">
        <v>4</v>
      </c>
      <c r="D158" s="1192" t="s">
        <v>222</v>
      </c>
      <c r="E158" s="106" t="s">
        <v>43</v>
      </c>
      <c r="F158" s="322"/>
      <c r="G158" s="978" t="s">
        <v>21</v>
      </c>
      <c r="H158" s="240">
        <f>1400-300</f>
        <v>1100</v>
      </c>
      <c r="I158" s="202">
        <v>1211</v>
      </c>
      <c r="J158" s="56">
        <v>1211</v>
      </c>
      <c r="K158" s="104"/>
      <c r="L158" s="3"/>
      <c r="M158" s="194"/>
      <c r="N158" s="105"/>
      <c r="O158" s="427"/>
    </row>
    <row r="159" spans="1:15" ht="14.25" customHeight="1" x14ac:dyDescent="0.2">
      <c r="A159" s="136"/>
      <c r="B159" s="132"/>
      <c r="C159" s="972"/>
      <c r="D159" s="1221"/>
      <c r="E159" s="106"/>
      <c r="F159" s="322"/>
      <c r="G159" s="978" t="s">
        <v>53</v>
      </c>
      <c r="H159" s="240">
        <v>296.7</v>
      </c>
      <c r="I159" s="202">
        <v>725.7</v>
      </c>
      <c r="J159" s="128">
        <v>640.5</v>
      </c>
      <c r="K159" s="146"/>
      <c r="L159" s="326"/>
      <c r="M159" s="428"/>
      <c r="N159" s="439"/>
      <c r="O159" s="327"/>
    </row>
    <row r="160" spans="1:15" ht="6.75" customHeight="1" x14ac:dyDescent="0.2">
      <c r="A160" s="136"/>
      <c r="B160" s="132"/>
      <c r="C160" s="972"/>
      <c r="D160" s="1221"/>
      <c r="E160" s="106"/>
      <c r="F160" s="322"/>
      <c r="G160" s="978"/>
      <c r="H160" s="240"/>
      <c r="I160" s="128"/>
      <c r="J160" s="128"/>
      <c r="K160" s="146"/>
      <c r="L160" s="326"/>
      <c r="M160" s="428"/>
      <c r="N160" s="439"/>
      <c r="O160" s="327"/>
    </row>
    <row r="161" spans="1:17" ht="15" customHeight="1" x14ac:dyDescent="0.2">
      <c r="A161" s="136"/>
      <c r="B161" s="132"/>
      <c r="C161" s="972"/>
      <c r="D161" s="328" t="s">
        <v>798</v>
      </c>
      <c r="E161" s="106"/>
      <c r="F161" s="322"/>
      <c r="G161" s="978"/>
      <c r="H161" s="329"/>
      <c r="I161" s="329"/>
      <c r="J161" s="250"/>
      <c r="K161" s="858" t="s">
        <v>223</v>
      </c>
      <c r="L161" s="461">
        <v>10</v>
      </c>
      <c r="M161" s="330">
        <v>10</v>
      </c>
      <c r="N161" s="90"/>
      <c r="O161" s="127"/>
    </row>
    <row r="162" spans="1:17" ht="13.5" customHeight="1" x14ac:dyDescent="0.2">
      <c r="A162" s="136"/>
      <c r="B162" s="132"/>
      <c r="C162" s="972"/>
      <c r="D162" s="1252" t="s">
        <v>224</v>
      </c>
      <c r="E162" s="106"/>
      <c r="F162" s="322"/>
      <c r="G162" s="978"/>
      <c r="H162" s="240"/>
      <c r="I162" s="240"/>
      <c r="J162" s="128"/>
      <c r="K162" s="1254" t="s">
        <v>150</v>
      </c>
      <c r="L162" s="461">
        <v>726</v>
      </c>
      <c r="M162" s="330">
        <v>726</v>
      </c>
      <c r="N162" s="1269" t="s">
        <v>830</v>
      </c>
      <c r="O162" s="127"/>
    </row>
    <row r="163" spans="1:17" ht="94.5" customHeight="1" x14ac:dyDescent="0.2">
      <c r="A163" s="136"/>
      <c r="B163" s="132"/>
      <c r="C163" s="972"/>
      <c r="D163" s="1253"/>
      <c r="E163" s="106"/>
      <c r="F163" s="322"/>
      <c r="G163" s="978"/>
      <c r="H163" s="240"/>
      <c r="I163" s="240"/>
      <c r="J163" s="128"/>
      <c r="K163" s="1255"/>
      <c r="L163" s="331"/>
      <c r="M163" s="332"/>
      <c r="N163" s="1270"/>
      <c r="O163" s="127"/>
    </row>
    <row r="164" spans="1:17" ht="26.25" customHeight="1" x14ac:dyDescent="0.2">
      <c r="A164" s="136"/>
      <c r="B164" s="132"/>
      <c r="C164" s="972"/>
      <c r="D164" s="334" t="s">
        <v>225</v>
      </c>
      <c r="E164" s="106"/>
      <c r="F164" s="322"/>
      <c r="G164" s="978"/>
      <c r="H164" s="329"/>
      <c r="I164" s="329"/>
      <c r="J164" s="250"/>
      <c r="K164" s="165" t="s">
        <v>120</v>
      </c>
      <c r="L164" s="859">
        <v>10.3</v>
      </c>
      <c r="M164" s="859">
        <v>10.3</v>
      </c>
      <c r="N164" s="860" t="s">
        <v>781</v>
      </c>
      <c r="O164" s="333"/>
      <c r="Q164" s="122"/>
    </row>
    <row r="165" spans="1:17" ht="24.75" customHeight="1" x14ac:dyDescent="0.2">
      <c r="A165" s="1061"/>
      <c r="B165" s="1003"/>
      <c r="C165" s="1004" t="s">
        <v>6</v>
      </c>
      <c r="D165" s="1062" t="s">
        <v>109</v>
      </c>
      <c r="E165" s="1164"/>
      <c r="F165" s="322"/>
      <c r="G165" s="236" t="s">
        <v>21</v>
      </c>
      <c r="H165" s="60">
        <v>2.1</v>
      </c>
      <c r="I165" s="60">
        <v>2.1</v>
      </c>
      <c r="J165" s="56">
        <v>2.1</v>
      </c>
      <c r="K165" s="936" t="s">
        <v>119</v>
      </c>
      <c r="L165" s="91">
        <v>1</v>
      </c>
      <c r="M165" s="185">
        <v>1</v>
      </c>
      <c r="N165" s="91"/>
      <c r="O165" s="100"/>
    </row>
    <row r="166" spans="1:17" ht="17.25" customHeight="1" x14ac:dyDescent="0.2">
      <c r="A166" s="1061"/>
      <c r="B166" s="1003"/>
      <c r="C166" s="1005"/>
      <c r="D166" s="1063"/>
      <c r="E166" s="1165"/>
      <c r="F166" s="429"/>
      <c r="G166" s="140"/>
      <c r="H166" s="192"/>
      <c r="I166" s="192"/>
      <c r="J166" s="57"/>
      <c r="K166" s="937"/>
      <c r="L166" s="92"/>
      <c r="M166" s="182"/>
      <c r="N166" s="92"/>
      <c r="O166" s="273"/>
    </row>
    <row r="167" spans="1:17" ht="17.25" customHeight="1" x14ac:dyDescent="0.2">
      <c r="A167" s="1061"/>
      <c r="B167" s="1003"/>
      <c r="C167" s="1004" t="s">
        <v>22</v>
      </c>
      <c r="D167" s="1062" t="s">
        <v>148</v>
      </c>
      <c r="E167" s="1164"/>
      <c r="F167" s="322"/>
      <c r="G167" s="236" t="s">
        <v>21</v>
      </c>
      <c r="H167" s="60">
        <f>22.7+2.2</f>
        <v>24.9</v>
      </c>
      <c r="I167" s="60">
        <f>22.7+2.2</f>
        <v>24.9</v>
      </c>
      <c r="J167" s="56">
        <v>24.8</v>
      </c>
      <c r="K167" s="998" t="s">
        <v>226</v>
      </c>
      <c r="L167" s="90">
        <v>1</v>
      </c>
      <c r="M167" s="185">
        <v>1</v>
      </c>
      <c r="N167" s="91"/>
      <c r="O167" s="100"/>
    </row>
    <row r="168" spans="1:17" ht="21.75" customHeight="1" x14ac:dyDescent="0.2">
      <c r="A168" s="1061"/>
      <c r="B168" s="1003"/>
      <c r="C168" s="1005"/>
      <c r="D168" s="1063"/>
      <c r="E168" s="1165"/>
      <c r="F168" s="429"/>
      <c r="G168" s="140"/>
      <c r="H168" s="192"/>
      <c r="I168" s="192"/>
      <c r="J168" s="57"/>
      <c r="K168" s="1000"/>
      <c r="L168" s="92"/>
      <c r="M168" s="182"/>
      <c r="N168" s="92"/>
      <c r="O168" s="273"/>
    </row>
    <row r="169" spans="1:17" ht="44.25" customHeight="1" x14ac:dyDescent="0.2">
      <c r="A169" s="949"/>
      <c r="B169" s="950"/>
      <c r="C169" s="951" t="s">
        <v>30</v>
      </c>
      <c r="D169" s="1192" t="s">
        <v>250</v>
      </c>
      <c r="E169" s="957"/>
      <c r="F169" s="245"/>
      <c r="G169" s="236" t="s">
        <v>21</v>
      </c>
      <c r="H169" s="56">
        <v>165</v>
      </c>
      <c r="I169" s="56">
        <v>165</v>
      </c>
      <c r="J169" s="56">
        <v>154.1</v>
      </c>
      <c r="K169" s="254" t="s">
        <v>227</v>
      </c>
      <c r="L169" s="862">
        <v>4</v>
      </c>
      <c r="M169" s="862">
        <v>4</v>
      </c>
      <c r="N169" s="861" t="s">
        <v>782</v>
      </c>
      <c r="O169" s="440"/>
      <c r="P169" s="7"/>
      <c r="Q169" s="7"/>
    </row>
    <row r="170" spans="1:17" ht="28.5" customHeight="1" x14ac:dyDescent="0.2">
      <c r="A170" s="949"/>
      <c r="B170" s="950"/>
      <c r="C170" s="820"/>
      <c r="D170" s="1175"/>
      <c r="E170" s="958"/>
      <c r="F170" s="931"/>
      <c r="G170" s="978" t="s">
        <v>53</v>
      </c>
      <c r="H170" s="128">
        <v>35.1</v>
      </c>
      <c r="I170" s="128">
        <v>35.1</v>
      </c>
      <c r="J170" s="128">
        <v>35.1</v>
      </c>
      <c r="K170" s="30" t="s">
        <v>137</v>
      </c>
      <c r="L170" s="99">
        <v>3</v>
      </c>
      <c r="M170" s="99">
        <v>3</v>
      </c>
      <c r="N170" s="866" t="s">
        <v>766</v>
      </c>
      <c r="O170" s="269"/>
      <c r="P170" s="7"/>
      <c r="Q170" s="7"/>
    </row>
    <row r="171" spans="1:17" ht="26.25" customHeight="1" x14ac:dyDescent="0.2">
      <c r="A171" s="19"/>
      <c r="B171" s="960"/>
      <c r="C171" s="820"/>
      <c r="D171" s="1175"/>
      <c r="E171" s="963"/>
      <c r="F171" s="931"/>
      <c r="G171" s="978"/>
      <c r="H171" s="128"/>
      <c r="I171" s="128"/>
      <c r="J171" s="128"/>
      <c r="K171" s="30" t="s">
        <v>138</v>
      </c>
      <c r="L171" s="99">
        <v>8</v>
      </c>
      <c r="M171" s="99">
        <v>13</v>
      </c>
      <c r="N171" s="864"/>
      <c r="O171" s="269"/>
      <c r="P171" s="7"/>
      <c r="Q171" s="7"/>
    </row>
    <row r="172" spans="1:17" ht="17.25" customHeight="1" x14ac:dyDescent="0.2">
      <c r="A172" s="19"/>
      <c r="B172" s="960"/>
      <c r="C172" s="820"/>
      <c r="D172" s="1175"/>
      <c r="E172" s="963"/>
      <c r="F172" s="931"/>
      <c r="G172" s="978"/>
      <c r="H172" s="202"/>
      <c r="I172" s="202"/>
      <c r="J172" s="128"/>
      <c r="K172" s="24" t="s">
        <v>139</v>
      </c>
      <c r="L172" s="335">
        <v>100</v>
      </c>
      <c r="M172" s="335">
        <v>110</v>
      </c>
      <c r="N172" s="865"/>
      <c r="O172" s="127"/>
      <c r="P172" s="7"/>
      <c r="Q172" s="7"/>
    </row>
    <row r="173" spans="1:17" ht="38.25" customHeight="1" x14ac:dyDescent="0.2">
      <c r="A173" s="19"/>
      <c r="B173" s="960"/>
      <c r="C173" s="178"/>
      <c r="D173" s="1283"/>
      <c r="E173" s="196"/>
      <c r="F173" s="446"/>
      <c r="G173" s="140"/>
      <c r="H173" s="192"/>
      <c r="I173" s="192"/>
      <c r="J173" s="57"/>
      <c r="K173" s="863" t="s">
        <v>228</v>
      </c>
      <c r="L173" s="92">
        <v>5</v>
      </c>
      <c r="M173" s="182">
        <v>8</v>
      </c>
      <c r="N173" s="956" t="s">
        <v>626</v>
      </c>
      <c r="O173" s="273"/>
      <c r="P173" s="7"/>
      <c r="Q173" s="7"/>
    </row>
    <row r="174" spans="1:17" ht="16.5" customHeight="1" thickBot="1" x14ac:dyDescent="0.25">
      <c r="A174" s="20"/>
      <c r="B174" s="970"/>
      <c r="C174" s="472"/>
      <c r="D174" s="473"/>
      <c r="E174" s="474"/>
      <c r="F174" s="471"/>
      <c r="G174" s="26" t="s">
        <v>5</v>
      </c>
      <c r="H174" s="85">
        <f>SUM(H158:H173)</f>
        <v>1623.8</v>
      </c>
      <c r="I174" s="85">
        <f>SUM(I158:I173)</f>
        <v>2163.8000000000002</v>
      </c>
      <c r="J174" s="85">
        <f t="shared" ref="J174" si="7">SUM(J158:J173)</f>
        <v>2067.6</v>
      </c>
      <c r="K174" s="114"/>
      <c r="L174" s="29"/>
      <c r="M174" s="186"/>
      <c r="N174" s="29"/>
      <c r="O174" s="276"/>
    </row>
    <row r="175" spans="1:17" ht="33" customHeight="1" x14ac:dyDescent="0.2">
      <c r="A175" s="23" t="s">
        <v>4</v>
      </c>
      <c r="B175" s="118" t="s">
        <v>22</v>
      </c>
      <c r="C175" s="477" t="s">
        <v>6</v>
      </c>
      <c r="D175" s="253" t="s">
        <v>126</v>
      </c>
      <c r="E175" s="336"/>
      <c r="F175" s="466" t="s">
        <v>45</v>
      </c>
      <c r="G175" s="94"/>
      <c r="H175" s="467"/>
      <c r="I175" s="67"/>
      <c r="J175" s="96"/>
      <c r="K175" s="926"/>
      <c r="L175" s="337"/>
      <c r="M175" s="338"/>
      <c r="N175" s="337"/>
      <c r="O175" s="339"/>
    </row>
    <row r="176" spans="1:17" ht="53.25" customHeight="1" x14ac:dyDescent="0.2">
      <c r="A176" s="136"/>
      <c r="B176" s="132"/>
      <c r="C176" s="869" t="s">
        <v>4</v>
      </c>
      <c r="D176" s="139" t="s">
        <v>633</v>
      </c>
      <c r="E176" s="430"/>
      <c r="F176" s="230"/>
      <c r="G176" s="203" t="s">
        <v>21</v>
      </c>
      <c r="H176" s="464">
        <v>4</v>
      </c>
      <c r="I176" s="58">
        <v>4</v>
      </c>
      <c r="J176" s="469">
        <v>4</v>
      </c>
      <c r="K176" s="167" t="s">
        <v>117</v>
      </c>
      <c r="L176" s="340">
        <v>1</v>
      </c>
      <c r="M176" s="341">
        <v>1</v>
      </c>
      <c r="N176" s="867" t="s">
        <v>767</v>
      </c>
      <c r="O176" s="100"/>
    </row>
    <row r="177" spans="1:15" ht="53.25" customHeight="1" x14ac:dyDescent="0.2">
      <c r="A177" s="136"/>
      <c r="B177" s="132"/>
      <c r="C177" s="869" t="s">
        <v>6</v>
      </c>
      <c r="D177" s="943" t="s">
        <v>638</v>
      </c>
      <c r="E177" s="64"/>
      <c r="F177" s="230"/>
      <c r="G177" s="203" t="s">
        <v>21</v>
      </c>
      <c r="H177" s="55">
        <v>3.6</v>
      </c>
      <c r="I177" s="128">
        <v>3.6</v>
      </c>
      <c r="J177" s="79">
        <v>3.6</v>
      </c>
      <c r="K177" s="927" t="s">
        <v>117</v>
      </c>
      <c r="L177" s="343">
        <v>1</v>
      </c>
      <c r="M177" s="344">
        <v>1</v>
      </c>
      <c r="N177" s="868"/>
      <c r="O177" s="127"/>
    </row>
    <row r="178" spans="1:15" ht="53.25" customHeight="1" x14ac:dyDescent="0.2">
      <c r="A178" s="136"/>
      <c r="B178" s="132"/>
      <c r="C178" s="869" t="s">
        <v>22</v>
      </c>
      <c r="D178" s="139" t="s">
        <v>229</v>
      </c>
      <c r="E178" s="430"/>
      <c r="F178" s="230"/>
      <c r="G178" s="203" t="s">
        <v>21</v>
      </c>
      <c r="H178" s="464">
        <v>3</v>
      </c>
      <c r="I178" s="58">
        <v>3</v>
      </c>
      <c r="J178" s="469">
        <v>3</v>
      </c>
      <c r="K178" s="167" t="s">
        <v>117</v>
      </c>
      <c r="L178" s="340">
        <v>1</v>
      </c>
      <c r="M178" s="341">
        <v>1</v>
      </c>
      <c r="N178" s="867"/>
      <c r="O178" s="127"/>
    </row>
    <row r="179" spans="1:15" ht="42" customHeight="1" x14ac:dyDescent="0.2">
      <c r="A179" s="136"/>
      <c r="B179" s="132"/>
      <c r="C179" s="869" t="s">
        <v>30</v>
      </c>
      <c r="D179" s="943" t="s">
        <v>230</v>
      </c>
      <c r="E179" s="64"/>
      <c r="F179" s="230"/>
      <c r="G179" s="203" t="s">
        <v>21</v>
      </c>
      <c r="H179" s="55">
        <v>3.2</v>
      </c>
      <c r="I179" s="128">
        <v>3.2</v>
      </c>
      <c r="J179" s="79">
        <v>3.2</v>
      </c>
      <c r="K179" s="927" t="s">
        <v>117</v>
      </c>
      <c r="L179" s="343">
        <v>1</v>
      </c>
      <c r="M179" s="344">
        <v>1</v>
      </c>
      <c r="N179" s="867" t="s">
        <v>767</v>
      </c>
      <c r="O179" s="127"/>
    </row>
    <row r="180" spans="1:15" ht="51" x14ac:dyDescent="0.2">
      <c r="A180" s="136"/>
      <c r="B180" s="132"/>
      <c r="C180" s="869" t="s">
        <v>31</v>
      </c>
      <c r="D180" s="139" t="s">
        <v>135</v>
      </c>
      <c r="E180" s="430"/>
      <c r="F180" s="230"/>
      <c r="G180" s="203" t="s">
        <v>21</v>
      </c>
      <c r="H180" s="464">
        <v>4</v>
      </c>
      <c r="I180" s="58">
        <v>4</v>
      </c>
      <c r="J180" s="469">
        <v>4</v>
      </c>
      <c r="K180" s="167" t="s">
        <v>117</v>
      </c>
      <c r="L180" s="340">
        <v>1</v>
      </c>
      <c r="M180" s="341">
        <v>1</v>
      </c>
      <c r="N180" s="867" t="s">
        <v>767</v>
      </c>
      <c r="O180" s="127"/>
    </row>
    <row r="181" spans="1:15" ht="52.5" customHeight="1" x14ac:dyDescent="0.2">
      <c r="A181" s="136"/>
      <c r="B181" s="132"/>
      <c r="C181" s="869" t="s">
        <v>24</v>
      </c>
      <c r="D181" s="944" t="s">
        <v>231</v>
      </c>
      <c r="E181" s="196"/>
      <c r="F181" s="231"/>
      <c r="G181" s="203" t="s">
        <v>21</v>
      </c>
      <c r="H181" s="465">
        <v>17.5</v>
      </c>
      <c r="I181" s="57">
        <v>17.5</v>
      </c>
      <c r="J181" s="80">
        <v>17.399999999999999</v>
      </c>
      <c r="K181" s="167" t="s">
        <v>117</v>
      </c>
      <c r="L181" s="431">
        <v>1</v>
      </c>
      <c r="M181" s="432">
        <v>1</v>
      </c>
      <c r="N181" s="431"/>
      <c r="O181" s="127"/>
    </row>
    <row r="182" spans="1:15" ht="52.5" customHeight="1" x14ac:dyDescent="0.2">
      <c r="A182" s="136"/>
      <c r="B182" s="132"/>
      <c r="C182" s="869" t="s">
        <v>32</v>
      </c>
      <c r="D182" s="944" t="s">
        <v>232</v>
      </c>
      <c r="E182" s="196"/>
      <c r="F182" s="231"/>
      <c r="G182" s="203" t="s">
        <v>21</v>
      </c>
      <c r="H182" s="465"/>
      <c r="I182" s="57">
        <v>3</v>
      </c>
      <c r="J182" s="80">
        <v>2.6</v>
      </c>
      <c r="K182" s="167" t="s">
        <v>117</v>
      </c>
      <c r="L182" s="431">
        <v>1</v>
      </c>
      <c r="M182" s="432">
        <v>1</v>
      </c>
      <c r="N182" s="431"/>
      <c r="O182" s="127"/>
    </row>
    <row r="183" spans="1:15" ht="52.5" customHeight="1" x14ac:dyDescent="0.2">
      <c r="A183" s="136"/>
      <c r="B183" s="132"/>
      <c r="C183" s="869" t="s">
        <v>25</v>
      </c>
      <c r="D183" s="944" t="s">
        <v>255</v>
      </c>
      <c r="E183" s="196"/>
      <c r="F183" s="231"/>
      <c r="G183" s="203" t="s">
        <v>21</v>
      </c>
      <c r="H183" s="465"/>
      <c r="I183" s="57">
        <v>11.3</v>
      </c>
      <c r="J183" s="80">
        <v>11.3</v>
      </c>
      <c r="K183" s="167" t="s">
        <v>117</v>
      </c>
      <c r="L183" s="431">
        <v>1</v>
      </c>
      <c r="M183" s="432">
        <v>1</v>
      </c>
      <c r="N183" s="431"/>
      <c r="O183" s="433"/>
    </row>
    <row r="184" spans="1:15" ht="16.5" customHeight="1" thickBot="1" x14ac:dyDescent="0.25">
      <c r="A184" s="20"/>
      <c r="B184" s="970"/>
      <c r="C184" s="472"/>
      <c r="D184" s="473"/>
      <c r="E184" s="474"/>
      <c r="F184" s="471"/>
      <c r="G184" s="26" t="s">
        <v>5</v>
      </c>
      <c r="H184" s="85">
        <f>SUM(H176:H183)</f>
        <v>35.299999999999997</v>
      </c>
      <c r="I184" s="85">
        <f>SUM(I176:I183)</f>
        <v>49.6</v>
      </c>
      <c r="J184" s="85">
        <f t="shared" ref="J184" si="8">SUM(J176:J183)</f>
        <v>49.1</v>
      </c>
      <c r="K184" s="114"/>
      <c r="L184" s="29"/>
      <c r="M184" s="186"/>
      <c r="N184" s="29"/>
      <c r="O184" s="276"/>
    </row>
    <row r="185" spans="1:15" ht="13.5" thickBot="1" x14ac:dyDescent="0.25">
      <c r="A185" s="21" t="s">
        <v>4</v>
      </c>
      <c r="B185" s="5" t="s">
        <v>22</v>
      </c>
      <c r="C185" s="1256" t="s">
        <v>7</v>
      </c>
      <c r="D185" s="1249"/>
      <c r="E185" s="1249"/>
      <c r="F185" s="1249"/>
      <c r="G185" s="1284"/>
      <c r="H185" s="468">
        <f>H184+H174</f>
        <v>1659.1</v>
      </c>
      <c r="I185" s="59">
        <f>I184+I174</f>
        <v>2213.4</v>
      </c>
      <c r="J185" s="470">
        <f>J184+J174</f>
        <v>2116.6999999999998</v>
      </c>
      <c r="K185" s="131"/>
      <c r="L185" s="131"/>
      <c r="M185" s="131"/>
      <c r="N185" s="131"/>
      <c r="O185" s="116"/>
    </row>
    <row r="186" spans="1:15" ht="15.75" customHeight="1" thickBot="1" x14ac:dyDescent="0.25">
      <c r="A186" s="21" t="s">
        <v>4</v>
      </c>
      <c r="B186" s="5" t="s">
        <v>30</v>
      </c>
      <c r="C186" s="924" t="s">
        <v>39</v>
      </c>
      <c r="D186" s="925"/>
      <c r="E186" s="925"/>
      <c r="F186" s="925"/>
      <c r="G186" s="925"/>
      <c r="H186" s="922"/>
      <c r="I186" s="922"/>
      <c r="J186" s="922"/>
      <c r="K186" s="923"/>
      <c r="L186" s="134"/>
      <c r="M186" s="134"/>
      <c r="N186" s="134"/>
      <c r="O186" s="117"/>
    </row>
    <row r="187" spans="1:15" s="34" customFormat="1" ht="27.75" customHeight="1" x14ac:dyDescent="0.2">
      <c r="A187" s="1057" t="s">
        <v>4</v>
      </c>
      <c r="B187" s="1059" t="s">
        <v>30</v>
      </c>
      <c r="C187" s="1037" t="s">
        <v>4</v>
      </c>
      <c r="D187" s="1039" t="s">
        <v>144</v>
      </c>
      <c r="E187" s="1055" t="s">
        <v>43</v>
      </c>
      <c r="F187" s="968" t="s">
        <v>23</v>
      </c>
      <c r="G187" s="107" t="s">
        <v>21</v>
      </c>
      <c r="H187" s="108">
        <v>100</v>
      </c>
      <c r="I187" s="108">
        <v>21.9</v>
      </c>
      <c r="J187" s="108">
        <v>0</v>
      </c>
      <c r="K187" s="1271" t="s">
        <v>143</v>
      </c>
      <c r="L187" s="204">
        <v>785</v>
      </c>
      <c r="M187" s="212">
        <v>380</v>
      </c>
      <c r="N187" s="1273" t="s">
        <v>826</v>
      </c>
      <c r="O187" s="347"/>
    </row>
    <row r="188" spans="1:15" s="34" customFormat="1" ht="26.25" customHeight="1" x14ac:dyDescent="0.2">
      <c r="A188" s="1058"/>
      <c r="B188" s="1060"/>
      <c r="C188" s="1038"/>
      <c r="D188" s="1040"/>
      <c r="E188" s="1056"/>
      <c r="F188" s="931"/>
      <c r="G188" s="168" t="s">
        <v>53</v>
      </c>
      <c r="H188" s="169">
        <v>223.9</v>
      </c>
      <c r="I188" s="169">
        <v>223.9</v>
      </c>
      <c r="J188" s="169">
        <v>96</v>
      </c>
      <c r="K188" s="1272"/>
      <c r="L188" s="204"/>
      <c r="M188" s="204"/>
      <c r="N188" s="1274"/>
      <c r="O188" s="259"/>
    </row>
    <row r="189" spans="1:15" s="34" customFormat="1" ht="18.75" customHeight="1" thickBot="1" x14ac:dyDescent="0.25">
      <c r="A189" s="153"/>
      <c r="B189" s="154"/>
      <c r="C189" s="157"/>
      <c r="D189" s="155"/>
      <c r="E189" s="156"/>
      <c r="F189" s="142"/>
      <c r="G189" s="35" t="s">
        <v>5</v>
      </c>
      <c r="H189" s="434">
        <f>SUM(H187:H188)</f>
        <v>323.89999999999998</v>
      </c>
      <c r="I189" s="434">
        <f>SUM(I187:I188)</f>
        <v>245.8</v>
      </c>
      <c r="J189" s="434">
        <f>SUM(J187:J188)</f>
        <v>96</v>
      </c>
      <c r="K189" s="120"/>
      <c r="L189" s="109"/>
      <c r="M189" s="109"/>
      <c r="N189" s="1275"/>
      <c r="O189" s="110"/>
    </row>
    <row r="190" spans="1:15" ht="15.75" customHeight="1" x14ac:dyDescent="0.2">
      <c r="A190" s="949" t="s">
        <v>4</v>
      </c>
      <c r="B190" s="950" t="s">
        <v>30</v>
      </c>
      <c r="C190" s="230" t="s">
        <v>6</v>
      </c>
      <c r="D190" s="1266" t="s">
        <v>98</v>
      </c>
      <c r="E190" s="64" t="s">
        <v>43</v>
      </c>
      <c r="F190" s="931" t="s">
        <v>42</v>
      </c>
      <c r="G190" s="175" t="s">
        <v>53</v>
      </c>
      <c r="H190" s="128">
        <v>46.8</v>
      </c>
      <c r="I190" s="128">
        <v>46.8</v>
      </c>
      <c r="J190" s="128">
        <v>20.8</v>
      </c>
      <c r="K190" s="870" t="s">
        <v>78</v>
      </c>
      <c r="L190" s="871" t="s">
        <v>45</v>
      </c>
      <c r="M190" s="909">
        <v>0.4</v>
      </c>
      <c r="N190" s="887" t="s">
        <v>783</v>
      </c>
      <c r="O190" s="1267" t="s">
        <v>827</v>
      </c>
    </row>
    <row r="191" spans="1:15" ht="145.5" customHeight="1" x14ac:dyDescent="0.2">
      <c r="A191" s="19"/>
      <c r="B191" s="950"/>
      <c r="C191" s="44"/>
      <c r="D191" s="1015"/>
      <c r="E191" s="64"/>
      <c r="F191" s="931"/>
      <c r="G191" s="174"/>
      <c r="H191" s="57"/>
      <c r="I191" s="57"/>
      <c r="J191" s="57"/>
      <c r="K191" s="873"/>
      <c r="L191" s="847"/>
      <c r="M191" s="804"/>
      <c r="N191" s="804"/>
      <c r="O191" s="1245"/>
    </row>
    <row r="192" spans="1:15" s="34" customFormat="1" ht="16.5" customHeight="1" thickBot="1" x14ac:dyDescent="0.25">
      <c r="A192" s="20"/>
      <c r="B192" s="41"/>
      <c r="C192" s="112"/>
      <c r="D192" s="878"/>
      <c r="E192" s="63"/>
      <c r="F192" s="183"/>
      <c r="G192" s="35" t="s">
        <v>5</v>
      </c>
      <c r="H192" s="434">
        <f>SUM(H190:H191)</f>
        <v>46.8</v>
      </c>
      <c r="I192" s="434">
        <f>SUM(I190:I191)</f>
        <v>46.8</v>
      </c>
      <c r="J192" s="434">
        <f>J190</f>
        <v>20.8</v>
      </c>
      <c r="K192" s="874"/>
      <c r="L192" s="875"/>
      <c r="M192" s="876"/>
      <c r="N192" s="876"/>
      <c r="O192" s="877"/>
    </row>
    <row r="193" spans="1:45" ht="17.25" customHeight="1" x14ac:dyDescent="0.2">
      <c r="A193" s="949" t="s">
        <v>4</v>
      </c>
      <c r="B193" s="950" t="s">
        <v>30</v>
      </c>
      <c r="C193" s="230" t="s">
        <v>22</v>
      </c>
      <c r="D193" s="1266" t="s">
        <v>799</v>
      </c>
      <c r="E193" s="64" t="s">
        <v>43</v>
      </c>
      <c r="F193" s="931" t="s">
        <v>42</v>
      </c>
      <c r="G193" s="175" t="s">
        <v>21</v>
      </c>
      <c r="H193" s="128">
        <v>20</v>
      </c>
      <c r="I193" s="128">
        <v>20</v>
      </c>
      <c r="J193" s="96">
        <v>17.7</v>
      </c>
      <c r="K193" s="870" t="s">
        <v>233</v>
      </c>
      <c r="L193" s="871" t="s">
        <v>234</v>
      </c>
      <c r="M193" s="872">
        <v>30</v>
      </c>
      <c r="N193" s="887" t="s">
        <v>783</v>
      </c>
      <c r="O193" s="1267" t="s">
        <v>768</v>
      </c>
    </row>
    <row r="194" spans="1:45" ht="27" customHeight="1" x14ac:dyDescent="0.2">
      <c r="A194" s="19"/>
      <c r="B194" s="950"/>
      <c r="C194" s="44"/>
      <c r="D194" s="1016"/>
      <c r="E194" s="64"/>
      <c r="F194" s="931"/>
      <c r="G194" s="174"/>
      <c r="H194" s="57"/>
      <c r="I194" s="57"/>
      <c r="J194" s="57"/>
      <c r="K194" s="879"/>
      <c r="L194" s="880"/>
      <c r="M194" s="806"/>
      <c r="N194" s="806"/>
      <c r="O194" s="1227"/>
    </row>
    <row r="195" spans="1:45" s="34" customFormat="1" ht="17.25" customHeight="1" thickBot="1" x14ac:dyDescent="0.25">
      <c r="A195" s="20"/>
      <c r="B195" s="41"/>
      <c r="C195" s="112"/>
      <c r="D195" s="982"/>
      <c r="E195" s="63"/>
      <c r="F195" s="183"/>
      <c r="G195" s="35" t="s">
        <v>5</v>
      </c>
      <c r="H195" s="434">
        <f>SUM(H193:H194)</f>
        <v>20</v>
      </c>
      <c r="I195" s="434">
        <f>SUM(I193:I194)</f>
        <v>20</v>
      </c>
      <c r="J195" s="434">
        <f>J193</f>
        <v>17.7</v>
      </c>
      <c r="K195" s="120"/>
      <c r="L195" s="349"/>
      <c r="M195" s="191"/>
      <c r="N195" s="191"/>
      <c r="O195" s="95"/>
    </row>
    <row r="196" spans="1:45" ht="13.5" thickBot="1" x14ac:dyDescent="0.25">
      <c r="A196" s="969" t="s">
        <v>4</v>
      </c>
      <c r="B196" s="133" t="s">
        <v>30</v>
      </c>
      <c r="C196" s="1140" t="s">
        <v>7</v>
      </c>
      <c r="D196" s="1141"/>
      <c r="E196" s="1141"/>
      <c r="F196" s="1141"/>
      <c r="G196" s="1141"/>
      <c r="H196" s="59">
        <f>H192+H189+H195</f>
        <v>390.7</v>
      </c>
      <c r="I196" s="59">
        <f>I192+I189+I195</f>
        <v>312.60000000000002</v>
      </c>
      <c r="J196" s="59">
        <f>J192+J189+J195</f>
        <v>134.5</v>
      </c>
      <c r="K196" s="131"/>
      <c r="L196" s="131"/>
      <c r="M196" s="131"/>
      <c r="N196" s="131"/>
      <c r="O196" s="350"/>
    </row>
    <row r="197" spans="1:45" ht="14.25" customHeight="1" thickBot="1" x14ac:dyDescent="0.25">
      <c r="A197" s="22" t="s">
        <v>4</v>
      </c>
      <c r="B197" s="1142" t="s">
        <v>8</v>
      </c>
      <c r="C197" s="1143"/>
      <c r="D197" s="1143"/>
      <c r="E197" s="1143"/>
      <c r="F197" s="1143"/>
      <c r="G197" s="1143"/>
      <c r="H197" s="148">
        <f>H196+H185+H155+H139</f>
        <v>15725.1</v>
      </c>
      <c r="I197" s="148">
        <f>I196+I185+I155+I139</f>
        <v>12709.7</v>
      </c>
      <c r="J197" s="148">
        <f>J196+J185+J155+J139</f>
        <v>10331.299999999999</v>
      </c>
      <c r="K197" s="1144"/>
      <c r="L197" s="1145"/>
      <c r="M197" s="1145"/>
      <c r="N197" s="1145"/>
      <c r="O197" s="1146"/>
    </row>
    <row r="198" spans="1:45" ht="14.25" customHeight="1" thickBot="1" x14ac:dyDescent="0.25">
      <c r="A198" s="16" t="s">
        <v>32</v>
      </c>
      <c r="B198" s="1147" t="s">
        <v>51</v>
      </c>
      <c r="C198" s="1148"/>
      <c r="D198" s="1148"/>
      <c r="E198" s="1148"/>
      <c r="F198" s="1148"/>
      <c r="G198" s="1148"/>
      <c r="H198" s="61">
        <f t="shared" ref="H198:J198" si="9">SUM(H197)</f>
        <v>15725.1</v>
      </c>
      <c r="I198" s="61">
        <f t="shared" ref="I198" si="10">SUM(I197)</f>
        <v>12709.7</v>
      </c>
      <c r="J198" s="149">
        <f t="shared" si="9"/>
        <v>10331.299999999999</v>
      </c>
      <c r="K198" s="1149"/>
      <c r="L198" s="1149"/>
      <c r="M198" s="1149"/>
      <c r="N198" s="1149"/>
      <c r="O198" s="1150"/>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row>
    <row r="199" spans="1:45" s="8" customFormat="1" ht="16.5" customHeight="1" x14ac:dyDescent="0.2">
      <c r="A199" s="1162" t="s">
        <v>678</v>
      </c>
      <c r="B199" s="1163"/>
      <c r="C199" s="1163"/>
      <c r="D199" s="1163"/>
      <c r="E199" s="1163"/>
      <c r="F199" s="1163"/>
      <c r="G199" s="1163"/>
      <c r="H199" s="1163"/>
      <c r="I199" s="1163"/>
      <c r="J199" s="1163"/>
      <c r="K199" s="1163"/>
      <c r="L199" s="197"/>
      <c r="M199" s="197"/>
      <c r="N199" s="197"/>
      <c r="O199" s="197"/>
    </row>
    <row r="200" spans="1:45" s="8" customFormat="1" ht="17.25" customHeight="1" x14ac:dyDescent="0.2">
      <c r="A200" s="1162" t="s">
        <v>753</v>
      </c>
      <c r="B200" s="1163"/>
      <c r="C200" s="1163"/>
      <c r="D200" s="1163"/>
      <c r="E200" s="1163"/>
      <c r="F200" s="1163"/>
      <c r="G200" s="1163"/>
      <c r="H200" s="1163"/>
      <c r="I200" s="1163"/>
      <c r="J200" s="1163"/>
      <c r="K200" s="1163"/>
      <c r="L200" s="197"/>
      <c r="M200" s="197"/>
      <c r="N200" s="197"/>
      <c r="O200" s="197"/>
    </row>
    <row r="201" spans="1:45" s="8" customFormat="1" ht="17.25" customHeight="1" x14ac:dyDescent="0.2">
      <c r="A201" s="462"/>
      <c r="B201" s="463"/>
      <c r="C201" s="463"/>
      <c r="D201" s="463"/>
      <c r="E201" s="463"/>
      <c r="F201" s="463"/>
      <c r="G201" s="463"/>
      <c r="H201" s="463"/>
      <c r="I201" s="463"/>
      <c r="J201" s="463"/>
      <c r="K201" s="579"/>
      <c r="L201" s="197"/>
      <c r="M201" s="197"/>
      <c r="N201" s="197"/>
      <c r="O201" s="197"/>
    </row>
    <row r="202" spans="1:45" s="9" customFormat="1" ht="14.25" customHeight="1" thickBot="1" x14ac:dyDescent="0.25">
      <c r="A202" s="1151" t="s">
        <v>11</v>
      </c>
      <c r="B202" s="1151"/>
      <c r="C202" s="1151"/>
      <c r="D202" s="1151"/>
      <c r="E202" s="1151"/>
      <c r="F202" s="1151"/>
      <c r="G202" s="1151"/>
      <c r="H202" s="251"/>
      <c r="I202" s="251"/>
      <c r="J202" s="251"/>
      <c r="K202" s="13"/>
      <c r="L202" s="13"/>
      <c r="M202" s="13"/>
      <c r="N202" s="13"/>
      <c r="O202" s="13"/>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row>
    <row r="203" spans="1:45" ht="24.75" customHeight="1" x14ac:dyDescent="0.2">
      <c r="A203" s="1152" t="s">
        <v>9</v>
      </c>
      <c r="B203" s="1153"/>
      <c r="C203" s="1153"/>
      <c r="D203" s="1153"/>
      <c r="E203" s="1153"/>
      <c r="F203" s="1153"/>
      <c r="G203" s="1154"/>
      <c r="H203" s="1158" t="s">
        <v>253</v>
      </c>
      <c r="I203" s="1158" t="s">
        <v>738</v>
      </c>
      <c r="J203" s="1160" t="s">
        <v>254</v>
      </c>
      <c r="K203" s="2"/>
      <c r="L203" s="2"/>
      <c r="M203" s="2"/>
      <c r="N203" s="2"/>
      <c r="O203" s="2"/>
    </row>
    <row r="204" spans="1:45" ht="42" customHeight="1" thickBot="1" x14ac:dyDescent="0.25">
      <c r="A204" s="1155"/>
      <c r="B204" s="1156"/>
      <c r="C204" s="1156"/>
      <c r="D204" s="1156"/>
      <c r="E204" s="1156"/>
      <c r="F204" s="1156"/>
      <c r="G204" s="1157"/>
      <c r="H204" s="1159"/>
      <c r="I204" s="1159"/>
      <c r="J204" s="1161"/>
      <c r="K204" s="2"/>
      <c r="L204" s="2"/>
      <c r="M204" s="2"/>
      <c r="N204" s="2"/>
      <c r="O204" s="2"/>
    </row>
    <row r="205" spans="1:45" ht="14.25" customHeight="1" x14ac:dyDescent="0.2">
      <c r="A205" s="1131" t="s">
        <v>12</v>
      </c>
      <c r="B205" s="1132"/>
      <c r="C205" s="1132"/>
      <c r="D205" s="1132"/>
      <c r="E205" s="1132"/>
      <c r="F205" s="1132"/>
      <c r="G205" s="1133"/>
      <c r="H205" s="170">
        <f>H206+H215+H216+H217+H214</f>
        <v>14922.6</v>
      </c>
      <c r="I205" s="170">
        <f>I206+I215+I216+I217+I214</f>
        <v>11907.2</v>
      </c>
      <c r="J205" s="170">
        <f>J206+J215+J216+J217+J214</f>
        <v>10331.299999999999</v>
      </c>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row>
    <row r="206" spans="1:45" ht="14.25" customHeight="1" x14ac:dyDescent="0.2">
      <c r="A206" s="1134" t="s">
        <v>71</v>
      </c>
      <c r="B206" s="1135"/>
      <c r="C206" s="1135"/>
      <c r="D206" s="1135"/>
      <c r="E206" s="1135"/>
      <c r="F206" s="1135"/>
      <c r="G206" s="1136"/>
      <c r="H206" s="51">
        <f>SUM(H207:H213)</f>
        <v>12054.4</v>
      </c>
      <c r="I206" s="51">
        <f>SUM(I207:I213)</f>
        <v>9101.6</v>
      </c>
      <c r="J206" s="51">
        <f>SUM(J207:J213)</f>
        <v>8312</v>
      </c>
      <c r="K206" s="14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row>
    <row r="207" spans="1:45" ht="14.25" customHeight="1" x14ac:dyDescent="0.2">
      <c r="A207" s="1137" t="s">
        <v>16</v>
      </c>
      <c r="B207" s="1138"/>
      <c r="C207" s="1138"/>
      <c r="D207" s="1138"/>
      <c r="E207" s="1138"/>
      <c r="F207" s="1138"/>
      <c r="G207" s="1139"/>
      <c r="H207" s="57">
        <f>SUMIF(G13:G198,"SB",H13:H198)</f>
        <v>9993.6</v>
      </c>
      <c r="I207" s="57">
        <f>SUMIF(G13:G198,"SB",I13:I198)</f>
        <v>9056.6</v>
      </c>
      <c r="J207" s="57">
        <f>SUMIF(G15:G198,"SB",J15:J198)</f>
        <v>8270.2000000000007</v>
      </c>
      <c r="K207" s="351"/>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row>
    <row r="208" spans="1:45" ht="25.5" customHeight="1" x14ac:dyDescent="0.2">
      <c r="A208" s="1107" t="s">
        <v>17</v>
      </c>
      <c r="B208" s="1108"/>
      <c r="C208" s="1108"/>
      <c r="D208" s="1108"/>
      <c r="E208" s="1108"/>
      <c r="F208" s="1108"/>
      <c r="G208" s="1109"/>
      <c r="H208" s="70">
        <f>SUMIF(G13:G198,"SB(SP)",H13:H198)</f>
        <v>34.700000000000003</v>
      </c>
      <c r="I208" s="70">
        <f>SUMIF(G13:G198,"SB(SP)",I13:I198)</f>
        <v>34.700000000000003</v>
      </c>
      <c r="J208" s="70">
        <f>SUMIF(G15:G198,"SB(SP)",J15:J198)</f>
        <v>31.9</v>
      </c>
      <c r="K208" s="352"/>
    </row>
    <row r="209" spans="1:15" ht="12.75" customHeight="1" x14ac:dyDescent="0.2">
      <c r="A209" s="1107" t="s">
        <v>60</v>
      </c>
      <c r="B209" s="1108"/>
      <c r="C209" s="1108"/>
      <c r="D209" s="1108"/>
      <c r="E209" s="1108"/>
      <c r="F209" s="1108"/>
      <c r="G209" s="1109"/>
      <c r="H209" s="70">
        <f>SUMIF(G13:G198,"SB(VR)",H13:H198)</f>
        <v>0</v>
      </c>
      <c r="I209" s="70">
        <f>SUMIF(G13:G198,"SB(VR)",I13:I198)</f>
        <v>0</v>
      </c>
      <c r="J209" s="70">
        <f>SUMIF(G13:G198,"SB(VR)",J13:J198)</f>
        <v>0</v>
      </c>
      <c r="K209" s="353"/>
      <c r="L209" s="1"/>
      <c r="M209" s="1"/>
      <c r="N209" s="1"/>
      <c r="O209" s="1"/>
    </row>
    <row r="210" spans="1:15" x14ac:dyDescent="0.2">
      <c r="A210" s="1107" t="s">
        <v>235</v>
      </c>
      <c r="B210" s="1108"/>
      <c r="C210" s="1108"/>
      <c r="D210" s="1108"/>
      <c r="E210" s="1108"/>
      <c r="F210" s="1108"/>
      <c r="G210" s="1109"/>
      <c r="H210" s="70">
        <f>SUMIF(G13:G198,"SB(P)",H13:H198)</f>
        <v>0</v>
      </c>
      <c r="I210" s="70">
        <f>SUMIF(G13:G198,"SB(P)",I13:I198)</f>
        <v>0</v>
      </c>
      <c r="J210" s="70">
        <f>SUMIF(G13:G198,"SB(P)",J13:J198)</f>
        <v>0</v>
      </c>
      <c r="K210" s="353"/>
      <c r="L210" s="1"/>
      <c r="M210" s="1"/>
      <c r="N210" s="1"/>
      <c r="O210" s="1"/>
    </row>
    <row r="211" spans="1:15" x14ac:dyDescent="0.2">
      <c r="A211" s="1107" t="s">
        <v>75</v>
      </c>
      <c r="B211" s="1108"/>
      <c r="C211" s="1108"/>
      <c r="D211" s="1108"/>
      <c r="E211" s="1108"/>
      <c r="F211" s="1108"/>
      <c r="G211" s="1109"/>
      <c r="H211" s="70">
        <f>SUMIF(G13:G198,"SB(VB)",H13:H198)</f>
        <v>164.2</v>
      </c>
      <c r="I211" s="70">
        <f>SUMIF(G13:G198,"SB(VB)",I13:I198)</f>
        <v>0.9</v>
      </c>
      <c r="J211" s="70">
        <f>SUMIF(G13:G198,"SB(VB)",J13:J198)</f>
        <v>0</v>
      </c>
    </row>
    <row r="212" spans="1:15" x14ac:dyDescent="0.2">
      <c r="A212" s="1125" t="s">
        <v>236</v>
      </c>
      <c r="B212" s="1126"/>
      <c r="C212" s="1126"/>
      <c r="D212" s="1126"/>
      <c r="E212" s="1126"/>
      <c r="F212" s="1126"/>
      <c r="G212" s="1127"/>
      <c r="H212" s="70">
        <f>SUMIF(G13:G198,"SB(KPP)",H13:H198)</f>
        <v>0</v>
      </c>
      <c r="I212" s="70">
        <f>SUMIF(G13:G198,"SB(KPP)",I13:I198)</f>
        <v>0</v>
      </c>
      <c r="J212" s="70">
        <f>SUMIF(G14:G192,"SB(KPP)",J14:J192)</f>
        <v>0</v>
      </c>
      <c r="K212" s="32"/>
      <c r="L212" s="32"/>
      <c r="M212" s="32"/>
      <c r="N212" s="32"/>
      <c r="O212" s="32"/>
    </row>
    <row r="213" spans="1:15" ht="27.75" customHeight="1" x14ac:dyDescent="0.2">
      <c r="A213" s="1122" t="s">
        <v>801</v>
      </c>
      <c r="B213" s="1123"/>
      <c r="C213" s="1123"/>
      <c r="D213" s="1123"/>
      <c r="E213" s="1123"/>
      <c r="F213" s="1123"/>
      <c r="G213" s="1124"/>
      <c r="H213" s="70">
        <f>SUMIF(G13:G196,"SB(ES)",H13:H196)</f>
        <v>1861.9</v>
      </c>
      <c r="I213" s="70">
        <f>SUMIF(G13:G196,"SB(ES)",I13:I196)</f>
        <v>9.4</v>
      </c>
      <c r="J213" s="70">
        <f>SUMIF(G14:G197,"SB(ES)",J14:J197)</f>
        <v>9.9</v>
      </c>
    </row>
    <row r="214" spans="1:15" ht="14.25" customHeight="1" x14ac:dyDescent="0.2">
      <c r="A214" s="1113" t="s">
        <v>54</v>
      </c>
      <c r="B214" s="1114"/>
      <c r="C214" s="1114"/>
      <c r="D214" s="1114"/>
      <c r="E214" s="1114"/>
      <c r="F214" s="1114"/>
      <c r="G214" s="1115"/>
      <c r="H214" s="137">
        <f>SUMIF(G13:G192,"SB(L)",H13:H192)</f>
        <v>2863.8</v>
      </c>
      <c r="I214" s="137">
        <f>SUMIF(G13:G192,"SB(L)",I13:I192)</f>
        <v>2801.2</v>
      </c>
      <c r="J214" s="137">
        <f>SUMIF(G15:G192,"SB(L)",J15:J192)</f>
        <v>2014.9</v>
      </c>
    </row>
    <row r="215" spans="1:15" x14ac:dyDescent="0.2">
      <c r="A215" s="1113" t="s">
        <v>72</v>
      </c>
      <c r="B215" s="1114"/>
      <c r="C215" s="1114"/>
      <c r="D215" s="1114"/>
      <c r="E215" s="1114"/>
      <c r="F215" s="1114"/>
      <c r="G215" s="1115"/>
      <c r="H215" s="193">
        <f>SUMIF(G15:G198,"SB(SPL)",H15:H198)</f>
        <v>4.4000000000000004</v>
      </c>
      <c r="I215" s="193">
        <f>SUMIF(G15:G198,"SB(SPL)",I15:I198)</f>
        <v>4.4000000000000004</v>
      </c>
      <c r="J215" s="53">
        <f>SUMIF(G15:G198,"SB(SPL)",J15:J198)</f>
        <v>4.4000000000000004</v>
      </c>
    </row>
    <row r="216" spans="1:15" x14ac:dyDescent="0.2">
      <c r="A216" s="1113" t="s">
        <v>76</v>
      </c>
      <c r="B216" s="1114"/>
      <c r="C216" s="1114"/>
      <c r="D216" s="1114"/>
      <c r="E216" s="1114"/>
      <c r="F216" s="1114"/>
      <c r="G216" s="1115"/>
      <c r="H216" s="193">
        <f>SUMIF(G13:G198,"SB(ŽPL)",H13:H198)</f>
        <v>0</v>
      </c>
      <c r="I216" s="193">
        <f>SUMIF(G13:G198,"SB(ŽPL)",I13:I198)</f>
        <v>0</v>
      </c>
      <c r="J216" s="53">
        <f>SUMIF(G13:G198,"SB(ŽPL)",J13:J198)</f>
        <v>0</v>
      </c>
    </row>
    <row r="217" spans="1:15" ht="12" customHeight="1" x14ac:dyDescent="0.2">
      <c r="A217" s="1113" t="s">
        <v>73</v>
      </c>
      <c r="B217" s="1114"/>
      <c r="C217" s="1114"/>
      <c r="D217" s="1114"/>
      <c r="E217" s="1114"/>
      <c r="F217" s="1114"/>
      <c r="G217" s="1115"/>
      <c r="H217" s="137">
        <f>SUMIF(G13:G198,"SB(VRL)",H13:H198)</f>
        <v>0</v>
      </c>
      <c r="I217" s="137">
        <f>SUMIF(G13:G198,"SB(VRL)",I13:I198)</f>
        <v>0</v>
      </c>
      <c r="J217" s="137">
        <f>SUMIF(G15:G198,"SB(VRL)",J15:J198)</f>
        <v>0</v>
      </c>
    </row>
    <row r="218" spans="1:15" x14ac:dyDescent="0.2">
      <c r="A218" s="1116" t="s">
        <v>13</v>
      </c>
      <c r="B218" s="1117"/>
      <c r="C218" s="1117"/>
      <c r="D218" s="1117"/>
      <c r="E218" s="1117"/>
      <c r="F218" s="1117"/>
      <c r="G218" s="1118"/>
      <c r="H218" s="354">
        <f t="shared" ref="H218:J218" si="11">SUM(H219:H222)</f>
        <v>802.5</v>
      </c>
      <c r="I218" s="354">
        <f t="shared" ref="I218" si="12">SUM(I219:I222)</f>
        <v>802.5</v>
      </c>
      <c r="J218" s="355">
        <f t="shared" si="11"/>
        <v>0</v>
      </c>
    </row>
    <row r="219" spans="1:15" x14ac:dyDescent="0.2">
      <c r="A219" s="1119" t="s">
        <v>102</v>
      </c>
      <c r="B219" s="1120"/>
      <c r="C219" s="1120"/>
      <c r="D219" s="1120"/>
      <c r="E219" s="1120"/>
      <c r="F219" s="1120"/>
      <c r="G219" s="1121"/>
      <c r="H219" s="70">
        <f>SUMIF(G14:G198,"KVJUD",H14:H198)</f>
        <v>0</v>
      </c>
      <c r="I219" s="70">
        <f>SUMIF(G14:G198,"KVJUD",I14:I198)</f>
        <v>0</v>
      </c>
      <c r="J219" s="70">
        <f>SUMIF(G14:G198,"KVJUD",J14:J198)</f>
        <v>0</v>
      </c>
    </row>
    <row r="220" spans="1:15" ht="13.5" customHeight="1" x14ac:dyDescent="0.2">
      <c r="A220" s="1107" t="s">
        <v>19</v>
      </c>
      <c r="B220" s="1108"/>
      <c r="C220" s="1108"/>
      <c r="D220" s="1108"/>
      <c r="E220" s="1108"/>
      <c r="F220" s="1108"/>
      <c r="G220" s="1109"/>
      <c r="H220" s="70">
        <f>SUMIF(G13:G198,"LRVB",H13:H198)</f>
        <v>65.099999999999994</v>
      </c>
      <c r="I220" s="70">
        <f>SUMIF(G13:G198,"LRVB",I13:I198)</f>
        <v>65.099999999999994</v>
      </c>
      <c r="J220" s="70">
        <f>SUMIF(G13:G198,"LRVB",J13:J198)</f>
        <v>0</v>
      </c>
    </row>
    <row r="221" spans="1:15" ht="14.25" customHeight="1" x14ac:dyDescent="0.2">
      <c r="A221" s="1122" t="s">
        <v>18</v>
      </c>
      <c r="B221" s="1123"/>
      <c r="C221" s="1123"/>
      <c r="D221" s="1123"/>
      <c r="E221" s="1123"/>
      <c r="F221" s="1123"/>
      <c r="G221" s="1124"/>
      <c r="H221" s="52">
        <f>SUMIF(G15:G196,"ES",H15:H196)</f>
        <v>737.4</v>
      </c>
      <c r="I221" s="52">
        <f>SUMIF(G15:G196,"ES",I15:I196)</f>
        <v>737.4</v>
      </c>
      <c r="J221" s="52">
        <f>SUMIF(G15:G192,"ES",J15:J192)</f>
        <v>0</v>
      </c>
    </row>
    <row r="222" spans="1:15" ht="15.75" customHeight="1" x14ac:dyDescent="0.2">
      <c r="A222" s="1107" t="s">
        <v>20</v>
      </c>
      <c r="B222" s="1108"/>
      <c r="C222" s="1108"/>
      <c r="D222" s="1108"/>
      <c r="E222" s="1108"/>
      <c r="F222" s="1108"/>
      <c r="G222" s="1109"/>
      <c r="H222" s="70">
        <f>SUMIF(G13:G198,"Kt",H13:H198)</f>
        <v>0</v>
      </c>
      <c r="I222" s="70">
        <f>SUMIF(G13:G198,"Kt",I13:I198)</f>
        <v>0</v>
      </c>
      <c r="J222" s="70">
        <f>SUMIF(G13:G198,"Kt",J13:J198)</f>
        <v>0</v>
      </c>
    </row>
    <row r="223" spans="1:15" ht="15" customHeight="1" thickBot="1" x14ac:dyDescent="0.25">
      <c r="A223" s="1110" t="s">
        <v>14</v>
      </c>
      <c r="B223" s="1111"/>
      <c r="C223" s="1111"/>
      <c r="D223" s="1111"/>
      <c r="E223" s="1111"/>
      <c r="F223" s="1111"/>
      <c r="G223" s="1112"/>
      <c r="H223" s="171">
        <f>SUM(H205,H218)</f>
        <v>15725.1</v>
      </c>
      <c r="I223" s="171">
        <f>SUM(I205,I218)</f>
        <v>12709.7</v>
      </c>
      <c r="J223" s="171">
        <f>SUM(J205,J218)</f>
        <v>10331.299999999999</v>
      </c>
      <c r="L223" s="3"/>
      <c r="M223" s="3"/>
      <c r="N223" s="3"/>
      <c r="O223" s="3"/>
    </row>
    <row r="224" spans="1:15" x14ac:dyDescent="0.2">
      <c r="H224" s="8"/>
      <c r="I224" s="8"/>
      <c r="J224" s="8"/>
      <c r="K224" s="8"/>
      <c r="L224" s="7"/>
      <c r="M224" s="7"/>
      <c r="N224" s="7"/>
      <c r="O224" s="7"/>
    </row>
    <row r="225" spans="7:15" x14ac:dyDescent="0.2">
      <c r="G225" s="1264" t="s">
        <v>800</v>
      </c>
      <c r="H225" s="1264"/>
      <c r="I225" s="1264"/>
      <c r="J225" s="1264"/>
      <c r="K225" s="356"/>
      <c r="L225" s="7"/>
      <c r="M225" s="7"/>
      <c r="N225" s="7"/>
      <c r="O225" s="7"/>
    </row>
    <row r="226" spans="7:15" x14ac:dyDescent="0.2">
      <c r="H226" s="357"/>
      <c r="I226" s="357"/>
      <c r="J226" s="357"/>
      <c r="K226" s="8"/>
      <c r="L226" s="8"/>
      <c r="M226" s="8"/>
      <c r="N226" s="8"/>
      <c r="O226" s="8"/>
    </row>
    <row r="227" spans="7:15" x14ac:dyDescent="0.2">
      <c r="H227" s="12"/>
      <c r="I227" s="12"/>
      <c r="J227" s="12"/>
    </row>
    <row r="228" spans="7:15" x14ac:dyDescent="0.2">
      <c r="H228" s="12"/>
      <c r="I228" s="12"/>
    </row>
    <row r="229" spans="7:15" x14ac:dyDescent="0.2">
      <c r="H229" s="32"/>
      <c r="I229" s="32"/>
      <c r="J229" s="32"/>
    </row>
  </sheetData>
  <mergeCells count="231">
    <mergeCell ref="G225:J225"/>
    <mergeCell ref="K103:K105"/>
    <mergeCell ref="O114:O117"/>
    <mergeCell ref="O126:O128"/>
    <mergeCell ref="D190:D191"/>
    <mergeCell ref="O193:O194"/>
    <mergeCell ref="D193:D194"/>
    <mergeCell ref="O118:O120"/>
    <mergeCell ref="N126:N127"/>
    <mergeCell ref="O135:O137"/>
    <mergeCell ref="N162:N163"/>
    <mergeCell ref="K187:K188"/>
    <mergeCell ref="N187:N189"/>
    <mergeCell ref="O190:O191"/>
    <mergeCell ref="D118:D120"/>
    <mergeCell ref="E118:E120"/>
    <mergeCell ref="D135:D137"/>
    <mergeCell ref="E135:E137"/>
    <mergeCell ref="F135:F137"/>
    <mergeCell ref="D169:D173"/>
    <mergeCell ref="C185:G185"/>
    <mergeCell ref="E167:E168"/>
    <mergeCell ref="K121:K122"/>
    <mergeCell ref="K126:K127"/>
    <mergeCell ref="N145:N146"/>
    <mergeCell ref="K167:K168"/>
    <mergeCell ref="N95:N97"/>
    <mergeCell ref="O108:O109"/>
    <mergeCell ref="E53:E54"/>
    <mergeCell ref="F53:F54"/>
    <mergeCell ref="O85:O86"/>
    <mergeCell ref="F103:F105"/>
    <mergeCell ref="K114:K115"/>
    <mergeCell ref="O110:O113"/>
    <mergeCell ref="N115:N116"/>
    <mergeCell ref="N111:N113"/>
    <mergeCell ref="C155:G155"/>
    <mergeCell ref="C156:M156"/>
    <mergeCell ref="D158:D160"/>
    <mergeCell ref="D162:D163"/>
    <mergeCell ref="K162:K163"/>
    <mergeCell ref="C139:G139"/>
    <mergeCell ref="C140:O140"/>
    <mergeCell ref="D142:D144"/>
    <mergeCell ref="D145:D149"/>
    <mergeCell ref="K145:K146"/>
    <mergeCell ref="N122:N124"/>
    <mergeCell ref="D82:D83"/>
    <mergeCell ref="D45:D46"/>
    <mergeCell ref="E45:E46"/>
    <mergeCell ref="D47:D48"/>
    <mergeCell ref="E47:E48"/>
    <mergeCell ref="F47:F48"/>
    <mergeCell ref="D49:D50"/>
    <mergeCell ref="E49:E50"/>
    <mergeCell ref="F49:F50"/>
    <mergeCell ref="O45:O46"/>
    <mergeCell ref="O49:O50"/>
    <mergeCell ref="C13:O13"/>
    <mergeCell ref="D15:D17"/>
    <mergeCell ref="A18:A22"/>
    <mergeCell ref="B18:B22"/>
    <mergeCell ref="C18:C22"/>
    <mergeCell ref="D18:D22"/>
    <mergeCell ref="E18:E22"/>
    <mergeCell ref="D43:D44"/>
    <mergeCell ref="E43:E44"/>
    <mergeCell ref="F43:F44"/>
    <mergeCell ref="D38:D40"/>
    <mergeCell ref="E38:E42"/>
    <mergeCell ref="D41:D42"/>
    <mergeCell ref="F41:F42"/>
    <mergeCell ref="N43:N44"/>
    <mergeCell ref="K43:K44"/>
    <mergeCell ref="F18:F22"/>
    <mergeCell ref="K21:K22"/>
    <mergeCell ref="D23:D26"/>
    <mergeCell ref="N16:N17"/>
    <mergeCell ref="N41:N42"/>
    <mergeCell ref="O43:O44"/>
    <mergeCell ref="E23:E37"/>
    <mergeCell ref="A55:A56"/>
    <mergeCell ref="B55:B56"/>
    <mergeCell ref="C55:C56"/>
    <mergeCell ref="D55:D56"/>
    <mergeCell ref="A53:A54"/>
    <mergeCell ref="B53:B54"/>
    <mergeCell ref="C53:C54"/>
    <mergeCell ref="D53:D54"/>
    <mergeCell ref="D76:D77"/>
    <mergeCell ref="D58:D59"/>
    <mergeCell ref="D64:D65"/>
    <mergeCell ref="A80:A81"/>
    <mergeCell ref="B80:B81"/>
    <mergeCell ref="C80:C81"/>
    <mergeCell ref="D80:D81"/>
    <mergeCell ref="D69:D70"/>
    <mergeCell ref="K69:K70"/>
    <mergeCell ref="D71:D74"/>
    <mergeCell ref="E71:E75"/>
    <mergeCell ref="K74:K75"/>
    <mergeCell ref="E80:E81"/>
    <mergeCell ref="F80:F81"/>
    <mergeCell ref="D110:D113"/>
    <mergeCell ref="E110:E113"/>
    <mergeCell ref="F110:F113"/>
    <mergeCell ref="A87:A88"/>
    <mergeCell ref="B87:B88"/>
    <mergeCell ref="C87:C88"/>
    <mergeCell ref="D87:D88"/>
    <mergeCell ref="E87:E88"/>
    <mergeCell ref="F87:F88"/>
    <mergeCell ref="D89:D92"/>
    <mergeCell ref="D93:D94"/>
    <mergeCell ref="A100:A102"/>
    <mergeCell ref="B100:B102"/>
    <mergeCell ref="C100:C102"/>
    <mergeCell ref="D100:D102"/>
    <mergeCell ref="E100:E102"/>
    <mergeCell ref="D103:D105"/>
    <mergeCell ref="A85:A86"/>
    <mergeCell ref="B85:B86"/>
    <mergeCell ref="C85:C86"/>
    <mergeCell ref="D85:D86"/>
    <mergeCell ref="E85:E86"/>
    <mergeCell ref="F85:F86"/>
    <mergeCell ref="K85:K86"/>
    <mergeCell ref="M85:M86"/>
    <mergeCell ref="A205:G205"/>
    <mergeCell ref="A206:G206"/>
    <mergeCell ref="A207:G207"/>
    <mergeCell ref="A208:G208"/>
    <mergeCell ref="A209:G209"/>
    <mergeCell ref="C196:G196"/>
    <mergeCell ref="B197:G197"/>
    <mergeCell ref="K197:O197"/>
    <mergeCell ref="B198:G198"/>
    <mergeCell ref="K198:O198"/>
    <mergeCell ref="A202:G202"/>
    <mergeCell ref="A203:G204"/>
    <mergeCell ref="H203:H204"/>
    <mergeCell ref="I203:I204"/>
    <mergeCell ref="J203:J204"/>
    <mergeCell ref="A199:K199"/>
    <mergeCell ref="A200:K200"/>
    <mergeCell ref="A222:G222"/>
    <mergeCell ref="A223:G223"/>
    <mergeCell ref="A216:G216"/>
    <mergeCell ref="A217:G217"/>
    <mergeCell ref="A218:G218"/>
    <mergeCell ref="A219:G219"/>
    <mergeCell ref="A220:G220"/>
    <mergeCell ref="A221:G221"/>
    <mergeCell ref="A210:G210"/>
    <mergeCell ref="A211:G211"/>
    <mergeCell ref="A212:G212"/>
    <mergeCell ref="A213:G213"/>
    <mergeCell ref="A214:G214"/>
    <mergeCell ref="A215:G215"/>
    <mergeCell ref="H11:J11"/>
    <mergeCell ref="A165:A166"/>
    <mergeCell ref="A7:O7"/>
    <mergeCell ref="A8:O8"/>
    <mergeCell ref="B9:G9"/>
    <mergeCell ref="H9:J9"/>
    <mergeCell ref="N9:O9"/>
    <mergeCell ref="E4:E6"/>
    <mergeCell ref="F4:F6"/>
    <mergeCell ref="G4:G6"/>
    <mergeCell ref="H4:J4"/>
    <mergeCell ref="K4:M4"/>
    <mergeCell ref="N4:N6"/>
    <mergeCell ref="O4:O6"/>
    <mergeCell ref="H5:H6"/>
    <mergeCell ref="I5:I6"/>
    <mergeCell ref="J5:J6"/>
    <mergeCell ref="K5:K6"/>
    <mergeCell ref="F100:F102"/>
    <mergeCell ref="D165:D166"/>
    <mergeCell ref="E165:E166"/>
    <mergeCell ref="A103:A105"/>
    <mergeCell ref="B103:B105"/>
    <mergeCell ref="C103:C105"/>
    <mergeCell ref="D129:D131"/>
    <mergeCell ref="E129:E131"/>
    <mergeCell ref="E103:E105"/>
    <mergeCell ref="F114:F117"/>
    <mergeCell ref="C187:C188"/>
    <mergeCell ref="D187:D188"/>
    <mergeCell ref="A1:O1"/>
    <mergeCell ref="A2:O2"/>
    <mergeCell ref="L3:O3"/>
    <mergeCell ref="A4:A6"/>
    <mergeCell ref="B4:B6"/>
    <mergeCell ref="D4:D6"/>
    <mergeCell ref="L5:L6"/>
    <mergeCell ref="M5:M6"/>
    <mergeCell ref="E187:E188"/>
    <mergeCell ref="A187:A188"/>
    <mergeCell ref="B187:B188"/>
    <mergeCell ref="A167:A168"/>
    <mergeCell ref="B167:B168"/>
    <mergeCell ref="C167:C168"/>
    <mergeCell ref="D167:D168"/>
    <mergeCell ref="B10:G10"/>
    <mergeCell ref="H10:J10"/>
    <mergeCell ref="N10:O10"/>
    <mergeCell ref="K129:K131"/>
    <mergeCell ref="D133:D134"/>
    <mergeCell ref="B165:B166"/>
    <mergeCell ref="C165:C166"/>
    <mergeCell ref="N11:O11"/>
    <mergeCell ref="H12:J12"/>
    <mergeCell ref="N12:O12"/>
    <mergeCell ref="O145:O146"/>
    <mergeCell ref="K133:K134"/>
    <mergeCell ref="D114:D117"/>
    <mergeCell ref="E114:E117"/>
    <mergeCell ref="D106:D107"/>
    <mergeCell ref="K106:K107"/>
    <mergeCell ref="D108:D109"/>
    <mergeCell ref="E108:E109"/>
    <mergeCell ref="F108:F109"/>
    <mergeCell ref="E121:E124"/>
    <mergeCell ref="F124:F127"/>
    <mergeCell ref="D125:D128"/>
    <mergeCell ref="E125:E128"/>
    <mergeCell ref="K110:K111"/>
    <mergeCell ref="K119:K120"/>
    <mergeCell ref="F120:F122"/>
    <mergeCell ref="D121:D124"/>
  </mergeCells>
  <printOptions horizontalCentered="1"/>
  <pageMargins left="0.23622047244094491" right="0.23622047244094491" top="0.59055118110236227" bottom="0.23622047244094491" header="0.31496062992125984" footer="0.31496062992125984"/>
  <pageSetup paperSize="9" scale="71" orientation="landscape" r:id="rId1"/>
  <rowBreaks count="4" manualBreakCount="4">
    <brk id="48" max="14" man="1"/>
    <brk id="113" max="14" man="1"/>
    <brk id="144" max="14" man="1"/>
    <brk id="201"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6"/>
  <sheetViews>
    <sheetView view="pageBreakPreview" topLeftCell="A190" zoomScaleNormal="100" zoomScaleSheetLayoutView="100" workbookViewId="0">
      <selection activeCell="I200" sqref="I200"/>
    </sheetView>
  </sheetViews>
  <sheetFormatPr defaultColWidth="9.140625" defaultRowHeight="15" x14ac:dyDescent="0.25"/>
  <cols>
    <col min="1" max="1" width="3.85546875" style="481" customWidth="1"/>
    <col min="2" max="2" width="31.28515625" style="481" customWidth="1"/>
    <col min="3" max="3" width="8.85546875" style="481" customWidth="1"/>
    <col min="4" max="4" width="7.140625" style="542" customWidth="1"/>
    <col min="5" max="8" width="11" style="481" customWidth="1"/>
    <col min="9" max="9" width="31.7109375" style="481" customWidth="1"/>
    <col min="10" max="10" width="8.140625" style="481" customWidth="1"/>
    <col min="11" max="11" width="7.7109375" style="481" customWidth="1"/>
    <col min="12" max="12" width="6.5703125" style="481" customWidth="1"/>
    <col min="13" max="13" width="17.5703125" style="481" hidden="1" customWidth="1"/>
    <col min="14" max="14" width="51.85546875" style="782" customWidth="1"/>
    <col min="15" max="16384" width="9.140625" style="481"/>
  </cols>
  <sheetData>
    <row r="1" spans="1:14" ht="51" x14ac:dyDescent="0.2">
      <c r="A1" s="478" t="s">
        <v>259</v>
      </c>
      <c r="B1" s="479" t="s">
        <v>260</v>
      </c>
      <c r="C1" s="479" t="s">
        <v>261</v>
      </c>
      <c r="D1" s="480" t="s">
        <v>262</v>
      </c>
      <c r="E1" s="479" t="s">
        <v>263</v>
      </c>
      <c r="F1" s="479" t="s">
        <v>264</v>
      </c>
      <c r="G1" s="479" t="s">
        <v>265</v>
      </c>
      <c r="H1" s="479" t="s">
        <v>266</v>
      </c>
      <c r="I1" s="479" t="s">
        <v>267</v>
      </c>
      <c r="J1" s="479"/>
      <c r="K1" s="479"/>
      <c r="L1" s="479"/>
      <c r="M1" s="479"/>
      <c r="N1" s="772"/>
    </row>
    <row r="2" spans="1:14" ht="14.25" x14ac:dyDescent="0.2">
      <c r="A2" s="482"/>
      <c r="B2" s="483"/>
      <c r="C2" s="483"/>
      <c r="D2" s="484"/>
      <c r="E2" s="483"/>
      <c r="F2" s="483"/>
      <c r="G2" s="483"/>
      <c r="H2" s="483"/>
      <c r="I2" s="483" t="s">
        <v>268</v>
      </c>
      <c r="J2" s="483" t="s">
        <v>269</v>
      </c>
      <c r="K2" s="483" t="s">
        <v>270</v>
      </c>
      <c r="L2" s="483"/>
      <c r="M2" s="483" t="s">
        <v>271</v>
      </c>
      <c r="N2" s="773" t="s">
        <v>272</v>
      </c>
    </row>
    <row r="3" spans="1:14" thickBot="1" x14ac:dyDescent="0.25">
      <c r="A3" s="485"/>
      <c r="B3" s="486"/>
      <c r="C3" s="486"/>
      <c r="D3" s="487"/>
      <c r="E3" s="486"/>
      <c r="F3" s="486"/>
      <c r="G3" s="486"/>
      <c r="H3" s="486"/>
      <c r="I3" s="486"/>
      <c r="J3" s="486"/>
      <c r="K3" s="486" t="s">
        <v>273</v>
      </c>
      <c r="L3" s="486" t="s">
        <v>274</v>
      </c>
      <c r="M3" s="486"/>
      <c r="N3" s="774"/>
    </row>
    <row r="4" spans="1:14" ht="29.25" customHeight="1" thickBot="1" x14ac:dyDescent="0.25">
      <c r="A4" s="488" t="s">
        <v>32</v>
      </c>
      <c r="B4" s="489" t="s">
        <v>275</v>
      </c>
      <c r="C4" s="490" t="s">
        <v>276</v>
      </c>
      <c r="D4" s="491"/>
      <c r="E4" s="492">
        <f>SUM(E5:E5)</f>
        <v>14922.6</v>
      </c>
      <c r="F4" s="492">
        <f>SUM(F5:F5)</f>
        <v>11951.4</v>
      </c>
      <c r="G4" s="492">
        <f>SUM(G5:G5)</f>
        <v>10375.6</v>
      </c>
      <c r="H4" s="492">
        <f>SUM(H5:H5)</f>
        <v>1575.8</v>
      </c>
      <c r="I4" s="490"/>
      <c r="J4" s="493"/>
      <c r="K4" s="494"/>
      <c r="L4" s="494"/>
      <c r="M4" s="490"/>
      <c r="N4" s="775"/>
    </row>
    <row r="5" spans="1:14" ht="63.75" x14ac:dyDescent="0.2">
      <c r="A5" s="495" t="s">
        <v>277</v>
      </c>
      <c r="B5" s="496" t="s">
        <v>278</v>
      </c>
      <c r="C5" s="497" t="s">
        <v>279</v>
      </c>
      <c r="D5" s="498"/>
      <c r="E5" s="499">
        <f>E6+E7+E8+E9+E144+E159+E184</f>
        <v>14922.6</v>
      </c>
      <c r="F5" s="499">
        <f>F6+F7+F8+F9+F144+F159+F184</f>
        <v>11951.4</v>
      </c>
      <c r="G5" s="499">
        <f>G6+G7+G8+G9+G144+G159+G184-0.1</f>
        <v>10375.6</v>
      </c>
      <c r="H5" s="499">
        <f>H6+H7+H8+H9+H144+H159+H184+0.1</f>
        <v>1575.8</v>
      </c>
      <c r="I5" s="497" t="s">
        <v>151</v>
      </c>
      <c r="J5" s="500" t="s">
        <v>280</v>
      </c>
      <c r="K5" s="501" t="s">
        <v>281</v>
      </c>
      <c r="L5" s="501" t="s">
        <v>282</v>
      </c>
      <c r="M5" s="497"/>
      <c r="N5" s="776"/>
    </row>
    <row r="6" spans="1:14" ht="25.5" x14ac:dyDescent="0.2">
      <c r="A6" s="502"/>
      <c r="B6" s="503"/>
      <c r="C6" s="504"/>
      <c r="D6" s="505"/>
      <c r="E6" s="506">
        <v>0</v>
      </c>
      <c r="F6" s="506">
        <v>0</v>
      </c>
      <c r="G6" s="506">
        <v>0</v>
      </c>
      <c r="H6" s="506">
        <v>0</v>
      </c>
      <c r="I6" s="504" t="s">
        <v>152</v>
      </c>
      <c r="J6" s="507" t="s">
        <v>280</v>
      </c>
      <c r="K6" s="508" t="s">
        <v>283</v>
      </c>
      <c r="L6" s="508" t="s">
        <v>282</v>
      </c>
      <c r="M6" s="504"/>
      <c r="N6" s="777"/>
    </row>
    <row r="7" spans="1:14" ht="18.75" customHeight="1" x14ac:dyDescent="0.2">
      <c r="A7" s="502"/>
      <c r="B7" s="503"/>
      <c r="C7" s="504"/>
      <c r="D7" s="505"/>
      <c r="E7" s="506">
        <v>0</v>
      </c>
      <c r="F7" s="506">
        <v>0</v>
      </c>
      <c r="G7" s="506">
        <v>0</v>
      </c>
      <c r="H7" s="506">
        <v>0</v>
      </c>
      <c r="I7" s="504" t="s">
        <v>284</v>
      </c>
      <c r="J7" s="507" t="s">
        <v>280</v>
      </c>
      <c r="K7" s="508" t="s">
        <v>285</v>
      </c>
      <c r="L7" s="508" t="s">
        <v>282</v>
      </c>
      <c r="M7" s="504"/>
      <c r="N7" s="777"/>
    </row>
    <row r="8" spans="1:14" ht="29.25" customHeight="1" thickBot="1" x14ac:dyDescent="0.25">
      <c r="A8" s="502"/>
      <c r="B8" s="503"/>
      <c r="C8" s="504"/>
      <c r="D8" s="505"/>
      <c r="E8" s="506">
        <v>0</v>
      </c>
      <c r="F8" s="506">
        <v>0</v>
      </c>
      <c r="G8" s="506">
        <v>0</v>
      </c>
      <c r="H8" s="506">
        <v>0</v>
      </c>
      <c r="I8" s="504" t="s">
        <v>286</v>
      </c>
      <c r="J8" s="507" t="s">
        <v>287</v>
      </c>
      <c r="K8" s="508" t="s">
        <v>288</v>
      </c>
      <c r="L8" s="508" t="s">
        <v>282</v>
      </c>
      <c r="M8" s="504"/>
      <c r="N8" s="777"/>
    </row>
    <row r="9" spans="1:14" ht="39" thickBot="1" x14ac:dyDescent="0.25">
      <c r="A9" s="509" t="s">
        <v>289</v>
      </c>
      <c r="B9" s="510" t="s">
        <v>290</v>
      </c>
      <c r="C9" s="511"/>
      <c r="D9" s="512"/>
      <c r="E9" s="513">
        <f>E10+E49+E65+E92+E107+E112+E114+E142</f>
        <v>12271.9</v>
      </c>
      <c r="F9" s="513">
        <f>F10+F49+F65+F92+F107+F112+F114+F142</f>
        <v>8824.5</v>
      </c>
      <c r="G9" s="513">
        <f>G10+G49+G65+G92+G107+G112+G114+G142</f>
        <v>7695.1</v>
      </c>
      <c r="H9" s="513">
        <f>H10+H49+H65+H92+H107+H112+H114+H142</f>
        <v>1129.4000000000001</v>
      </c>
      <c r="I9" s="511"/>
      <c r="J9" s="514"/>
      <c r="K9" s="515"/>
      <c r="L9" s="515"/>
      <c r="M9" s="511"/>
      <c r="N9" s="778"/>
    </row>
    <row r="10" spans="1:14" ht="51.75" thickBot="1" x14ac:dyDescent="0.25">
      <c r="A10" s="516" t="s">
        <v>291</v>
      </c>
      <c r="B10" s="517" t="s">
        <v>292</v>
      </c>
      <c r="C10" s="518" t="s">
        <v>293</v>
      </c>
      <c r="D10" s="519"/>
      <c r="E10" s="520">
        <f>E11+E13+E19+E32+E36+E40+E43+E46+E48</f>
        <v>1648.4</v>
      </c>
      <c r="F10" s="520">
        <f>F11+F13+F19+F32+F36+F40+F43+F46+F48</f>
        <v>1221.4000000000001</v>
      </c>
      <c r="G10" s="520">
        <f>G11+G13+G19+G32+G36+G40+G43+G46+G48</f>
        <v>937.1</v>
      </c>
      <c r="H10" s="520">
        <f>H11+H13+H19+H32+H36+H40+H43+H46+H48</f>
        <v>284.3</v>
      </c>
      <c r="I10" s="518"/>
      <c r="J10" s="521"/>
      <c r="K10" s="522"/>
      <c r="L10" s="522"/>
      <c r="M10" s="518"/>
      <c r="N10" s="779"/>
    </row>
    <row r="11" spans="1:14" ht="120" x14ac:dyDescent="0.2">
      <c r="A11" s="516" t="s">
        <v>294</v>
      </c>
      <c r="B11" s="517" t="s">
        <v>295</v>
      </c>
      <c r="C11" s="518" t="s">
        <v>296</v>
      </c>
      <c r="D11" s="519" t="s">
        <v>21</v>
      </c>
      <c r="E11" s="520">
        <f>SUM(E12:E12)+140.1</f>
        <v>140.1</v>
      </c>
      <c r="F11" s="520">
        <f>SUM(F12:F12)+141.3</f>
        <v>141.30000000000001</v>
      </c>
      <c r="G11" s="520">
        <f>SUM(G12:G12)+141.3</f>
        <v>141.30000000000001</v>
      </c>
      <c r="H11" s="520">
        <f>SUM(H12:H12)</f>
        <v>0</v>
      </c>
      <c r="I11" s="518" t="s">
        <v>297</v>
      </c>
      <c r="J11" s="521" t="s">
        <v>298</v>
      </c>
      <c r="K11" s="522" t="s">
        <v>299</v>
      </c>
      <c r="L11" s="522" t="s">
        <v>299</v>
      </c>
      <c r="M11" s="518"/>
      <c r="N11" s="779" t="s">
        <v>300</v>
      </c>
    </row>
    <row r="12" spans="1:14" ht="90.75" thickBot="1" x14ac:dyDescent="0.25">
      <c r="A12" s="502"/>
      <c r="B12" s="503"/>
      <c r="C12" s="504"/>
      <c r="D12" s="505"/>
      <c r="E12" s="506">
        <v>0</v>
      </c>
      <c r="F12" s="506">
        <v>0</v>
      </c>
      <c r="G12" s="506">
        <v>0</v>
      </c>
      <c r="H12" s="506">
        <v>0</v>
      </c>
      <c r="I12" s="504" t="s">
        <v>301</v>
      </c>
      <c r="J12" s="507" t="s">
        <v>302</v>
      </c>
      <c r="K12" s="508" t="s">
        <v>303</v>
      </c>
      <c r="L12" s="508" t="s">
        <v>303</v>
      </c>
      <c r="M12" s="504"/>
      <c r="N12" s="777" t="s">
        <v>304</v>
      </c>
    </row>
    <row r="13" spans="1:14" ht="63.75" x14ac:dyDescent="0.2">
      <c r="A13" s="516" t="s">
        <v>305</v>
      </c>
      <c r="B13" s="517" t="s">
        <v>26</v>
      </c>
      <c r="C13" s="518" t="s">
        <v>306</v>
      </c>
      <c r="D13" s="519"/>
      <c r="E13" s="520">
        <f>SUM(E14:E18)</f>
        <v>80.8</v>
      </c>
      <c r="F13" s="520">
        <f>SUM(F14:F18)</f>
        <v>81.599999999999994</v>
      </c>
      <c r="G13" s="520">
        <f>SUM(G14:G18)</f>
        <v>68.8</v>
      </c>
      <c r="H13" s="520">
        <f>SUM(H14:H18)</f>
        <v>12.8</v>
      </c>
      <c r="I13" s="518" t="s">
        <v>307</v>
      </c>
      <c r="J13" s="521" t="s">
        <v>280</v>
      </c>
      <c r="K13" s="522" t="s">
        <v>281</v>
      </c>
      <c r="L13" s="522" t="s">
        <v>281</v>
      </c>
      <c r="M13" s="518"/>
      <c r="N13" s="779" t="s">
        <v>308</v>
      </c>
    </row>
    <row r="14" spans="1:14" ht="45" x14ac:dyDescent="0.2">
      <c r="A14" s="502"/>
      <c r="B14" s="503"/>
      <c r="C14" s="504"/>
      <c r="D14" s="505"/>
      <c r="E14" s="506">
        <v>0</v>
      </c>
      <c r="F14" s="506">
        <v>0</v>
      </c>
      <c r="G14" s="506">
        <v>0</v>
      </c>
      <c r="H14" s="506">
        <v>0</v>
      </c>
      <c r="I14" s="504" t="s">
        <v>309</v>
      </c>
      <c r="J14" s="507" t="s">
        <v>280</v>
      </c>
      <c r="K14" s="508" t="s">
        <v>310</v>
      </c>
      <c r="L14" s="508" t="s">
        <v>310</v>
      </c>
      <c r="M14" s="504"/>
      <c r="N14" s="777" t="s">
        <v>311</v>
      </c>
    </row>
    <row r="15" spans="1:14" ht="60" x14ac:dyDescent="0.2">
      <c r="A15" s="502"/>
      <c r="B15" s="503"/>
      <c r="C15" s="504"/>
      <c r="D15" s="505"/>
      <c r="E15" s="506">
        <v>0</v>
      </c>
      <c r="F15" s="506">
        <v>0</v>
      </c>
      <c r="G15" s="506">
        <v>0</v>
      </c>
      <c r="H15" s="506">
        <v>0</v>
      </c>
      <c r="I15" s="504" t="s">
        <v>312</v>
      </c>
      <c r="J15" s="507" t="s">
        <v>280</v>
      </c>
      <c r="K15" s="508" t="s">
        <v>313</v>
      </c>
      <c r="L15" s="508" t="s">
        <v>282</v>
      </c>
      <c r="M15" s="504"/>
      <c r="N15" s="777" t="s">
        <v>314</v>
      </c>
    </row>
    <row r="16" spans="1:14" ht="45" x14ac:dyDescent="0.2">
      <c r="A16" s="502"/>
      <c r="B16" s="503"/>
      <c r="C16" s="504"/>
      <c r="D16" s="505"/>
      <c r="E16" s="506">
        <v>0</v>
      </c>
      <c r="F16" s="506">
        <v>0</v>
      </c>
      <c r="G16" s="506">
        <v>0</v>
      </c>
      <c r="H16" s="506">
        <v>0</v>
      </c>
      <c r="I16" s="504" t="s">
        <v>315</v>
      </c>
      <c r="J16" s="507" t="s">
        <v>316</v>
      </c>
      <c r="K16" s="508" t="s">
        <v>317</v>
      </c>
      <c r="L16" s="508" t="s">
        <v>317</v>
      </c>
      <c r="M16" s="504"/>
      <c r="N16" s="777" t="s">
        <v>318</v>
      </c>
    </row>
    <row r="17" spans="1:14" x14ac:dyDescent="0.2">
      <c r="A17" s="502"/>
      <c r="B17" s="503"/>
      <c r="C17" s="504"/>
      <c r="D17" s="505" t="s">
        <v>53</v>
      </c>
      <c r="E17" s="506">
        <v>39.5</v>
      </c>
      <c r="F17" s="506">
        <v>39.5</v>
      </c>
      <c r="G17" s="506">
        <v>39.5</v>
      </c>
      <c r="H17" s="506">
        <v>0</v>
      </c>
      <c r="I17" s="504"/>
      <c r="J17" s="507"/>
      <c r="K17" s="508"/>
      <c r="L17" s="508"/>
      <c r="M17" s="504"/>
      <c r="N17" s="777"/>
    </row>
    <row r="18" spans="1:14" ht="15.75" thickBot="1" x14ac:dyDescent="0.25">
      <c r="A18" s="502"/>
      <c r="B18" s="503"/>
      <c r="C18" s="504"/>
      <c r="D18" s="505" t="s">
        <v>21</v>
      </c>
      <c r="E18" s="506">
        <v>41.3</v>
      </c>
      <c r="F18" s="506">
        <v>42.1</v>
      </c>
      <c r="G18" s="506">
        <v>29.3</v>
      </c>
      <c r="H18" s="506">
        <v>12.8</v>
      </c>
      <c r="I18" s="504"/>
      <c r="J18" s="507"/>
      <c r="K18" s="508"/>
      <c r="L18" s="508"/>
      <c r="M18" s="504"/>
      <c r="N18" s="777"/>
    </row>
    <row r="19" spans="1:14" ht="63.75" x14ac:dyDescent="0.2">
      <c r="A19" s="516" t="s">
        <v>319</v>
      </c>
      <c r="B19" s="517" t="s">
        <v>27</v>
      </c>
      <c r="C19" s="518" t="s">
        <v>320</v>
      </c>
      <c r="D19" s="519"/>
      <c r="E19" s="520">
        <f>SUM(E20:E31)</f>
        <v>224.8</v>
      </c>
      <c r="F19" s="520">
        <f>SUM(F20:F31)</f>
        <v>222.8</v>
      </c>
      <c r="G19" s="520">
        <f>SUM(G20:G31)</f>
        <v>222.7</v>
      </c>
      <c r="H19" s="520">
        <f>SUM(H20:H31)</f>
        <v>0.1</v>
      </c>
      <c r="I19" s="518" t="s">
        <v>321</v>
      </c>
      <c r="J19" s="521" t="s">
        <v>322</v>
      </c>
      <c r="K19" s="522" t="s">
        <v>313</v>
      </c>
      <c r="L19" s="522" t="s">
        <v>282</v>
      </c>
      <c r="M19" s="518"/>
      <c r="N19" s="779" t="s">
        <v>323</v>
      </c>
    </row>
    <row r="20" spans="1:14" x14ac:dyDescent="0.2">
      <c r="A20" s="502"/>
      <c r="B20" s="503"/>
      <c r="C20" s="504"/>
      <c r="D20" s="505"/>
      <c r="E20" s="506">
        <v>0</v>
      </c>
      <c r="F20" s="506">
        <v>0</v>
      </c>
      <c r="G20" s="506">
        <v>0</v>
      </c>
      <c r="H20" s="506">
        <v>0</v>
      </c>
      <c r="I20" s="504" t="s">
        <v>324</v>
      </c>
      <c r="J20" s="507" t="s">
        <v>325</v>
      </c>
      <c r="K20" s="508" t="s">
        <v>317</v>
      </c>
      <c r="L20" s="508" t="s">
        <v>282</v>
      </c>
      <c r="M20" s="504"/>
      <c r="N20" s="777" t="s">
        <v>326</v>
      </c>
    </row>
    <row r="21" spans="1:14" ht="25.5" x14ac:dyDescent="0.2">
      <c r="A21" s="502"/>
      <c r="B21" s="503"/>
      <c r="C21" s="504"/>
      <c r="D21" s="505"/>
      <c r="E21" s="506">
        <v>0</v>
      </c>
      <c r="F21" s="506">
        <v>0</v>
      </c>
      <c r="G21" s="506">
        <v>0</v>
      </c>
      <c r="H21" s="506">
        <v>0</v>
      </c>
      <c r="I21" s="504" t="s">
        <v>327</v>
      </c>
      <c r="J21" s="507" t="s">
        <v>280</v>
      </c>
      <c r="K21" s="508" t="s">
        <v>328</v>
      </c>
      <c r="L21" s="508" t="s">
        <v>329</v>
      </c>
      <c r="M21" s="504"/>
      <c r="N21" s="777" t="s">
        <v>330</v>
      </c>
    </row>
    <row r="22" spans="1:14" x14ac:dyDescent="0.2">
      <c r="A22" s="502"/>
      <c r="B22" s="503"/>
      <c r="C22" s="504"/>
      <c r="D22" s="505"/>
      <c r="E22" s="506">
        <v>0</v>
      </c>
      <c r="F22" s="506">
        <v>0</v>
      </c>
      <c r="G22" s="506">
        <v>0</v>
      </c>
      <c r="H22" s="506">
        <v>0</v>
      </c>
      <c r="I22" s="504" t="s">
        <v>331</v>
      </c>
      <c r="J22" s="507" t="s">
        <v>280</v>
      </c>
      <c r="K22" s="508" t="s">
        <v>332</v>
      </c>
      <c r="L22" s="508" t="s">
        <v>333</v>
      </c>
      <c r="M22" s="504"/>
      <c r="N22" s="777" t="s">
        <v>334</v>
      </c>
    </row>
    <row r="23" spans="1:14" ht="180" x14ac:dyDescent="0.2">
      <c r="A23" s="502"/>
      <c r="B23" s="503"/>
      <c r="C23" s="504"/>
      <c r="D23" s="505"/>
      <c r="E23" s="506">
        <v>0</v>
      </c>
      <c r="F23" s="506">
        <v>0</v>
      </c>
      <c r="G23" s="506">
        <v>0</v>
      </c>
      <c r="H23" s="506">
        <v>0</v>
      </c>
      <c r="I23" s="504" t="s">
        <v>335</v>
      </c>
      <c r="J23" s="507" t="s">
        <v>280</v>
      </c>
      <c r="K23" s="508" t="s">
        <v>285</v>
      </c>
      <c r="L23" s="508" t="s">
        <v>336</v>
      </c>
      <c r="M23" s="504"/>
      <c r="N23" s="777" t="s">
        <v>337</v>
      </c>
    </row>
    <row r="24" spans="1:14" ht="38.25" x14ac:dyDescent="0.2">
      <c r="A24" s="502"/>
      <c r="B24" s="503"/>
      <c r="C24" s="504"/>
      <c r="D24" s="505"/>
      <c r="E24" s="506">
        <v>0</v>
      </c>
      <c r="F24" s="506">
        <v>0</v>
      </c>
      <c r="G24" s="506">
        <v>0</v>
      </c>
      <c r="H24" s="506">
        <v>0</v>
      </c>
      <c r="I24" s="504" t="s">
        <v>338</v>
      </c>
      <c r="J24" s="507" t="s">
        <v>280</v>
      </c>
      <c r="K24" s="508" t="s">
        <v>283</v>
      </c>
      <c r="L24" s="508" t="s">
        <v>283</v>
      </c>
      <c r="M24" s="504"/>
      <c r="N24" s="777" t="s">
        <v>339</v>
      </c>
    </row>
    <row r="25" spans="1:14" x14ac:dyDescent="0.2">
      <c r="A25" s="502"/>
      <c r="B25" s="503"/>
      <c r="C25" s="504"/>
      <c r="D25" s="505"/>
      <c r="E25" s="506">
        <v>0</v>
      </c>
      <c r="F25" s="506">
        <v>0</v>
      </c>
      <c r="G25" s="506">
        <v>0</v>
      </c>
      <c r="H25" s="506">
        <v>0</v>
      </c>
      <c r="I25" s="504" t="s">
        <v>340</v>
      </c>
      <c r="J25" s="507" t="s">
        <v>280</v>
      </c>
      <c r="K25" s="508" t="s">
        <v>341</v>
      </c>
      <c r="L25" s="508" t="s">
        <v>342</v>
      </c>
      <c r="M25" s="504"/>
      <c r="N25" s="777" t="s">
        <v>334</v>
      </c>
    </row>
    <row r="26" spans="1:14" ht="62.25" customHeight="1" x14ac:dyDescent="0.2">
      <c r="A26" s="502"/>
      <c r="B26" s="503"/>
      <c r="C26" s="504"/>
      <c r="D26" s="505"/>
      <c r="E26" s="506">
        <v>0</v>
      </c>
      <c r="F26" s="506">
        <v>0</v>
      </c>
      <c r="G26" s="506">
        <v>0</v>
      </c>
      <c r="H26" s="506">
        <v>0</v>
      </c>
      <c r="I26" s="504" t="s">
        <v>343</v>
      </c>
      <c r="J26" s="507" t="s">
        <v>280</v>
      </c>
      <c r="K26" s="508" t="s">
        <v>344</v>
      </c>
      <c r="L26" s="508" t="s">
        <v>313</v>
      </c>
      <c r="M26" s="504"/>
      <c r="N26" s="777" t="s">
        <v>345</v>
      </c>
    </row>
    <row r="27" spans="1:14" ht="150" x14ac:dyDescent="0.2">
      <c r="A27" s="502"/>
      <c r="B27" s="503"/>
      <c r="C27" s="504"/>
      <c r="D27" s="505"/>
      <c r="E27" s="506">
        <v>0</v>
      </c>
      <c r="F27" s="506">
        <v>0</v>
      </c>
      <c r="G27" s="506">
        <v>0</v>
      </c>
      <c r="H27" s="506">
        <v>0</v>
      </c>
      <c r="I27" s="504" t="s">
        <v>346</v>
      </c>
      <c r="J27" s="507" t="s">
        <v>280</v>
      </c>
      <c r="K27" s="508" t="s">
        <v>347</v>
      </c>
      <c r="L27" s="508" t="s">
        <v>348</v>
      </c>
      <c r="M27" s="504"/>
      <c r="N27" s="777" t="s">
        <v>349</v>
      </c>
    </row>
    <row r="28" spans="1:14" ht="30" x14ac:dyDescent="0.2">
      <c r="A28" s="502"/>
      <c r="B28" s="503"/>
      <c r="C28" s="504"/>
      <c r="D28" s="505"/>
      <c r="E28" s="506">
        <v>0</v>
      </c>
      <c r="F28" s="506">
        <v>0</v>
      </c>
      <c r="G28" s="506">
        <v>0</v>
      </c>
      <c r="H28" s="506">
        <v>0</v>
      </c>
      <c r="I28" s="504" t="s">
        <v>350</v>
      </c>
      <c r="J28" s="507" t="s">
        <v>280</v>
      </c>
      <c r="K28" s="508" t="s">
        <v>351</v>
      </c>
      <c r="L28" s="508" t="s">
        <v>352</v>
      </c>
      <c r="M28" s="504"/>
      <c r="N28" s="777" t="s">
        <v>353</v>
      </c>
    </row>
    <row r="29" spans="1:14" x14ac:dyDescent="0.2">
      <c r="A29" s="502"/>
      <c r="B29" s="503"/>
      <c r="C29" s="504"/>
      <c r="D29" s="505"/>
      <c r="E29" s="506">
        <v>0</v>
      </c>
      <c r="F29" s="506">
        <v>0</v>
      </c>
      <c r="G29" s="506">
        <v>0</v>
      </c>
      <c r="H29" s="506">
        <v>0</v>
      </c>
      <c r="I29" s="504" t="s">
        <v>354</v>
      </c>
      <c r="J29" s="507" t="s">
        <v>280</v>
      </c>
      <c r="K29" s="508" t="s">
        <v>355</v>
      </c>
      <c r="L29" s="508" t="s">
        <v>332</v>
      </c>
      <c r="M29" s="504"/>
      <c r="N29" s="777" t="s">
        <v>356</v>
      </c>
    </row>
    <row r="30" spans="1:14" x14ac:dyDescent="0.2">
      <c r="A30" s="502"/>
      <c r="B30" s="503"/>
      <c r="C30" s="504"/>
      <c r="D30" s="505" t="s">
        <v>53</v>
      </c>
      <c r="E30" s="506">
        <v>99.9</v>
      </c>
      <c r="F30" s="506">
        <v>99.9</v>
      </c>
      <c r="G30" s="506">
        <v>99.8</v>
      </c>
      <c r="H30" s="506">
        <v>0.1</v>
      </c>
      <c r="I30" s="504"/>
      <c r="J30" s="507"/>
      <c r="K30" s="508"/>
      <c r="L30" s="508"/>
      <c r="M30" s="504"/>
      <c r="N30" s="777"/>
    </row>
    <row r="31" spans="1:14" ht="15.75" thickBot="1" x14ac:dyDescent="0.25">
      <c r="A31" s="502"/>
      <c r="B31" s="503"/>
      <c r="C31" s="504"/>
      <c r="D31" s="505" t="s">
        <v>21</v>
      </c>
      <c r="E31" s="506">
        <v>124.9</v>
      </c>
      <c r="F31" s="506">
        <v>122.9</v>
      </c>
      <c r="G31" s="506">
        <v>122.9</v>
      </c>
      <c r="H31" s="506">
        <v>0</v>
      </c>
      <c r="I31" s="504"/>
      <c r="J31" s="507"/>
      <c r="K31" s="508"/>
      <c r="L31" s="508"/>
      <c r="M31" s="504"/>
      <c r="N31" s="777"/>
    </row>
    <row r="32" spans="1:14" ht="63.75" x14ac:dyDescent="0.2">
      <c r="A32" s="516" t="s">
        <v>357</v>
      </c>
      <c r="B32" s="517" t="s">
        <v>103</v>
      </c>
      <c r="C32" s="518" t="s">
        <v>358</v>
      </c>
      <c r="D32" s="519"/>
      <c r="E32" s="520">
        <f>SUM(E33:E35)</f>
        <v>298.7</v>
      </c>
      <c r="F32" s="520">
        <f>SUM(F33:F35)</f>
        <v>298.7</v>
      </c>
      <c r="G32" s="520">
        <f>SUM(G33:G35)</f>
        <v>298.7</v>
      </c>
      <c r="H32" s="520">
        <f>SUM(H33:H35)</f>
        <v>0</v>
      </c>
      <c r="I32" s="518" t="s">
        <v>359</v>
      </c>
      <c r="J32" s="521" t="s">
        <v>316</v>
      </c>
      <c r="K32" s="522" t="s">
        <v>317</v>
      </c>
      <c r="L32" s="522" t="s">
        <v>317</v>
      </c>
      <c r="M32" s="518"/>
      <c r="N32" s="779" t="s">
        <v>360</v>
      </c>
    </row>
    <row r="33" spans="1:14" x14ac:dyDescent="0.2">
      <c r="A33" s="502"/>
      <c r="B33" s="503"/>
      <c r="C33" s="504"/>
      <c r="D33" s="505"/>
      <c r="E33" s="506">
        <v>0</v>
      </c>
      <c r="F33" s="506">
        <v>0</v>
      </c>
      <c r="G33" s="506">
        <v>0</v>
      </c>
      <c r="H33" s="506">
        <v>0</v>
      </c>
      <c r="I33" s="504" t="s">
        <v>361</v>
      </c>
      <c r="J33" s="507" t="s">
        <v>280</v>
      </c>
      <c r="K33" s="508" t="s">
        <v>313</v>
      </c>
      <c r="L33" s="508" t="s">
        <v>313</v>
      </c>
      <c r="M33" s="504"/>
      <c r="N33" s="777" t="s">
        <v>362</v>
      </c>
    </row>
    <row r="34" spans="1:14" x14ac:dyDescent="0.2">
      <c r="A34" s="502"/>
      <c r="B34" s="503"/>
      <c r="C34" s="504"/>
      <c r="D34" s="505" t="s">
        <v>53</v>
      </c>
      <c r="E34" s="506">
        <v>277.8</v>
      </c>
      <c r="F34" s="506">
        <v>277.8</v>
      </c>
      <c r="G34" s="506">
        <v>277.8</v>
      </c>
      <c r="H34" s="506">
        <v>0</v>
      </c>
      <c r="I34" s="504"/>
      <c r="J34" s="507"/>
      <c r="K34" s="508"/>
      <c r="L34" s="508"/>
      <c r="M34" s="504"/>
      <c r="N34" s="777"/>
    </row>
    <row r="35" spans="1:14" ht="15.75" thickBot="1" x14ac:dyDescent="0.25">
      <c r="A35" s="502"/>
      <c r="B35" s="503"/>
      <c r="C35" s="504"/>
      <c r="D35" s="505" t="s">
        <v>21</v>
      </c>
      <c r="E35" s="506">
        <v>20.9</v>
      </c>
      <c r="F35" s="506">
        <v>20.9</v>
      </c>
      <c r="G35" s="506">
        <v>20.9</v>
      </c>
      <c r="H35" s="506">
        <v>0</v>
      </c>
      <c r="I35" s="504"/>
      <c r="J35" s="507"/>
      <c r="K35" s="508"/>
      <c r="L35" s="508"/>
      <c r="M35" s="504"/>
      <c r="N35" s="777"/>
    </row>
    <row r="36" spans="1:14" ht="63.75" x14ac:dyDescent="0.2">
      <c r="A36" s="516" t="s">
        <v>363</v>
      </c>
      <c r="B36" s="517" t="s">
        <v>99</v>
      </c>
      <c r="C36" s="518" t="s">
        <v>358</v>
      </c>
      <c r="D36" s="519"/>
      <c r="E36" s="520">
        <f>SUM(E37:E39)</f>
        <v>208</v>
      </c>
      <c r="F36" s="520">
        <f>SUM(F37:F39)</f>
        <v>8.1</v>
      </c>
      <c r="G36" s="520">
        <f>SUM(G37:G39)</f>
        <v>8</v>
      </c>
      <c r="H36" s="520">
        <f>SUM(H37:H39)</f>
        <v>0.1</v>
      </c>
      <c r="I36" s="518" t="s">
        <v>359</v>
      </c>
      <c r="J36" s="521" t="s">
        <v>316</v>
      </c>
      <c r="K36" s="522" t="s">
        <v>282</v>
      </c>
      <c r="L36" s="522" t="s">
        <v>282</v>
      </c>
      <c r="M36" s="518"/>
      <c r="N36" s="779"/>
    </row>
    <row r="37" spans="1:14" x14ac:dyDescent="0.2">
      <c r="A37" s="502"/>
      <c r="B37" s="503"/>
      <c r="C37" s="504"/>
      <c r="D37" s="505"/>
      <c r="E37" s="506">
        <v>0</v>
      </c>
      <c r="F37" s="506">
        <v>0</v>
      </c>
      <c r="G37" s="506">
        <v>0</v>
      </c>
      <c r="H37" s="506">
        <v>0</v>
      </c>
      <c r="I37" s="504" t="s">
        <v>364</v>
      </c>
      <c r="J37" s="507" t="s">
        <v>280</v>
      </c>
      <c r="K37" s="508" t="s">
        <v>313</v>
      </c>
      <c r="L37" s="508" t="s">
        <v>313</v>
      </c>
      <c r="M37" s="504"/>
      <c r="N37" s="777" t="s">
        <v>365</v>
      </c>
    </row>
    <row r="38" spans="1:14" x14ac:dyDescent="0.2">
      <c r="A38" s="502"/>
      <c r="B38" s="503"/>
      <c r="C38" s="504"/>
      <c r="D38" s="505" t="s">
        <v>21</v>
      </c>
      <c r="E38" s="506">
        <v>21</v>
      </c>
      <c r="F38" s="506">
        <v>8.1</v>
      </c>
      <c r="G38" s="506">
        <v>8</v>
      </c>
      <c r="H38" s="506">
        <v>0.1</v>
      </c>
      <c r="I38" s="504"/>
      <c r="J38" s="507"/>
      <c r="K38" s="508"/>
      <c r="L38" s="508"/>
      <c r="M38" s="504"/>
      <c r="N38" s="777"/>
    </row>
    <row r="39" spans="1:14" ht="15.75" thickBot="1" x14ac:dyDescent="0.25">
      <c r="A39" s="502"/>
      <c r="B39" s="503"/>
      <c r="C39" s="504"/>
      <c r="D39" s="505" t="s">
        <v>53</v>
      </c>
      <c r="E39" s="506">
        <v>187</v>
      </c>
      <c r="F39" s="506">
        <v>0</v>
      </c>
      <c r="G39" s="506">
        <v>0</v>
      </c>
      <c r="H39" s="506">
        <v>0</v>
      </c>
      <c r="I39" s="504"/>
      <c r="J39" s="507"/>
      <c r="K39" s="508"/>
      <c r="L39" s="508"/>
      <c r="M39" s="504"/>
      <c r="N39" s="777"/>
    </row>
    <row r="40" spans="1:14" ht="63.75" x14ac:dyDescent="0.2">
      <c r="A40" s="516" t="s">
        <v>366</v>
      </c>
      <c r="B40" s="517" t="s">
        <v>101</v>
      </c>
      <c r="C40" s="518" t="s">
        <v>367</v>
      </c>
      <c r="D40" s="519"/>
      <c r="E40" s="520">
        <f>SUM(E41:E42)</f>
        <v>20</v>
      </c>
      <c r="F40" s="520">
        <f>SUM(F41:F42)</f>
        <v>20</v>
      </c>
      <c r="G40" s="520">
        <f>SUM(G41:G42)</f>
        <v>18.7</v>
      </c>
      <c r="H40" s="520">
        <f>SUM(H41:H42)</f>
        <v>1.3</v>
      </c>
      <c r="I40" s="518" t="s">
        <v>368</v>
      </c>
      <c r="J40" s="521" t="s">
        <v>316</v>
      </c>
      <c r="K40" s="522" t="s">
        <v>282</v>
      </c>
      <c r="L40" s="522" t="s">
        <v>282</v>
      </c>
      <c r="M40" s="518"/>
      <c r="N40" s="779"/>
    </row>
    <row r="41" spans="1:14" x14ac:dyDescent="0.2">
      <c r="A41" s="502"/>
      <c r="B41" s="503"/>
      <c r="C41" s="504"/>
      <c r="D41" s="505"/>
      <c r="E41" s="506">
        <v>0</v>
      </c>
      <c r="F41" s="506">
        <v>0</v>
      </c>
      <c r="G41" s="506">
        <v>0</v>
      </c>
      <c r="H41" s="506">
        <v>0</v>
      </c>
      <c r="I41" s="504" t="s">
        <v>364</v>
      </c>
      <c r="J41" s="507" t="s">
        <v>280</v>
      </c>
      <c r="K41" s="508" t="s">
        <v>313</v>
      </c>
      <c r="L41" s="508" t="s">
        <v>313</v>
      </c>
      <c r="M41" s="504"/>
      <c r="N41" s="777" t="s">
        <v>369</v>
      </c>
    </row>
    <row r="42" spans="1:14" ht="15.75" thickBot="1" x14ac:dyDescent="0.25">
      <c r="A42" s="502"/>
      <c r="B42" s="503"/>
      <c r="C42" s="504"/>
      <c r="D42" s="505" t="s">
        <v>53</v>
      </c>
      <c r="E42" s="506">
        <v>20</v>
      </c>
      <c r="F42" s="506">
        <v>20</v>
      </c>
      <c r="G42" s="506">
        <v>18.7</v>
      </c>
      <c r="H42" s="506">
        <v>1.3</v>
      </c>
      <c r="I42" s="504"/>
      <c r="J42" s="507"/>
      <c r="K42" s="508"/>
      <c r="L42" s="508"/>
      <c r="M42" s="504"/>
      <c r="N42" s="777"/>
    </row>
    <row r="43" spans="1:14" ht="63.75" x14ac:dyDescent="0.2">
      <c r="A43" s="516" t="s">
        <v>370</v>
      </c>
      <c r="B43" s="517" t="s">
        <v>89</v>
      </c>
      <c r="C43" s="518" t="s">
        <v>371</v>
      </c>
      <c r="D43" s="519"/>
      <c r="E43" s="520">
        <f>SUM(E44:E45)</f>
        <v>261</v>
      </c>
      <c r="F43" s="520">
        <f>SUM(F44:F45)</f>
        <v>19</v>
      </c>
      <c r="G43" s="520">
        <f>SUM(G44:G45)</f>
        <v>2.4</v>
      </c>
      <c r="H43" s="520">
        <f>SUM(H44:H45)</f>
        <v>16.600000000000001</v>
      </c>
      <c r="I43" s="518" t="s">
        <v>372</v>
      </c>
      <c r="J43" s="521" t="s">
        <v>280</v>
      </c>
      <c r="K43" s="522" t="s">
        <v>313</v>
      </c>
      <c r="L43" s="522" t="s">
        <v>282</v>
      </c>
      <c r="M43" s="518"/>
      <c r="N43" s="779" t="s">
        <v>373</v>
      </c>
    </row>
    <row r="44" spans="1:14" x14ac:dyDescent="0.2">
      <c r="A44" s="502"/>
      <c r="B44" s="503"/>
      <c r="C44" s="504"/>
      <c r="D44" s="505"/>
      <c r="E44" s="506">
        <v>0</v>
      </c>
      <c r="F44" s="506">
        <v>0</v>
      </c>
      <c r="G44" s="506">
        <v>0</v>
      </c>
      <c r="H44" s="506">
        <v>0</v>
      </c>
      <c r="I44" s="504" t="s">
        <v>374</v>
      </c>
      <c r="J44" s="507" t="s">
        <v>316</v>
      </c>
      <c r="K44" s="508" t="s">
        <v>282</v>
      </c>
      <c r="L44" s="508" t="s">
        <v>282</v>
      </c>
      <c r="M44" s="504"/>
      <c r="N44" s="777"/>
    </row>
    <row r="45" spans="1:14" ht="15.75" thickBot="1" x14ac:dyDescent="0.25">
      <c r="A45" s="502"/>
      <c r="B45" s="503"/>
      <c r="C45" s="504"/>
      <c r="D45" s="505" t="s">
        <v>53</v>
      </c>
      <c r="E45" s="506">
        <v>261</v>
      </c>
      <c r="F45" s="506">
        <v>19</v>
      </c>
      <c r="G45" s="506">
        <v>2.4</v>
      </c>
      <c r="H45" s="506">
        <v>16.600000000000001</v>
      </c>
      <c r="I45" s="504"/>
      <c r="J45" s="507"/>
      <c r="K45" s="508"/>
      <c r="L45" s="508"/>
      <c r="M45" s="504"/>
      <c r="N45" s="777"/>
    </row>
    <row r="46" spans="1:14" ht="63.75" x14ac:dyDescent="0.2">
      <c r="A46" s="516" t="s">
        <v>375</v>
      </c>
      <c r="B46" s="517" t="s">
        <v>145</v>
      </c>
      <c r="C46" s="518" t="s">
        <v>371</v>
      </c>
      <c r="D46" s="519"/>
      <c r="E46" s="520">
        <f>SUM(E47:E47)</f>
        <v>15</v>
      </c>
      <c r="F46" s="520">
        <f>SUM(F47:F47)</f>
        <v>15</v>
      </c>
      <c r="G46" s="520">
        <f>SUM(G47:G47)</f>
        <v>0</v>
      </c>
      <c r="H46" s="520">
        <f>SUM(H47:H47)</f>
        <v>15</v>
      </c>
      <c r="I46" s="518" t="s">
        <v>364</v>
      </c>
      <c r="J46" s="521" t="s">
        <v>280</v>
      </c>
      <c r="K46" s="522" t="s">
        <v>313</v>
      </c>
      <c r="L46" s="522" t="s">
        <v>282</v>
      </c>
      <c r="M46" s="518"/>
      <c r="N46" s="779" t="s">
        <v>376</v>
      </c>
    </row>
    <row r="47" spans="1:14" ht="15.75" thickBot="1" x14ac:dyDescent="0.25">
      <c r="A47" s="502"/>
      <c r="B47" s="503"/>
      <c r="C47" s="504"/>
      <c r="D47" s="505" t="s">
        <v>53</v>
      </c>
      <c r="E47" s="506">
        <v>15</v>
      </c>
      <c r="F47" s="506">
        <v>15</v>
      </c>
      <c r="G47" s="506">
        <v>0</v>
      </c>
      <c r="H47" s="506">
        <v>15</v>
      </c>
      <c r="I47" s="504"/>
      <c r="J47" s="507"/>
      <c r="K47" s="508"/>
      <c r="L47" s="508"/>
      <c r="M47" s="504"/>
      <c r="N47" s="777"/>
    </row>
    <row r="48" spans="1:14" ht="150.75" thickBot="1" x14ac:dyDescent="0.25">
      <c r="A48" s="516" t="s">
        <v>377</v>
      </c>
      <c r="B48" s="517" t="s">
        <v>195</v>
      </c>
      <c r="C48" s="518" t="s">
        <v>367</v>
      </c>
      <c r="D48" s="519" t="s">
        <v>21</v>
      </c>
      <c r="E48" s="523">
        <v>400</v>
      </c>
      <c r="F48" s="523">
        <v>414.9</v>
      </c>
      <c r="G48" s="523">
        <v>176.5</v>
      </c>
      <c r="H48" s="523">
        <v>238.4</v>
      </c>
      <c r="I48" s="518" t="s">
        <v>359</v>
      </c>
      <c r="J48" s="521" t="s">
        <v>316</v>
      </c>
      <c r="K48" s="522" t="s">
        <v>317</v>
      </c>
      <c r="L48" s="522" t="s">
        <v>378</v>
      </c>
      <c r="M48" s="518"/>
      <c r="N48" s="779" t="s">
        <v>379</v>
      </c>
    </row>
    <row r="49" spans="1:14" ht="51.75" thickBot="1" x14ac:dyDescent="0.25">
      <c r="A49" s="516" t="s">
        <v>380</v>
      </c>
      <c r="B49" s="517" t="s">
        <v>381</v>
      </c>
      <c r="C49" s="518" t="s">
        <v>293</v>
      </c>
      <c r="D49" s="519"/>
      <c r="E49" s="520">
        <f>E50+E55+E61+E63+E64</f>
        <v>3220.7</v>
      </c>
      <c r="F49" s="520">
        <f>F50+F55+F61+F63+F64</f>
        <v>3089.9</v>
      </c>
      <c r="G49" s="520">
        <f>G50+G55+G61+G63+G64+0.1</f>
        <v>3066</v>
      </c>
      <c r="H49" s="520">
        <f>H50+H55+H61+H63+H64-0.1</f>
        <v>23.9</v>
      </c>
      <c r="I49" s="518"/>
      <c r="J49" s="521"/>
      <c r="K49" s="522"/>
      <c r="L49" s="522"/>
      <c r="M49" s="518"/>
      <c r="N49" s="779"/>
    </row>
    <row r="50" spans="1:14" ht="114.75" x14ac:dyDescent="0.2">
      <c r="A50" s="516" t="s">
        <v>382</v>
      </c>
      <c r="B50" s="517" t="s">
        <v>62</v>
      </c>
      <c r="C50" s="518" t="s">
        <v>383</v>
      </c>
      <c r="D50" s="519"/>
      <c r="E50" s="520">
        <f>SUM(E51:E54)</f>
        <v>2764.3</v>
      </c>
      <c r="F50" s="520">
        <f>SUM(F51:F54)</f>
        <v>2787.1</v>
      </c>
      <c r="G50" s="520">
        <f>SUM(G51:G54)</f>
        <v>2787.1</v>
      </c>
      <c r="H50" s="520">
        <f>SUM(H51:H54)</f>
        <v>0</v>
      </c>
      <c r="I50" s="518" t="s">
        <v>384</v>
      </c>
      <c r="J50" s="521" t="s">
        <v>280</v>
      </c>
      <c r="K50" s="522" t="s">
        <v>385</v>
      </c>
      <c r="L50" s="522" t="s">
        <v>385</v>
      </c>
      <c r="M50" s="518"/>
      <c r="N50" s="779" t="s">
        <v>386</v>
      </c>
    </row>
    <row r="51" spans="1:14" ht="30" x14ac:dyDescent="0.2">
      <c r="A51" s="502"/>
      <c r="B51" s="503"/>
      <c r="C51" s="504"/>
      <c r="D51" s="505"/>
      <c r="E51" s="506">
        <v>0</v>
      </c>
      <c r="F51" s="506">
        <v>0</v>
      </c>
      <c r="G51" s="506">
        <v>0</v>
      </c>
      <c r="H51" s="506">
        <v>0</v>
      </c>
      <c r="I51" s="504" t="s">
        <v>387</v>
      </c>
      <c r="J51" s="507" t="s">
        <v>298</v>
      </c>
      <c r="K51" s="508" t="s">
        <v>388</v>
      </c>
      <c r="L51" s="508" t="s">
        <v>388</v>
      </c>
      <c r="M51" s="504"/>
      <c r="N51" s="777" t="s">
        <v>389</v>
      </c>
    </row>
    <row r="52" spans="1:14" x14ac:dyDescent="0.2">
      <c r="A52" s="502"/>
      <c r="B52" s="503"/>
      <c r="C52" s="504"/>
      <c r="D52" s="505" t="s">
        <v>53</v>
      </c>
      <c r="E52" s="506">
        <v>132.19999999999999</v>
      </c>
      <c r="F52" s="506">
        <v>132.19999999999999</v>
      </c>
      <c r="G52" s="506">
        <v>132.19999999999999</v>
      </c>
      <c r="H52" s="506">
        <v>0</v>
      </c>
      <c r="I52" s="504"/>
      <c r="J52" s="507"/>
      <c r="K52" s="508"/>
      <c r="L52" s="508"/>
      <c r="M52" s="504"/>
      <c r="N52" s="777"/>
    </row>
    <row r="53" spans="1:14" x14ac:dyDescent="0.2">
      <c r="A53" s="502"/>
      <c r="B53" s="503"/>
      <c r="C53" s="504"/>
      <c r="D53" s="505" t="s">
        <v>390</v>
      </c>
      <c r="E53" s="506">
        <v>0</v>
      </c>
      <c r="F53" s="506">
        <v>44.2</v>
      </c>
      <c r="G53" s="506">
        <v>44.2</v>
      </c>
      <c r="H53" s="506">
        <v>0</v>
      </c>
      <c r="I53" s="504"/>
      <c r="J53" s="507"/>
      <c r="K53" s="508"/>
      <c r="L53" s="508"/>
      <c r="M53" s="504"/>
      <c r="N53" s="777"/>
    </row>
    <row r="54" spans="1:14" ht="15.75" thickBot="1" x14ac:dyDescent="0.25">
      <c r="A54" s="502"/>
      <c r="B54" s="503"/>
      <c r="C54" s="504"/>
      <c r="D54" s="505" t="s">
        <v>21</v>
      </c>
      <c r="E54" s="506">
        <v>2632.1</v>
      </c>
      <c r="F54" s="506">
        <v>2610.6999999999998</v>
      </c>
      <c r="G54" s="506">
        <v>2610.6999999999998</v>
      </c>
      <c r="H54" s="506">
        <v>0</v>
      </c>
      <c r="I54" s="504"/>
      <c r="J54" s="507"/>
      <c r="K54" s="508"/>
      <c r="L54" s="508"/>
      <c r="M54" s="504"/>
      <c r="N54" s="777"/>
    </row>
    <row r="55" spans="1:14" ht="63.75" x14ac:dyDescent="0.2">
      <c r="A55" s="516" t="s">
        <v>391</v>
      </c>
      <c r="B55" s="517" t="s">
        <v>33</v>
      </c>
      <c r="C55" s="518" t="s">
        <v>392</v>
      </c>
      <c r="D55" s="519"/>
      <c r="E55" s="520">
        <f>SUM(E56:E60)</f>
        <v>131.19999999999999</v>
      </c>
      <c r="F55" s="520">
        <f>SUM(F56:F60)</f>
        <v>157.80000000000001</v>
      </c>
      <c r="G55" s="520">
        <f>SUM(G56:G60)</f>
        <v>147.80000000000001</v>
      </c>
      <c r="H55" s="520">
        <f>SUM(H56:H60)</f>
        <v>10</v>
      </c>
      <c r="I55" s="518" t="s">
        <v>393</v>
      </c>
      <c r="J55" s="521" t="s">
        <v>280</v>
      </c>
      <c r="K55" s="522" t="s">
        <v>394</v>
      </c>
      <c r="L55" s="522" t="s">
        <v>394</v>
      </c>
      <c r="M55" s="518"/>
      <c r="N55" s="779" t="s">
        <v>386</v>
      </c>
    </row>
    <row r="56" spans="1:14" ht="210" x14ac:dyDescent="0.2">
      <c r="A56" s="502"/>
      <c r="B56" s="503"/>
      <c r="C56" s="504"/>
      <c r="D56" s="505"/>
      <c r="E56" s="506">
        <v>0</v>
      </c>
      <c r="F56" s="506">
        <v>0</v>
      </c>
      <c r="G56" s="506">
        <v>0</v>
      </c>
      <c r="H56" s="506">
        <v>0</v>
      </c>
      <c r="I56" s="504" t="s">
        <v>395</v>
      </c>
      <c r="J56" s="507" t="s">
        <v>280</v>
      </c>
      <c r="K56" s="508" t="s">
        <v>396</v>
      </c>
      <c r="L56" s="508" t="s">
        <v>397</v>
      </c>
      <c r="M56" s="504"/>
      <c r="N56" s="777" t="s">
        <v>398</v>
      </c>
    </row>
    <row r="57" spans="1:14" ht="60" x14ac:dyDescent="0.2">
      <c r="A57" s="502"/>
      <c r="B57" s="503"/>
      <c r="C57" s="504"/>
      <c r="D57" s="505"/>
      <c r="E57" s="506">
        <v>0</v>
      </c>
      <c r="F57" s="506">
        <v>0</v>
      </c>
      <c r="G57" s="506">
        <v>0</v>
      </c>
      <c r="H57" s="506">
        <v>0</v>
      </c>
      <c r="I57" s="504" t="s">
        <v>399</v>
      </c>
      <c r="J57" s="507" t="s">
        <v>280</v>
      </c>
      <c r="K57" s="508" t="s">
        <v>313</v>
      </c>
      <c r="L57" s="508" t="s">
        <v>282</v>
      </c>
      <c r="M57" s="504"/>
      <c r="N57" s="777" t="s">
        <v>400</v>
      </c>
    </row>
    <row r="58" spans="1:14" ht="25.5" x14ac:dyDescent="0.2">
      <c r="A58" s="502"/>
      <c r="B58" s="503"/>
      <c r="C58" s="504"/>
      <c r="D58" s="505" t="s">
        <v>70</v>
      </c>
      <c r="E58" s="506">
        <v>1.8</v>
      </c>
      <c r="F58" s="506">
        <v>1.8</v>
      </c>
      <c r="G58" s="506">
        <v>1.8</v>
      </c>
      <c r="H58" s="506">
        <v>0</v>
      </c>
      <c r="I58" s="504"/>
      <c r="J58" s="507"/>
      <c r="K58" s="508"/>
      <c r="L58" s="508"/>
      <c r="M58" s="504"/>
      <c r="N58" s="777"/>
    </row>
    <row r="59" spans="1:14" x14ac:dyDescent="0.2">
      <c r="A59" s="502"/>
      <c r="B59" s="503"/>
      <c r="C59" s="504"/>
      <c r="D59" s="505" t="s">
        <v>36</v>
      </c>
      <c r="E59" s="506">
        <v>2</v>
      </c>
      <c r="F59" s="506">
        <v>2</v>
      </c>
      <c r="G59" s="506">
        <v>2</v>
      </c>
      <c r="H59" s="506">
        <v>0</v>
      </c>
      <c r="I59" s="504"/>
      <c r="J59" s="507"/>
      <c r="K59" s="508"/>
      <c r="L59" s="508"/>
      <c r="M59" s="504"/>
      <c r="N59" s="777"/>
    </row>
    <row r="60" spans="1:14" ht="15.75" thickBot="1" x14ac:dyDescent="0.25">
      <c r="A60" s="502"/>
      <c r="B60" s="503"/>
      <c r="C60" s="504"/>
      <c r="D60" s="505" t="s">
        <v>21</v>
      </c>
      <c r="E60" s="506">
        <v>127.4</v>
      </c>
      <c r="F60" s="506">
        <v>154</v>
      </c>
      <c r="G60" s="506">
        <v>144</v>
      </c>
      <c r="H60" s="506">
        <v>10</v>
      </c>
      <c r="I60" s="504"/>
      <c r="J60" s="507"/>
      <c r="K60" s="508"/>
      <c r="L60" s="508"/>
      <c r="M60" s="504"/>
      <c r="N60" s="777"/>
    </row>
    <row r="61" spans="1:14" ht="63.75" x14ac:dyDescent="0.2">
      <c r="A61" s="516" t="s">
        <v>401</v>
      </c>
      <c r="B61" s="517" t="s">
        <v>92</v>
      </c>
      <c r="C61" s="518" t="s">
        <v>402</v>
      </c>
      <c r="D61" s="519" t="s">
        <v>21</v>
      </c>
      <c r="E61" s="520">
        <f>SUM(E62:E62)+30.2</f>
        <v>30.2</v>
      </c>
      <c r="F61" s="520">
        <f>SUM(F62:F62)+66.2</f>
        <v>66.2</v>
      </c>
      <c r="G61" s="520">
        <f>SUM(G62:G62)+66.1</f>
        <v>66.099999999999994</v>
      </c>
      <c r="H61" s="520">
        <f>SUM(H62:H62)+0.1</f>
        <v>0.1</v>
      </c>
      <c r="I61" s="518" t="s">
        <v>403</v>
      </c>
      <c r="J61" s="521" t="s">
        <v>280</v>
      </c>
      <c r="K61" s="522" t="s">
        <v>404</v>
      </c>
      <c r="L61" s="522" t="s">
        <v>405</v>
      </c>
      <c r="M61" s="518"/>
      <c r="N61" s="779" t="s">
        <v>406</v>
      </c>
    </row>
    <row r="62" spans="1:14" ht="60.75" thickBot="1" x14ac:dyDescent="0.25">
      <c r="A62" s="502"/>
      <c r="B62" s="503"/>
      <c r="C62" s="504"/>
      <c r="D62" s="505"/>
      <c r="E62" s="506">
        <v>0</v>
      </c>
      <c r="F62" s="506">
        <v>0</v>
      </c>
      <c r="G62" s="506">
        <v>0</v>
      </c>
      <c r="H62" s="506">
        <v>0</v>
      </c>
      <c r="I62" s="504" t="s">
        <v>407</v>
      </c>
      <c r="J62" s="507" t="s">
        <v>280</v>
      </c>
      <c r="K62" s="508" t="s">
        <v>408</v>
      </c>
      <c r="L62" s="508" t="s">
        <v>409</v>
      </c>
      <c r="M62" s="504"/>
      <c r="N62" s="777" t="s">
        <v>410</v>
      </c>
    </row>
    <row r="63" spans="1:14" ht="210.75" thickBot="1" x14ac:dyDescent="0.25">
      <c r="A63" s="516" t="s">
        <v>411</v>
      </c>
      <c r="B63" s="517" t="s">
        <v>412</v>
      </c>
      <c r="C63" s="518" t="s">
        <v>402</v>
      </c>
      <c r="D63" s="519" t="s">
        <v>21</v>
      </c>
      <c r="E63" s="523">
        <v>95</v>
      </c>
      <c r="F63" s="523">
        <v>63.8</v>
      </c>
      <c r="G63" s="523">
        <v>63.8</v>
      </c>
      <c r="H63" s="523">
        <v>0</v>
      </c>
      <c r="I63" s="518" t="s">
        <v>413</v>
      </c>
      <c r="J63" s="521" t="s">
        <v>280</v>
      </c>
      <c r="K63" s="522" t="s">
        <v>344</v>
      </c>
      <c r="L63" s="522" t="s">
        <v>414</v>
      </c>
      <c r="M63" s="518"/>
      <c r="N63" s="779" t="s">
        <v>415</v>
      </c>
    </row>
    <row r="64" spans="1:14" ht="90.75" thickBot="1" x14ac:dyDescent="0.25">
      <c r="A64" s="516" t="s">
        <v>416</v>
      </c>
      <c r="B64" s="517" t="s">
        <v>198</v>
      </c>
      <c r="C64" s="518" t="s">
        <v>367</v>
      </c>
      <c r="D64" s="519" t="s">
        <v>21</v>
      </c>
      <c r="E64" s="523">
        <v>200</v>
      </c>
      <c r="F64" s="523">
        <v>15</v>
      </c>
      <c r="G64" s="523">
        <v>1.1000000000000001</v>
      </c>
      <c r="H64" s="523">
        <v>13.9</v>
      </c>
      <c r="I64" s="518" t="s">
        <v>417</v>
      </c>
      <c r="J64" s="521" t="s">
        <v>316</v>
      </c>
      <c r="K64" s="522" t="s">
        <v>351</v>
      </c>
      <c r="L64" s="522" t="s">
        <v>282</v>
      </c>
      <c r="M64" s="518"/>
      <c r="N64" s="779" t="s">
        <v>418</v>
      </c>
    </row>
    <row r="65" spans="1:14" ht="51.75" thickBot="1" x14ac:dyDescent="0.25">
      <c r="A65" s="516" t="s">
        <v>419</v>
      </c>
      <c r="B65" s="517" t="s">
        <v>420</v>
      </c>
      <c r="C65" s="518" t="s">
        <v>293</v>
      </c>
      <c r="D65" s="519"/>
      <c r="E65" s="520">
        <f>E66+E74+E75+E84+E89</f>
        <v>1035.9000000000001</v>
      </c>
      <c r="F65" s="520">
        <f>F66+F74+F75+F84+F89</f>
        <v>969.6</v>
      </c>
      <c r="G65" s="520">
        <f>G66+G74+G75+G84+G89-0.1</f>
        <v>859.7</v>
      </c>
      <c r="H65" s="520">
        <f>H66+H74+H75+H84+H89+0.1</f>
        <v>109.9</v>
      </c>
      <c r="I65" s="518"/>
      <c r="J65" s="521"/>
      <c r="K65" s="522"/>
      <c r="L65" s="522"/>
      <c r="M65" s="518"/>
      <c r="N65" s="779"/>
    </row>
    <row r="66" spans="1:14" ht="153" x14ac:dyDescent="0.2">
      <c r="A66" s="516" t="s">
        <v>421</v>
      </c>
      <c r="B66" s="517" t="s">
        <v>422</v>
      </c>
      <c r="C66" s="518" t="s">
        <v>423</v>
      </c>
      <c r="D66" s="519"/>
      <c r="E66" s="520">
        <f>SUM(E67:E73)</f>
        <v>172</v>
      </c>
      <c r="F66" s="520">
        <f>SUM(F67:F73)</f>
        <v>105.7</v>
      </c>
      <c r="G66" s="520">
        <f>SUM(G67:G73)+0.1</f>
        <v>75.900000000000006</v>
      </c>
      <c r="H66" s="520">
        <f>SUM(H67:H73)-0.1</f>
        <v>29.8</v>
      </c>
      <c r="I66" s="518" t="s">
        <v>424</v>
      </c>
      <c r="J66" s="521" t="s">
        <v>280</v>
      </c>
      <c r="K66" s="522" t="s">
        <v>378</v>
      </c>
      <c r="L66" s="522" t="s">
        <v>378</v>
      </c>
      <c r="M66" s="518"/>
      <c r="N66" s="779" t="s">
        <v>425</v>
      </c>
    </row>
    <row r="67" spans="1:14" ht="195" x14ac:dyDescent="0.2">
      <c r="A67" s="502"/>
      <c r="B67" s="503"/>
      <c r="C67" s="504"/>
      <c r="D67" s="505"/>
      <c r="E67" s="506">
        <v>0</v>
      </c>
      <c r="F67" s="506">
        <v>0</v>
      </c>
      <c r="G67" s="506">
        <v>0</v>
      </c>
      <c r="H67" s="506">
        <v>0</v>
      </c>
      <c r="I67" s="504" t="s">
        <v>426</v>
      </c>
      <c r="J67" s="507" t="s">
        <v>280</v>
      </c>
      <c r="K67" s="508" t="s">
        <v>282</v>
      </c>
      <c r="L67" s="508" t="s">
        <v>282</v>
      </c>
      <c r="M67" s="504"/>
      <c r="N67" s="777" t="s">
        <v>427</v>
      </c>
    </row>
    <row r="68" spans="1:14" ht="63.75" x14ac:dyDescent="0.2">
      <c r="A68" s="502"/>
      <c r="B68" s="503"/>
      <c r="C68" s="504"/>
      <c r="D68" s="505"/>
      <c r="E68" s="506">
        <v>0</v>
      </c>
      <c r="F68" s="506">
        <v>0</v>
      </c>
      <c r="G68" s="506">
        <v>0</v>
      </c>
      <c r="H68" s="506">
        <v>0</v>
      </c>
      <c r="I68" s="504" t="s">
        <v>428</v>
      </c>
      <c r="J68" s="507" t="s">
        <v>280</v>
      </c>
      <c r="K68" s="508" t="s">
        <v>313</v>
      </c>
      <c r="L68" s="508" t="s">
        <v>282</v>
      </c>
      <c r="M68" s="504"/>
      <c r="N68" s="777" t="s">
        <v>429</v>
      </c>
    </row>
    <row r="69" spans="1:14" ht="51" x14ac:dyDescent="0.2">
      <c r="A69" s="502"/>
      <c r="B69" s="503"/>
      <c r="C69" s="504"/>
      <c r="D69" s="505"/>
      <c r="E69" s="506">
        <v>0</v>
      </c>
      <c r="F69" s="506">
        <v>0</v>
      </c>
      <c r="G69" s="506">
        <v>0</v>
      </c>
      <c r="H69" s="506">
        <v>0</v>
      </c>
      <c r="I69" s="504" t="s">
        <v>430</v>
      </c>
      <c r="J69" s="507" t="s">
        <v>280</v>
      </c>
      <c r="K69" s="508" t="s">
        <v>283</v>
      </c>
      <c r="L69" s="508" t="s">
        <v>283</v>
      </c>
      <c r="M69" s="504"/>
      <c r="N69" s="777" t="s">
        <v>431</v>
      </c>
    </row>
    <row r="70" spans="1:14" ht="75" x14ac:dyDescent="0.2">
      <c r="A70" s="502"/>
      <c r="B70" s="503"/>
      <c r="C70" s="504"/>
      <c r="D70" s="505"/>
      <c r="E70" s="506">
        <v>0</v>
      </c>
      <c r="F70" s="506">
        <v>0</v>
      </c>
      <c r="G70" s="506">
        <v>0</v>
      </c>
      <c r="H70" s="506">
        <v>0</v>
      </c>
      <c r="I70" s="504" t="s">
        <v>432</v>
      </c>
      <c r="J70" s="507" t="s">
        <v>280</v>
      </c>
      <c r="K70" s="508" t="s">
        <v>433</v>
      </c>
      <c r="L70" s="508" t="s">
        <v>433</v>
      </c>
      <c r="M70" s="504"/>
      <c r="N70" s="777" t="s">
        <v>434</v>
      </c>
    </row>
    <row r="71" spans="1:14" ht="25.5" x14ac:dyDescent="0.2">
      <c r="A71" s="502"/>
      <c r="B71" s="503"/>
      <c r="C71" s="504"/>
      <c r="D71" s="505"/>
      <c r="E71" s="506">
        <v>0</v>
      </c>
      <c r="F71" s="506">
        <v>0</v>
      </c>
      <c r="G71" s="506">
        <v>0</v>
      </c>
      <c r="H71" s="506">
        <v>0</v>
      </c>
      <c r="I71" s="504" t="s">
        <v>435</v>
      </c>
      <c r="J71" s="507" t="s">
        <v>280</v>
      </c>
      <c r="K71" s="508" t="s">
        <v>310</v>
      </c>
      <c r="L71" s="508" t="s">
        <v>310</v>
      </c>
      <c r="M71" s="504"/>
      <c r="N71" s="777" t="s">
        <v>436</v>
      </c>
    </row>
    <row r="72" spans="1:14" x14ac:dyDescent="0.2">
      <c r="A72" s="502"/>
      <c r="B72" s="503"/>
      <c r="C72" s="504"/>
      <c r="D72" s="505" t="s">
        <v>53</v>
      </c>
      <c r="E72" s="506">
        <v>36</v>
      </c>
      <c r="F72" s="506">
        <v>36</v>
      </c>
      <c r="G72" s="506">
        <v>33.200000000000003</v>
      </c>
      <c r="H72" s="506">
        <v>2.8</v>
      </c>
      <c r="I72" s="504"/>
      <c r="J72" s="507"/>
      <c r="K72" s="508"/>
      <c r="L72" s="508"/>
      <c r="M72" s="504"/>
      <c r="N72" s="777"/>
    </row>
    <row r="73" spans="1:14" ht="15.75" thickBot="1" x14ac:dyDescent="0.25">
      <c r="A73" s="502"/>
      <c r="B73" s="503"/>
      <c r="C73" s="504"/>
      <c r="D73" s="505" t="s">
        <v>21</v>
      </c>
      <c r="E73" s="506">
        <v>136</v>
      </c>
      <c r="F73" s="506">
        <v>69.7</v>
      </c>
      <c r="G73" s="506">
        <v>42.6</v>
      </c>
      <c r="H73" s="506">
        <v>27.1</v>
      </c>
      <c r="I73" s="504"/>
      <c r="J73" s="507"/>
      <c r="K73" s="508"/>
      <c r="L73" s="508"/>
      <c r="M73" s="504"/>
      <c r="N73" s="777"/>
    </row>
    <row r="74" spans="1:14" ht="64.5" thickBot="1" x14ac:dyDescent="0.25">
      <c r="A74" s="516" t="s">
        <v>437</v>
      </c>
      <c r="B74" s="517" t="s">
        <v>91</v>
      </c>
      <c r="C74" s="518" t="s">
        <v>438</v>
      </c>
      <c r="D74" s="519" t="s">
        <v>21</v>
      </c>
      <c r="E74" s="523">
        <v>10</v>
      </c>
      <c r="F74" s="523">
        <v>10</v>
      </c>
      <c r="G74" s="523">
        <v>10</v>
      </c>
      <c r="H74" s="523">
        <v>0</v>
      </c>
      <c r="I74" s="518" t="s">
        <v>439</v>
      </c>
      <c r="J74" s="521" t="s">
        <v>280</v>
      </c>
      <c r="K74" s="522" t="s">
        <v>313</v>
      </c>
      <c r="L74" s="522" t="s">
        <v>313</v>
      </c>
      <c r="M74" s="518"/>
      <c r="N74" s="779" t="s">
        <v>440</v>
      </c>
    </row>
    <row r="75" spans="1:14" ht="114.75" x14ac:dyDescent="0.2">
      <c r="A75" s="516" t="s">
        <v>441</v>
      </c>
      <c r="B75" s="517" t="s">
        <v>69</v>
      </c>
      <c r="C75" s="518" t="s">
        <v>442</v>
      </c>
      <c r="D75" s="519"/>
      <c r="E75" s="520">
        <f>SUM(E76:E83)</f>
        <v>803.6</v>
      </c>
      <c r="F75" s="520">
        <f>SUM(F76:F83)</f>
        <v>803.6</v>
      </c>
      <c r="G75" s="520">
        <f>SUM(G76:G83)</f>
        <v>726.6</v>
      </c>
      <c r="H75" s="520">
        <f>SUM(H76:H83)</f>
        <v>77</v>
      </c>
      <c r="I75" s="518" t="s">
        <v>443</v>
      </c>
      <c r="J75" s="521" t="s">
        <v>280</v>
      </c>
      <c r="K75" s="522" t="s">
        <v>444</v>
      </c>
      <c r="L75" s="522" t="s">
        <v>444</v>
      </c>
      <c r="M75" s="518" t="s">
        <v>445</v>
      </c>
      <c r="N75" s="779" t="s">
        <v>446</v>
      </c>
    </row>
    <row r="76" spans="1:14" ht="38.25" x14ac:dyDescent="0.2">
      <c r="A76" s="502"/>
      <c r="B76" s="503"/>
      <c r="C76" s="504"/>
      <c r="D76" s="505"/>
      <c r="E76" s="506">
        <v>0</v>
      </c>
      <c r="F76" s="506">
        <v>0</v>
      </c>
      <c r="G76" s="506">
        <v>0</v>
      </c>
      <c r="H76" s="506">
        <v>0</v>
      </c>
      <c r="I76" s="504" t="s">
        <v>116</v>
      </c>
      <c r="J76" s="507" t="s">
        <v>302</v>
      </c>
      <c r="K76" s="508" t="s">
        <v>313</v>
      </c>
      <c r="L76" s="508" t="s">
        <v>313</v>
      </c>
      <c r="M76" s="504"/>
      <c r="N76" s="777"/>
    </row>
    <row r="77" spans="1:14" x14ac:dyDescent="0.2">
      <c r="A77" s="502"/>
      <c r="B77" s="503"/>
      <c r="C77" s="504"/>
      <c r="D77" s="505"/>
      <c r="E77" s="506">
        <v>0</v>
      </c>
      <c r="F77" s="506">
        <v>0</v>
      </c>
      <c r="G77" s="506">
        <v>0</v>
      </c>
      <c r="H77" s="506">
        <v>0</v>
      </c>
      <c r="I77" s="504" t="s">
        <v>95</v>
      </c>
      <c r="J77" s="507" t="s">
        <v>302</v>
      </c>
      <c r="K77" s="508" t="s">
        <v>447</v>
      </c>
      <c r="L77" s="508" t="s">
        <v>447</v>
      </c>
      <c r="M77" s="504"/>
      <c r="N77" s="777"/>
    </row>
    <row r="78" spans="1:14" x14ac:dyDescent="0.2">
      <c r="A78" s="502"/>
      <c r="B78" s="503"/>
      <c r="C78" s="504"/>
      <c r="D78" s="505"/>
      <c r="E78" s="506">
        <v>0</v>
      </c>
      <c r="F78" s="506">
        <v>0</v>
      </c>
      <c r="G78" s="506">
        <v>0</v>
      </c>
      <c r="H78" s="506">
        <v>0</v>
      </c>
      <c r="I78" s="504" t="s">
        <v>94</v>
      </c>
      <c r="J78" s="507" t="s">
        <v>302</v>
      </c>
      <c r="K78" s="508" t="s">
        <v>448</v>
      </c>
      <c r="L78" s="508" t="s">
        <v>448</v>
      </c>
      <c r="M78" s="504"/>
      <c r="N78" s="777"/>
    </row>
    <row r="79" spans="1:14" x14ac:dyDescent="0.2">
      <c r="A79" s="502"/>
      <c r="B79" s="503"/>
      <c r="C79" s="504"/>
      <c r="D79" s="505"/>
      <c r="E79" s="506">
        <v>0</v>
      </c>
      <c r="F79" s="506">
        <v>0</v>
      </c>
      <c r="G79" s="506">
        <v>0</v>
      </c>
      <c r="H79" s="506">
        <v>0</v>
      </c>
      <c r="I79" s="504" t="s">
        <v>449</v>
      </c>
      <c r="J79" s="507" t="s">
        <v>280</v>
      </c>
      <c r="K79" s="508" t="s">
        <v>313</v>
      </c>
      <c r="L79" s="508" t="s">
        <v>313</v>
      </c>
      <c r="M79" s="504"/>
      <c r="N79" s="777" t="s">
        <v>450</v>
      </c>
    </row>
    <row r="80" spans="1:14" x14ac:dyDescent="0.2">
      <c r="A80" s="502"/>
      <c r="B80" s="503"/>
      <c r="C80" s="504"/>
      <c r="D80" s="505"/>
      <c r="E80" s="506">
        <v>0</v>
      </c>
      <c r="F80" s="506">
        <v>0</v>
      </c>
      <c r="G80" s="506">
        <v>0</v>
      </c>
      <c r="H80" s="506">
        <v>0</v>
      </c>
      <c r="I80" s="504" t="s">
        <v>451</v>
      </c>
      <c r="J80" s="507" t="s">
        <v>280</v>
      </c>
      <c r="K80" s="508" t="s">
        <v>329</v>
      </c>
      <c r="L80" s="508" t="s">
        <v>329</v>
      </c>
      <c r="M80" s="504"/>
      <c r="N80" s="777" t="s">
        <v>452</v>
      </c>
    </row>
    <row r="81" spans="1:14" x14ac:dyDescent="0.2">
      <c r="A81" s="502"/>
      <c r="B81" s="503"/>
      <c r="C81" s="504"/>
      <c r="D81" s="505" t="s">
        <v>36</v>
      </c>
      <c r="E81" s="506">
        <v>7.7</v>
      </c>
      <c r="F81" s="506">
        <v>7.7</v>
      </c>
      <c r="G81" s="506">
        <v>7.7</v>
      </c>
      <c r="H81" s="506">
        <v>0</v>
      </c>
      <c r="I81" s="504"/>
      <c r="J81" s="507"/>
      <c r="K81" s="508"/>
      <c r="L81" s="508"/>
      <c r="M81" s="504"/>
      <c r="N81" s="777"/>
    </row>
    <row r="82" spans="1:14" ht="25.5" x14ac:dyDescent="0.2">
      <c r="A82" s="502"/>
      <c r="B82" s="503"/>
      <c r="C82" s="504"/>
      <c r="D82" s="505" t="s">
        <v>70</v>
      </c>
      <c r="E82" s="506">
        <v>0.4</v>
      </c>
      <c r="F82" s="506">
        <v>0.4</v>
      </c>
      <c r="G82" s="506">
        <v>0.4</v>
      </c>
      <c r="H82" s="506">
        <v>0</v>
      </c>
      <c r="I82" s="504"/>
      <c r="J82" s="507"/>
      <c r="K82" s="508"/>
      <c r="L82" s="508"/>
      <c r="M82" s="504"/>
      <c r="N82" s="777"/>
    </row>
    <row r="83" spans="1:14" ht="15.75" thickBot="1" x14ac:dyDescent="0.25">
      <c r="A83" s="502"/>
      <c r="B83" s="503"/>
      <c r="C83" s="504"/>
      <c r="D83" s="505" t="s">
        <v>21</v>
      </c>
      <c r="E83" s="506">
        <v>795.5</v>
      </c>
      <c r="F83" s="506">
        <v>795.5</v>
      </c>
      <c r="G83" s="506">
        <v>718.5</v>
      </c>
      <c r="H83" s="506">
        <v>77</v>
      </c>
      <c r="I83" s="504"/>
      <c r="J83" s="507"/>
      <c r="K83" s="508"/>
      <c r="L83" s="508"/>
      <c r="M83" s="504"/>
      <c r="N83" s="777"/>
    </row>
    <row r="84" spans="1:14" ht="63.75" x14ac:dyDescent="0.2">
      <c r="A84" s="516" t="s">
        <v>453</v>
      </c>
      <c r="B84" s="517" t="s">
        <v>454</v>
      </c>
      <c r="C84" s="518" t="s">
        <v>442</v>
      </c>
      <c r="D84" s="519"/>
      <c r="E84" s="520">
        <f>SUM(E85:E88)</f>
        <v>28.4</v>
      </c>
      <c r="F84" s="520">
        <f>SUM(F85:F88)</f>
        <v>28.4</v>
      </c>
      <c r="G84" s="520">
        <f>SUM(G85:G88)+0.1</f>
        <v>27.1</v>
      </c>
      <c r="H84" s="520">
        <f>SUM(H85:H88)-0.1</f>
        <v>1.3</v>
      </c>
      <c r="I84" s="518" t="s">
        <v>95</v>
      </c>
      <c r="J84" s="521" t="s">
        <v>302</v>
      </c>
      <c r="K84" s="522" t="s">
        <v>329</v>
      </c>
      <c r="L84" s="522" t="s">
        <v>329</v>
      </c>
      <c r="M84" s="518"/>
      <c r="N84" s="779" t="s">
        <v>455</v>
      </c>
    </row>
    <row r="85" spans="1:14" ht="30" x14ac:dyDescent="0.2">
      <c r="A85" s="502"/>
      <c r="B85" s="503"/>
      <c r="C85" s="504"/>
      <c r="D85" s="505"/>
      <c r="E85" s="506">
        <v>0</v>
      </c>
      <c r="F85" s="506">
        <v>0</v>
      </c>
      <c r="G85" s="506">
        <v>0</v>
      </c>
      <c r="H85" s="506">
        <v>0</v>
      </c>
      <c r="I85" s="504" t="s">
        <v>456</v>
      </c>
      <c r="J85" s="507" t="s">
        <v>280</v>
      </c>
      <c r="K85" s="508" t="s">
        <v>283</v>
      </c>
      <c r="L85" s="508" t="s">
        <v>283</v>
      </c>
      <c r="M85" s="504"/>
      <c r="N85" s="777" t="s">
        <v>457</v>
      </c>
    </row>
    <row r="86" spans="1:14" x14ac:dyDescent="0.2">
      <c r="A86" s="502"/>
      <c r="B86" s="503"/>
      <c r="C86" s="504"/>
      <c r="D86" s="505" t="s">
        <v>21</v>
      </c>
      <c r="E86" s="506">
        <v>23.1</v>
      </c>
      <c r="F86" s="506">
        <v>23.1</v>
      </c>
      <c r="G86" s="506">
        <v>22.8</v>
      </c>
      <c r="H86" s="506">
        <v>0.3</v>
      </c>
      <c r="I86" s="504"/>
      <c r="J86" s="507"/>
      <c r="K86" s="508"/>
      <c r="L86" s="508"/>
      <c r="M86" s="504"/>
      <c r="N86" s="777"/>
    </row>
    <row r="87" spans="1:14" ht="25.5" x14ac:dyDescent="0.2">
      <c r="A87" s="502"/>
      <c r="B87" s="503"/>
      <c r="C87" s="504"/>
      <c r="D87" s="505" t="s">
        <v>70</v>
      </c>
      <c r="E87" s="506">
        <v>0.3</v>
      </c>
      <c r="F87" s="506">
        <v>0.3</v>
      </c>
      <c r="G87" s="506">
        <v>0.3</v>
      </c>
      <c r="H87" s="506">
        <v>0</v>
      </c>
      <c r="I87" s="504"/>
      <c r="J87" s="507"/>
      <c r="K87" s="508"/>
      <c r="L87" s="508"/>
      <c r="M87" s="504"/>
      <c r="N87" s="777"/>
    </row>
    <row r="88" spans="1:14" ht="15.75" thickBot="1" x14ac:dyDescent="0.25">
      <c r="A88" s="502"/>
      <c r="B88" s="503"/>
      <c r="C88" s="504"/>
      <c r="D88" s="505" t="s">
        <v>36</v>
      </c>
      <c r="E88" s="506">
        <v>5</v>
      </c>
      <c r="F88" s="506">
        <v>5</v>
      </c>
      <c r="G88" s="506">
        <v>3.9</v>
      </c>
      <c r="H88" s="506">
        <v>1.1000000000000001</v>
      </c>
      <c r="I88" s="504"/>
      <c r="J88" s="507"/>
      <c r="K88" s="508"/>
      <c r="L88" s="508"/>
      <c r="M88" s="504"/>
      <c r="N88" s="777"/>
    </row>
    <row r="89" spans="1:14" ht="63.75" x14ac:dyDescent="0.2">
      <c r="A89" s="516" t="s">
        <v>458</v>
      </c>
      <c r="B89" s="517" t="s">
        <v>57</v>
      </c>
      <c r="C89" s="518" t="s">
        <v>442</v>
      </c>
      <c r="D89" s="519"/>
      <c r="E89" s="520">
        <f>SUM(E90:E91)</f>
        <v>21.9</v>
      </c>
      <c r="F89" s="520">
        <f>SUM(F90:F91)</f>
        <v>21.9</v>
      </c>
      <c r="G89" s="520">
        <f>SUM(G90:G91)</f>
        <v>20.2</v>
      </c>
      <c r="H89" s="520">
        <f>SUM(H90:H91)</f>
        <v>1.7</v>
      </c>
      <c r="I89" s="518" t="s">
        <v>94</v>
      </c>
      <c r="J89" s="521" t="s">
        <v>302</v>
      </c>
      <c r="K89" s="522" t="s">
        <v>283</v>
      </c>
      <c r="L89" s="522" t="s">
        <v>283</v>
      </c>
      <c r="M89" s="518"/>
      <c r="N89" s="779"/>
    </row>
    <row r="90" spans="1:14" ht="25.5" x14ac:dyDescent="0.2">
      <c r="A90" s="502"/>
      <c r="B90" s="503"/>
      <c r="C90" s="504"/>
      <c r="D90" s="505" t="s">
        <v>70</v>
      </c>
      <c r="E90" s="506">
        <v>1.9</v>
      </c>
      <c r="F90" s="506">
        <v>1.9</v>
      </c>
      <c r="G90" s="506">
        <v>1.9</v>
      </c>
      <c r="H90" s="506">
        <v>0</v>
      </c>
      <c r="I90" s="504"/>
      <c r="J90" s="507"/>
      <c r="K90" s="508"/>
      <c r="L90" s="508"/>
      <c r="M90" s="504"/>
      <c r="N90" s="777"/>
    </row>
    <row r="91" spans="1:14" ht="15.75" thickBot="1" x14ac:dyDescent="0.25">
      <c r="A91" s="502"/>
      <c r="B91" s="503"/>
      <c r="C91" s="504"/>
      <c r="D91" s="505" t="s">
        <v>36</v>
      </c>
      <c r="E91" s="506">
        <v>20</v>
      </c>
      <c r="F91" s="506">
        <v>20</v>
      </c>
      <c r="G91" s="506">
        <v>18.3</v>
      </c>
      <c r="H91" s="506">
        <v>1.7</v>
      </c>
      <c r="I91" s="504"/>
      <c r="J91" s="507"/>
      <c r="K91" s="508"/>
      <c r="L91" s="508"/>
      <c r="M91" s="504"/>
      <c r="N91" s="777"/>
    </row>
    <row r="92" spans="1:14" ht="51.75" thickBot="1" x14ac:dyDescent="0.25">
      <c r="A92" s="835" t="s">
        <v>459</v>
      </c>
      <c r="B92" s="836" t="s">
        <v>460</v>
      </c>
      <c r="C92" s="837" t="s">
        <v>293</v>
      </c>
      <c r="D92" s="838"/>
      <c r="E92" s="839">
        <f>E93+E97+E103</f>
        <v>2370.6999999999998</v>
      </c>
      <c r="F92" s="839">
        <f>F93+F97+F103</f>
        <v>2334.3000000000002</v>
      </c>
      <c r="G92" s="839">
        <f>G93+G97+G103</f>
        <v>2331.3000000000002</v>
      </c>
      <c r="H92" s="839">
        <f>H93+H97+H103</f>
        <v>3</v>
      </c>
      <c r="I92" s="837"/>
      <c r="J92" s="521"/>
      <c r="K92" s="522"/>
      <c r="L92" s="522"/>
      <c r="M92" s="518"/>
      <c r="N92" s="779"/>
    </row>
    <row r="93" spans="1:14" ht="63.75" x14ac:dyDescent="0.2">
      <c r="A93" s="516" t="s">
        <v>461</v>
      </c>
      <c r="B93" s="517" t="s">
        <v>82</v>
      </c>
      <c r="C93" s="518" t="s">
        <v>367</v>
      </c>
      <c r="D93" s="519"/>
      <c r="E93" s="520">
        <f>SUM(E94:E96)</f>
        <v>2021.7</v>
      </c>
      <c r="F93" s="520">
        <f>SUM(F94:F96)</f>
        <v>2016</v>
      </c>
      <c r="G93" s="520">
        <f>SUM(G94:G96)</f>
        <v>2016</v>
      </c>
      <c r="H93" s="520">
        <f>SUM(H94:H96)</f>
        <v>0</v>
      </c>
      <c r="I93" s="518" t="s">
        <v>462</v>
      </c>
      <c r="J93" s="521" t="s">
        <v>280</v>
      </c>
      <c r="K93" s="522" t="s">
        <v>463</v>
      </c>
      <c r="L93" s="522" t="s">
        <v>464</v>
      </c>
      <c r="M93" s="518"/>
      <c r="N93" s="779" t="s">
        <v>465</v>
      </c>
    </row>
    <row r="94" spans="1:14" x14ac:dyDescent="0.2">
      <c r="A94" s="502"/>
      <c r="B94" s="503"/>
      <c r="C94" s="504"/>
      <c r="D94" s="505"/>
      <c r="E94" s="506">
        <v>0</v>
      </c>
      <c r="F94" s="506">
        <v>0</v>
      </c>
      <c r="G94" s="506">
        <v>0</v>
      </c>
      <c r="H94" s="506">
        <v>0</v>
      </c>
      <c r="I94" s="504" t="s">
        <v>466</v>
      </c>
      <c r="J94" s="507" t="s">
        <v>467</v>
      </c>
      <c r="K94" s="508" t="s">
        <v>468</v>
      </c>
      <c r="L94" s="508" t="s">
        <v>469</v>
      </c>
      <c r="M94" s="504"/>
      <c r="N94" s="777" t="s">
        <v>470</v>
      </c>
    </row>
    <row r="95" spans="1:14" x14ac:dyDescent="0.2">
      <c r="A95" s="502"/>
      <c r="B95" s="503"/>
      <c r="C95" s="504"/>
      <c r="D95" s="505" t="s">
        <v>53</v>
      </c>
      <c r="E95" s="506">
        <v>110.5</v>
      </c>
      <c r="F95" s="506">
        <v>110.5</v>
      </c>
      <c r="G95" s="506">
        <v>110.5</v>
      </c>
      <c r="H95" s="506">
        <v>0</v>
      </c>
      <c r="I95" s="504"/>
      <c r="J95" s="507"/>
      <c r="K95" s="508"/>
      <c r="L95" s="508"/>
      <c r="M95" s="504"/>
      <c r="N95" s="777"/>
    </row>
    <row r="96" spans="1:14" ht="15.75" thickBot="1" x14ac:dyDescent="0.25">
      <c r="A96" s="502"/>
      <c r="B96" s="503"/>
      <c r="C96" s="504"/>
      <c r="D96" s="505" t="s">
        <v>21</v>
      </c>
      <c r="E96" s="506">
        <v>1911.2</v>
      </c>
      <c r="F96" s="506">
        <v>1905.5</v>
      </c>
      <c r="G96" s="506">
        <v>1905.5</v>
      </c>
      <c r="H96" s="506">
        <v>0</v>
      </c>
      <c r="I96" s="504"/>
      <c r="J96" s="507"/>
      <c r="K96" s="508"/>
      <c r="L96" s="508"/>
      <c r="M96" s="504"/>
      <c r="N96" s="777"/>
    </row>
    <row r="97" spans="1:14" ht="63.75" x14ac:dyDescent="0.2">
      <c r="A97" s="516" t="s">
        <v>471</v>
      </c>
      <c r="B97" s="517" t="s">
        <v>472</v>
      </c>
      <c r="C97" s="518" t="s">
        <v>473</v>
      </c>
      <c r="D97" s="519"/>
      <c r="E97" s="520">
        <f>SUM(E98:E102)</f>
        <v>221.7</v>
      </c>
      <c r="F97" s="520">
        <f>SUM(F98:F102)</f>
        <v>228.8</v>
      </c>
      <c r="G97" s="520">
        <f>SUM(G98:G102)</f>
        <v>228.7</v>
      </c>
      <c r="H97" s="520">
        <f>SUM(H98:H102)</f>
        <v>0.1</v>
      </c>
      <c r="I97" s="518" t="s">
        <v>474</v>
      </c>
      <c r="J97" s="521" t="s">
        <v>280</v>
      </c>
      <c r="K97" s="522" t="s">
        <v>475</v>
      </c>
      <c r="L97" s="522" t="s">
        <v>476</v>
      </c>
      <c r="M97" s="518"/>
      <c r="N97" s="779" t="s">
        <v>477</v>
      </c>
    </row>
    <row r="98" spans="1:14" ht="30" x14ac:dyDescent="0.2">
      <c r="A98" s="502"/>
      <c r="B98" s="503"/>
      <c r="C98" s="504"/>
      <c r="D98" s="505"/>
      <c r="E98" s="506">
        <v>0</v>
      </c>
      <c r="F98" s="506">
        <v>0</v>
      </c>
      <c r="G98" s="506">
        <v>0</v>
      </c>
      <c r="H98" s="506">
        <v>0</v>
      </c>
      <c r="I98" s="504" t="s">
        <v>466</v>
      </c>
      <c r="J98" s="507" t="s">
        <v>467</v>
      </c>
      <c r="K98" s="508" t="s">
        <v>478</v>
      </c>
      <c r="L98" s="508" t="s">
        <v>479</v>
      </c>
      <c r="M98" s="504"/>
      <c r="N98" s="777" t="s">
        <v>480</v>
      </c>
    </row>
    <row r="99" spans="1:14" ht="38.25" x14ac:dyDescent="0.2">
      <c r="A99" s="502"/>
      <c r="B99" s="503"/>
      <c r="C99" s="504"/>
      <c r="D99" s="505"/>
      <c r="E99" s="506">
        <v>0</v>
      </c>
      <c r="F99" s="506">
        <v>0</v>
      </c>
      <c r="G99" s="506">
        <v>0</v>
      </c>
      <c r="H99" s="506">
        <v>0</v>
      </c>
      <c r="I99" s="504" t="s">
        <v>481</v>
      </c>
      <c r="J99" s="507" t="s">
        <v>325</v>
      </c>
      <c r="K99" s="508" t="s">
        <v>482</v>
      </c>
      <c r="L99" s="508" t="s">
        <v>483</v>
      </c>
      <c r="M99" s="504"/>
      <c r="N99" s="777" t="s">
        <v>484</v>
      </c>
    </row>
    <row r="100" spans="1:14" ht="30" x14ac:dyDescent="0.2">
      <c r="A100" s="502"/>
      <c r="B100" s="503"/>
      <c r="C100" s="504"/>
      <c r="D100" s="505"/>
      <c r="E100" s="506">
        <v>0</v>
      </c>
      <c r="F100" s="506">
        <v>0</v>
      </c>
      <c r="G100" s="506">
        <v>0</v>
      </c>
      <c r="H100" s="506">
        <v>0</v>
      </c>
      <c r="I100" s="504" t="s">
        <v>485</v>
      </c>
      <c r="J100" s="507" t="s">
        <v>280</v>
      </c>
      <c r="K100" s="508" t="s">
        <v>281</v>
      </c>
      <c r="L100" s="508" t="s">
        <v>281</v>
      </c>
      <c r="M100" s="504"/>
      <c r="N100" s="777" t="s">
        <v>486</v>
      </c>
    </row>
    <row r="101" spans="1:14" x14ac:dyDescent="0.2">
      <c r="A101" s="502"/>
      <c r="B101" s="503"/>
      <c r="C101" s="504"/>
      <c r="D101" s="505" t="s">
        <v>53</v>
      </c>
      <c r="E101" s="506">
        <v>90.4</v>
      </c>
      <c r="F101" s="506">
        <v>90.4</v>
      </c>
      <c r="G101" s="506">
        <v>90.4</v>
      </c>
      <c r="H101" s="506">
        <v>0</v>
      </c>
      <c r="I101" s="504"/>
      <c r="J101" s="507"/>
      <c r="K101" s="508"/>
      <c r="L101" s="508"/>
      <c r="M101" s="504"/>
      <c r="N101" s="777"/>
    </row>
    <row r="102" spans="1:14" ht="15.75" thickBot="1" x14ac:dyDescent="0.25">
      <c r="A102" s="502"/>
      <c r="B102" s="503"/>
      <c r="C102" s="504"/>
      <c r="D102" s="505" t="s">
        <v>21</v>
      </c>
      <c r="E102" s="506">
        <v>131.30000000000001</v>
      </c>
      <c r="F102" s="506">
        <v>138.4</v>
      </c>
      <c r="G102" s="506">
        <v>138.30000000000001</v>
      </c>
      <c r="H102" s="506">
        <v>0.1</v>
      </c>
      <c r="I102" s="504"/>
      <c r="J102" s="507"/>
      <c r="K102" s="508"/>
      <c r="L102" s="508"/>
      <c r="M102" s="504"/>
      <c r="N102" s="777"/>
    </row>
    <row r="103" spans="1:14" ht="390" x14ac:dyDescent="0.2">
      <c r="A103" s="516" t="s">
        <v>487</v>
      </c>
      <c r="B103" s="517" t="s">
        <v>488</v>
      </c>
      <c r="C103" s="518" t="s">
        <v>367</v>
      </c>
      <c r="D103" s="519"/>
      <c r="E103" s="520">
        <f>SUM(E104:E106)</f>
        <v>127.3</v>
      </c>
      <c r="F103" s="520">
        <f>SUM(F104:F106)</f>
        <v>89.5</v>
      </c>
      <c r="G103" s="520">
        <f>SUM(G104:G106)</f>
        <v>86.6</v>
      </c>
      <c r="H103" s="520">
        <f>SUM(H104:H106)</f>
        <v>2.9</v>
      </c>
      <c r="I103" s="518" t="s">
        <v>489</v>
      </c>
      <c r="J103" s="521" t="s">
        <v>280</v>
      </c>
      <c r="K103" s="522" t="s">
        <v>490</v>
      </c>
      <c r="L103" s="522" t="s">
        <v>310</v>
      </c>
      <c r="M103" s="518" t="s">
        <v>491</v>
      </c>
      <c r="N103" s="779" t="s">
        <v>492</v>
      </c>
    </row>
    <row r="104" spans="1:14" ht="60" x14ac:dyDescent="0.2">
      <c r="A104" s="502"/>
      <c r="B104" s="503"/>
      <c r="C104" s="504"/>
      <c r="D104" s="505"/>
      <c r="E104" s="506">
        <v>0</v>
      </c>
      <c r="F104" s="506">
        <v>0</v>
      </c>
      <c r="G104" s="506">
        <v>0</v>
      </c>
      <c r="H104" s="506">
        <v>0</v>
      </c>
      <c r="I104" s="504" t="s">
        <v>493</v>
      </c>
      <c r="J104" s="507" t="s">
        <v>316</v>
      </c>
      <c r="K104" s="508" t="s">
        <v>317</v>
      </c>
      <c r="L104" s="508" t="s">
        <v>317</v>
      </c>
      <c r="M104" s="504"/>
      <c r="N104" s="777" t="s">
        <v>494</v>
      </c>
    </row>
    <row r="105" spans="1:14" x14ac:dyDescent="0.2">
      <c r="A105" s="502"/>
      <c r="B105" s="503"/>
      <c r="C105" s="504"/>
      <c r="D105" s="505" t="s">
        <v>53</v>
      </c>
      <c r="E105" s="506">
        <v>4.7</v>
      </c>
      <c r="F105" s="506">
        <v>4.7</v>
      </c>
      <c r="G105" s="506">
        <v>4.7</v>
      </c>
      <c r="H105" s="506">
        <v>0</v>
      </c>
      <c r="I105" s="504"/>
      <c r="J105" s="507"/>
      <c r="K105" s="508"/>
      <c r="L105" s="508"/>
      <c r="M105" s="504"/>
      <c r="N105" s="777"/>
    </row>
    <row r="106" spans="1:14" ht="15.75" thickBot="1" x14ac:dyDescent="0.25">
      <c r="A106" s="502"/>
      <c r="B106" s="503"/>
      <c r="C106" s="504"/>
      <c r="D106" s="505" t="s">
        <v>21</v>
      </c>
      <c r="E106" s="506">
        <v>122.6</v>
      </c>
      <c r="F106" s="506">
        <v>84.8</v>
      </c>
      <c r="G106" s="506">
        <v>81.900000000000006</v>
      </c>
      <c r="H106" s="506">
        <v>2.9</v>
      </c>
      <c r="I106" s="504"/>
      <c r="J106" s="507"/>
      <c r="K106" s="508"/>
      <c r="L106" s="508"/>
      <c r="M106" s="504"/>
      <c r="N106" s="777"/>
    </row>
    <row r="107" spans="1:14" ht="51.75" thickBot="1" x14ac:dyDescent="0.25">
      <c r="A107" s="516" t="s">
        <v>495</v>
      </c>
      <c r="B107" s="517" t="s">
        <v>243</v>
      </c>
      <c r="C107" s="518" t="s">
        <v>496</v>
      </c>
      <c r="D107" s="519"/>
      <c r="E107" s="520">
        <f>SUM(E108:E108)</f>
        <v>287.5</v>
      </c>
      <c r="F107" s="520">
        <f>SUM(F108:F108)</f>
        <v>273.2</v>
      </c>
      <c r="G107" s="520">
        <f>SUM(G108:G108)</f>
        <v>209</v>
      </c>
      <c r="H107" s="520">
        <f>SUM(H108:H108)</f>
        <v>64.2</v>
      </c>
      <c r="I107" s="518"/>
      <c r="J107" s="521"/>
      <c r="K107" s="522"/>
      <c r="L107" s="522"/>
      <c r="M107" s="518"/>
      <c r="N107" s="779"/>
    </row>
    <row r="108" spans="1:14" ht="75" x14ac:dyDescent="0.2">
      <c r="A108" s="516" t="s">
        <v>497</v>
      </c>
      <c r="B108" s="517" t="s">
        <v>243</v>
      </c>
      <c r="C108" s="518" t="s">
        <v>498</v>
      </c>
      <c r="D108" s="519"/>
      <c r="E108" s="520">
        <f>SUM(E109:E111)</f>
        <v>287.5</v>
      </c>
      <c r="F108" s="520">
        <f>SUM(F109:F111)</f>
        <v>273.2</v>
      </c>
      <c r="G108" s="520">
        <f>SUM(G109:G111)</f>
        <v>209</v>
      </c>
      <c r="H108" s="520">
        <f>SUM(H109:H111)</f>
        <v>64.2</v>
      </c>
      <c r="I108" s="518" t="s">
        <v>499</v>
      </c>
      <c r="J108" s="521" t="s">
        <v>280</v>
      </c>
      <c r="K108" s="522" t="s">
        <v>500</v>
      </c>
      <c r="L108" s="522" t="s">
        <v>501</v>
      </c>
      <c r="M108" s="518"/>
      <c r="N108" s="779" t="s">
        <v>502</v>
      </c>
    </row>
    <row r="109" spans="1:14" x14ac:dyDescent="0.2">
      <c r="A109" s="502"/>
      <c r="B109" s="503"/>
      <c r="C109" s="504"/>
      <c r="D109" s="505"/>
      <c r="E109" s="506">
        <v>0</v>
      </c>
      <c r="F109" s="506">
        <v>0</v>
      </c>
      <c r="G109" s="506">
        <v>0</v>
      </c>
      <c r="H109" s="506">
        <v>0</v>
      </c>
      <c r="I109" s="504" t="s">
        <v>503</v>
      </c>
      <c r="J109" s="507" t="s">
        <v>280</v>
      </c>
      <c r="K109" s="508" t="s">
        <v>313</v>
      </c>
      <c r="L109" s="508" t="s">
        <v>313</v>
      </c>
      <c r="M109" s="504"/>
      <c r="N109" s="777" t="s">
        <v>504</v>
      </c>
    </row>
    <row r="110" spans="1:14" x14ac:dyDescent="0.2">
      <c r="A110" s="502"/>
      <c r="B110" s="503"/>
      <c r="C110" s="504"/>
      <c r="D110" s="505" t="s">
        <v>53</v>
      </c>
      <c r="E110" s="506">
        <v>135.19999999999999</v>
      </c>
      <c r="F110" s="506">
        <v>135.19999999999999</v>
      </c>
      <c r="G110" s="506">
        <v>123</v>
      </c>
      <c r="H110" s="506">
        <v>12.2</v>
      </c>
      <c r="I110" s="504"/>
      <c r="J110" s="507"/>
      <c r="K110" s="508"/>
      <c r="L110" s="508"/>
      <c r="M110" s="504"/>
      <c r="N110" s="777"/>
    </row>
    <row r="111" spans="1:14" ht="15.75" thickBot="1" x14ac:dyDescent="0.25">
      <c r="A111" s="502"/>
      <c r="B111" s="503"/>
      <c r="C111" s="504"/>
      <c r="D111" s="505" t="s">
        <v>21</v>
      </c>
      <c r="E111" s="506">
        <v>152.30000000000001</v>
      </c>
      <c r="F111" s="506">
        <v>138</v>
      </c>
      <c r="G111" s="506">
        <v>86</v>
      </c>
      <c r="H111" s="506">
        <v>52</v>
      </c>
      <c r="I111" s="504"/>
      <c r="J111" s="507"/>
      <c r="K111" s="508"/>
      <c r="L111" s="508"/>
      <c r="M111" s="504"/>
      <c r="N111" s="777"/>
    </row>
    <row r="112" spans="1:14" ht="51.75" thickBot="1" x14ac:dyDescent="0.25">
      <c r="A112" s="516" t="s">
        <v>505</v>
      </c>
      <c r="B112" s="517" t="s">
        <v>506</v>
      </c>
      <c r="C112" s="518" t="s">
        <v>507</v>
      </c>
      <c r="D112" s="519"/>
      <c r="E112" s="520">
        <f>SUM(E113:E113)</f>
        <v>16.8</v>
      </c>
      <c r="F112" s="520">
        <f>SUM(F113:F113)</f>
        <v>16.8</v>
      </c>
      <c r="G112" s="520">
        <f>SUM(G113:G113)</f>
        <v>16.7</v>
      </c>
      <c r="H112" s="520">
        <f>SUM(H113:H113)</f>
        <v>0.1</v>
      </c>
      <c r="I112" s="518"/>
      <c r="J112" s="521"/>
      <c r="K112" s="522"/>
      <c r="L112" s="522"/>
      <c r="M112" s="518"/>
      <c r="N112" s="779"/>
    </row>
    <row r="113" spans="1:14" ht="64.5" thickBot="1" x14ac:dyDescent="0.25">
      <c r="A113" s="516" t="s">
        <v>508</v>
      </c>
      <c r="B113" s="517" t="s">
        <v>509</v>
      </c>
      <c r="C113" s="518" t="s">
        <v>510</v>
      </c>
      <c r="D113" s="519" t="s">
        <v>21</v>
      </c>
      <c r="E113" s="523">
        <v>16.8</v>
      </c>
      <c r="F113" s="523">
        <v>16.8</v>
      </c>
      <c r="G113" s="523">
        <v>16.7</v>
      </c>
      <c r="H113" s="523">
        <v>0.1</v>
      </c>
      <c r="I113" s="518" t="s">
        <v>511</v>
      </c>
      <c r="J113" s="521" t="s">
        <v>280</v>
      </c>
      <c r="K113" s="522" t="s">
        <v>283</v>
      </c>
      <c r="L113" s="522" t="s">
        <v>283</v>
      </c>
      <c r="M113" s="518"/>
      <c r="N113" s="779" t="s">
        <v>512</v>
      </c>
    </row>
    <row r="114" spans="1:14" ht="51.75" thickBot="1" x14ac:dyDescent="0.25">
      <c r="A114" s="516" t="s">
        <v>513</v>
      </c>
      <c r="B114" s="517" t="s">
        <v>514</v>
      </c>
      <c r="C114" s="518" t="s">
        <v>515</v>
      </c>
      <c r="D114" s="519"/>
      <c r="E114" s="520">
        <f>E115+E118+E123+E128+E131+E136+E140</f>
        <v>3681.9</v>
      </c>
      <c r="F114" s="520">
        <f>F115+F118+F123+F128+F131+F136+F140</f>
        <v>909.3</v>
      </c>
      <c r="G114" s="520">
        <f>G115+G118+G123+G128+G131+G136+G140</f>
        <v>275.3</v>
      </c>
      <c r="H114" s="520">
        <f>H115+H118+H123+H128+H131+H136+H140</f>
        <v>634</v>
      </c>
      <c r="I114" s="518"/>
      <c r="J114" s="521"/>
      <c r="K114" s="522"/>
      <c r="L114" s="522"/>
      <c r="M114" s="518"/>
      <c r="N114" s="779"/>
    </row>
    <row r="115" spans="1:14" ht="63.75" x14ac:dyDescent="0.2">
      <c r="A115" s="516" t="s">
        <v>516</v>
      </c>
      <c r="B115" s="517" t="s">
        <v>517</v>
      </c>
      <c r="C115" s="518" t="s">
        <v>518</v>
      </c>
      <c r="D115" s="519"/>
      <c r="E115" s="520">
        <f>SUM(E116:E117)</f>
        <v>70.3</v>
      </c>
      <c r="F115" s="520">
        <f>SUM(F116:F117)</f>
        <v>73.099999999999994</v>
      </c>
      <c r="G115" s="520">
        <f>SUM(G116:G117)</f>
        <v>44.8</v>
      </c>
      <c r="H115" s="520">
        <f>SUM(H116:H117)</f>
        <v>28.3</v>
      </c>
      <c r="I115" s="518" t="s">
        <v>368</v>
      </c>
      <c r="J115" s="521" t="s">
        <v>316</v>
      </c>
      <c r="K115" s="522" t="s">
        <v>282</v>
      </c>
      <c r="L115" s="522" t="s">
        <v>282</v>
      </c>
      <c r="M115" s="518"/>
      <c r="N115" s="779"/>
    </row>
    <row r="116" spans="1:14" ht="105" x14ac:dyDescent="0.2">
      <c r="A116" s="502"/>
      <c r="B116" s="503"/>
      <c r="C116" s="504"/>
      <c r="D116" s="505"/>
      <c r="E116" s="506">
        <v>0</v>
      </c>
      <c r="F116" s="506">
        <v>0</v>
      </c>
      <c r="G116" s="506">
        <v>0</v>
      </c>
      <c r="H116" s="506">
        <v>0</v>
      </c>
      <c r="I116" s="504" t="s">
        <v>364</v>
      </c>
      <c r="J116" s="507" t="s">
        <v>280</v>
      </c>
      <c r="K116" s="508" t="s">
        <v>313</v>
      </c>
      <c r="L116" s="508" t="s">
        <v>282</v>
      </c>
      <c r="M116" s="504"/>
      <c r="N116" s="777" t="s">
        <v>519</v>
      </c>
    </row>
    <row r="117" spans="1:14" ht="15.75" thickBot="1" x14ac:dyDescent="0.25">
      <c r="A117" s="502"/>
      <c r="B117" s="503"/>
      <c r="C117" s="504"/>
      <c r="D117" s="505" t="s">
        <v>53</v>
      </c>
      <c r="E117" s="506">
        <v>70.3</v>
      </c>
      <c r="F117" s="506">
        <v>73.099999999999994</v>
      </c>
      <c r="G117" s="506">
        <v>44.8</v>
      </c>
      <c r="H117" s="506">
        <v>28.3</v>
      </c>
      <c r="I117" s="504"/>
      <c r="J117" s="507"/>
      <c r="K117" s="508"/>
      <c r="L117" s="508"/>
      <c r="M117" s="504"/>
      <c r="N117" s="777"/>
    </row>
    <row r="118" spans="1:14" ht="63.75" x14ac:dyDescent="0.2">
      <c r="A118" s="516" t="s">
        <v>520</v>
      </c>
      <c r="B118" s="517" t="s">
        <v>521</v>
      </c>
      <c r="C118" s="518" t="s">
        <v>518</v>
      </c>
      <c r="D118" s="519"/>
      <c r="E118" s="520">
        <f>SUM(E119:E122)</f>
        <v>1761</v>
      </c>
      <c r="F118" s="520">
        <f>SUM(F119:F122)</f>
        <v>353.8</v>
      </c>
      <c r="G118" s="520">
        <f>SUM(G119:G122)</f>
        <v>18.2</v>
      </c>
      <c r="H118" s="520">
        <f>SUM(H119:H122)</f>
        <v>335.6</v>
      </c>
      <c r="I118" s="518" t="s">
        <v>368</v>
      </c>
      <c r="J118" s="521" t="s">
        <v>316</v>
      </c>
      <c r="K118" s="522" t="s">
        <v>282</v>
      </c>
      <c r="L118" s="522" t="s">
        <v>282</v>
      </c>
      <c r="M118" s="518"/>
      <c r="N118" s="779"/>
    </row>
    <row r="119" spans="1:14" ht="45" x14ac:dyDescent="0.2">
      <c r="A119" s="502"/>
      <c r="B119" s="503"/>
      <c r="C119" s="504"/>
      <c r="D119" s="505"/>
      <c r="E119" s="506">
        <v>0</v>
      </c>
      <c r="F119" s="506">
        <v>0</v>
      </c>
      <c r="G119" s="506">
        <v>0</v>
      </c>
      <c r="H119" s="506">
        <v>0</v>
      </c>
      <c r="I119" s="504" t="s">
        <v>364</v>
      </c>
      <c r="J119" s="507" t="s">
        <v>280</v>
      </c>
      <c r="K119" s="508" t="s">
        <v>313</v>
      </c>
      <c r="L119" s="508" t="s">
        <v>313</v>
      </c>
      <c r="M119" s="504"/>
      <c r="N119" s="777" t="s">
        <v>522</v>
      </c>
    </row>
    <row r="120" spans="1:14" x14ac:dyDescent="0.2">
      <c r="A120" s="502"/>
      <c r="B120" s="503"/>
      <c r="C120" s="504"/>
      <c r="D120" s="505" t="s">
        <v>53</v>
      </c>
      <c r="E120" s="506">
        <v>342.8</v>
      </c>
      <c r="F120" s="506">
        <v>327.8</v>
      </c>
      <c r="G120" s="506">
        <v>18.2</v>
      </c>
      <c r="H120" s="506">
        <v>309.60000000000002</v>
      </c>
      <c r="I120" s="504"/>
      <c r="J120" s="507"/>
      <c r="K120" s="508"/>
      <c r="L120" s="508"/>
      <c r="M120" s="504"/>
      <c r="N120" s="777"/>
    </row>
    <row r="121" spans="1:14" x14ac:dyDescent="0.2">
      <c r="A121" s="502"/>
      <c r="B121" s="503"/>
      <c r="C121" s="504"/>
      <c r="D121" s="505" t="s">
        <v>173</v>
      </c>
      <c r="E121" s="506">
        <v>1053.7</v>
      </c>
      <c r="F121" s="506">
        <v>0</v>
      </c>
      <c r="G121" s="506">
        <v>0</v>
      </c>
      <c r="H121" s="506">
        <v>0</v>
      </c>
      <c r="I121" s="504"/>
      <c r="J121" s="507"/>
      <c r="K121" s="508"/>
      <c r="L121" s="508"/>
      <c r="M121" s="504"/>
      <c r="N121" s="777"/>
    </row>
    <row r="122" spans="1:14" ht="15.75" thickBot="1" x14ac:dyDescent="0.25">
      <c r="A122" s="502"/>
      <c r="B122" s="503"/>
      <c r="C122" s="504"/>
      <c r="D122" s="505" t="s">
        <v>21</v>
      </c>
      <c r="E122" s="506">
        <v>364.5</v>
      </c>
      <c r="F122" s="506">
        <v>26</v>
      </c>
      <c r="G122" s="506">
        <v>0</v>
      </c>
      <c r="H122" s="506">
        <v>26</v>
      </c>
      <c r="I122" s="504"/>
      <c r="J122" s="507"/>
      <c r="K122" s="508"/>
      <c r="L122" s="508"/>
      <c r="M122" s="504"/>
      <c r="N122" s="777"/>
    </row>
    <row r="123" spans="1:14" ht="63.75" x14ac:dyDescent="0.2">
      <c r="A123" s="516" t="s">
        <v>523</v>
      </c>
      <c r="B123" s="517" t="s">
        <v>524</v>
      </c>
      <c r="C123" s="518" t="s">
        <v>525</v>
      </c>
      <c r="D123" s="519"/>
      <c r="E123" s="520">
        <f>SUM(E124:E127)</f>
        <v>892.5</v>
      </c>
      <c r="F123" s="520">
        <f>SUM(F124:F127)</f>
        <v>68.2</v>
      </c>
      <c r="G123" s="520">
        <f>SUM(G124:G127)</f>
        <v>47.1</v>
      </c>
      <c r="H123" s="520">
        <f>SUM(H124:H127)</f>
        <v>21.1</v>
      </c>
      <c r="I123" s="518" t="s">
        <v>368</v>
      </c>
      <c r="J123" s="521" t="s">
        <v>316</v>
      </c>
      <c r="K123" s="522" t="s">
        <v>282</v>
      </c>
      <c r="L123" s="522" t="s">
        <v>282</v>
      </c>
      <c r="M123" s="518"/>
      <c r="N123" s="779"/>
    </row>
    <row r="124" spans="1:14" ht="225" x14ac:dyDescent="0.2">
      <c r="A124" s="502"/>
      <c r="B124" s="503"/>
      <c r="C124" s="504"/>
      <c r="D124" s="505"/>
      <c r="E124" s="506">
        <v>0</v>
      </c>
      <c r="F124" s="506">
        <v>0</v>
      </c>
      <c r="G124" s="506">
        <v>0</v>
      </c>
      <c r="H124" s="506">
        <v>0</v>
      </c>
      <c r="I124" s="504" t="s">
        <v>364</v>
      </c>
      <c r="J124" s="507" t="s">
        <v>280</v>
      </c>
      <c r="K124" s="508" t="s">
        <v>313</v>
      </c>
      <c r="L124" s="508" t="s">
        <v>313</v>
      </c>
      <c r="M124" s="504"/>
      <c r="N124" s="777" t="s">
        <v>526</v>
      </c>
    </row>
    <row r="125" spans="1:14" x14ac:dyDescent="0.2">
      <c r="A125" s="502"/>
      <c r="B125" s="503"/>
      <c r="C125" s="504"/>
      <c r="D125" s="505" t="s">
        <v>21</v>
      </c>
      <c r="E125" s="506">
        <v>355.7</v>
      </c>
      <c r="F125" s="506">
        <v>0</v>
      </c>
      <c r="G125" s="506">
        <v>0</v>
      </c>
      <c r="H125" s="506">
        <v>0</v>
      </c>
      <c r="I125" s="504"/>
      <c r="J125" s="507"/>
      <c r="K125" s="508"/>
      <c r="L125" s="508"/>
      <c r="M125" s="504"/>
      <c r="N125" s="777"/>
    </row>
    <row r="126" spans="1:14" x14ac:dyDescent="0.2">
      <c r="A126" s="502"/>
      <c r="B126" s="503"/>
      <c r="C126" s="504"/>
      <c r="D126" s="505" t="s">
        <v>173</v>
      </c>
      <c r="E126" s="506">
        <v>403.5</v>
      </c>
      <c r="F126" s="506">
        <v>0.3</v>
      </c>
      <c r="G126" s="506">
        <v>0</v>
      </c>
      <c r="H126" s="506">
        <v>0.3</v>
      </c>
      <c r="I126" s="504"/>
      <c r="J126" s="507"/>
      <c r="K126" s="508"/>
      <c r="L126" s="508"/>
      <c r="M126" s="504"/>
      <c r="N126" s="777"/>
    </row>
    <row r="127" spans="1:14" ht="15.75" thickBot="1" x14ac:dyDescent="0.25">
      <c r="A127" s="502"/>
      <c r="B127" s="503"/>
      <c r="C127" s="504"/>
      <c r="D127" s="505" t="s">
        <v>53</v>
      </c>
      <c r="E127" s="506">
        <v>133.30000000000001</v>
      </c>
      <c r="F127" s="506">
        <v>67.900000000000006</v>
      </c>
      <c r="G127" s="506">
        <v>47.1</v>
      </c>
      <c r="H127" s="506">
        <v>20.8</v>
      </c>
      <c r="I127" s="504"/>
      <c r="J127" s="507"/>
      <c r="K127" s="508"/>
      <c r="L127" s="508"/>
      <c r="M127" s="504"/>
      <c r="N127" s="777"/>
    </row>
    <row r="128" spans="1:14" ht="63.75" x14ac:dyDescent="0.2">
      <c r="A128" s="516" t="s">
        <v>527</v>
      </c>
      <c r="B128" s="517" t="s">
        <v>528</v>
      </c>
      <c r="C128" s="518" t="s">
        <v>525</v>
      </c>
      <c r="D128" s="519"/>
      <c r="E128" s="520">
        <f>SUM(E129:E130)</f>
        <v>129.6</v>
      </c>
      <c r="F128" s="520">
        <f>SUM(F129:F130)</f>
        <v>144.6</v>
      </c>
      <c r="G128" s="520">
        <f>SUM(G129:G130)</f>
        <v>76.2</v>
      </c>
      <c r="H128" s="520">
        <f>SUM(H129:H130)</f>
        <v>68.400000000000006</v>
      </c>
      <c r="I128" s="518" t="s">
        <v>368</v>
      </c>
      <c r="J128" s="521" t="s">
        <v>316</v>
      </c>
      <c r="K128" s="522" t="s">
        <v>282</v>
      </c>
      <c r="L128" s="522" t="s">
        <v>282</v>
      </c>
      <c r="M128" s="518"/>
      <c r="N128" s="779"/>
    </row>
    <row r="129" spans="1:14" ht="195" x14ac:dyDescent="0.2">
      <c r="A129" s="502"/>
      <c r="B129" s="503"/>
      <c r="C129" s="504"/>
      <c r="D129" s="505"/>
      <c r="E129" s="506">
        <v>0</v>
      </c>
      <c r="F129" s="506">
        <v>0</v>
      </c>
      <c r="G129" s="506">
        <v>0</v>
      </c>
      <c r="H129" s="506">
        <v>0</v>
      </c>
      <c r="I129" s="504" t="s">
        <v>364</v>
      </c>
      <c r="J129" s="507" t="s">
        <v>280</v>
      </c>
      <c r="K129" s="508" t="s">
        <v>313</v>
      </c>
      <c r="L129" s="508" t="s">
        <v>478</v>
      </c>
      <c r="M129" s="504"/>
      <c r="N129" s="777" t="s">
        <v>529</v>
      </c>
    </row>
    <row r="130" spans="1:14" ht="15.75" thickBot="1" x14ac:dyDescent="0.25">
      <c r="A130" s="502"/>
      <c r="B130" s="503"/>
      <c r="C130" s="504"/>
      <c r="D130" s="505" t="s">
        <v>53</v>
      </c>
      <c r="E130" s="506">
        <v>129.6</v>
      </c>
      <c r="F130" s="506">
        <v>144.6</v>
      </c>
      <c r="G130" s="506">
        <v>76.2</v>
      </c>
      <c r="H130" s="506">
        <v>68.400000000000006</v>
      </c>
      <c r="I130" s="504"/>
      <c r="J130" s="507"/>
      <c r="K130" s="508"/>
      <c r="L130" s="508"/>
      <c r="M130" s="504"/>
      <c r="N130" s="777"/>
    </row>
    <row r="131" spans="1:14" ht="63.75" x14ac:dyDescent="0.2">
      <c r="A131" s="516" t="s">
        <v>530</v>
      </c>
      <c r="B131" s="517" t="s">
        <v>531</v>
      </c>
      <c r="C131" s="518" t="s">
        <v>525</v>
      </c>
      <c r="D131" s="519"/>
      <c r="E131" s="520">
        <f>SUM(E132:E135)</f>
        <v>649.4</v>
      </c>
      <c r="F131" s="520">
        <f>SUM(F132:F135)</f>
        <v>90.5</v>
      </c>
      <c r="G131" s="520">
        <f>SUM(G132:G135)</f>
        <v>32.700000000000003</v>
      </c>
      <c r="H131" s="520">
        <f>SUM(H132:H135)</f>
        <v>57.8</v>
      </c>
      <c r="I131" s="518" t="s">
        <v>368</v>
      </c>
      <c r="J131" s="521" t="s">
        <v>316</v>
      </c>
      <c r="K131" s="522" t="s">
        <v>282</v>
      </c>
      <c r="L131" s="522" t="s">
        <v>282</v>
      </c>
      <c r="M131" s="518"/>
      <c r="N131" s="779"/>
    </row>
    <row r="132" spans="1:14" ht="195" x14ac:dyDescent="0.2">
      <c r="A132" s="502"/>
      <c r="B132" s="503"/>
      <c r="C132" s="504"/>
      <c r="D132" s="505"/>
      <c r="E132" s="506">
        <v>0</v>
      </c>
      <c r="F132" s="506">
        <v>0</v>
      </c>
      <c r="G132" s="506">
        <v>0</v>
      </c>
      <c r="H132" s="506">
        <v>0</v>
      </c>
      <c r="I132" s="504" t="s">
        <v>364</v>
      </c>
      <c r="J132" s="507" t="s">
        <v>280</v>
      </c>
      <c r="K132" s="508" t="s">
        <v>313</v>
      </c>
      <c r="L132" s="508" t="s">
        <v>313</v>
      </c>
      <c r="M132" s="504"/>
      <c r="N132" s="777" t="s">
        <v>532</v>
      </c>
    </row>
    <row r="133" spans="1:14" x14ac:dyDescent="0.2">
      <c r="A133" s="502"/>
      <c r="B133" s="503"/>
      <c r="C133" s="504"/>
      <c r="D133" s="505" t="s">
        <v>173</v>
      </c>
      <c r="E133" s="506">
        <v>568.9</v>
      </c>
      <c r="F133" s="506">
        <v>10</v>
      </c>
      <c r="G133" s="506">
        <v>9.9</v>
      </c>
      <c r="H133" s="506">
        <v>0.1</v>
      </c>
      <c r="I133" s="504"/>
      <c r="J133" s="507"/>
      <c r="K133" s="508"/>
      <c r="L133" s="508"/>
      <c r="M133" s="504"/>
      <c r="N133" s="777"/>
    </row>
    <row r="134" spans="1:14" x14ac:dyDescent="0.2">
      <c r="A134" s="502"/>
      <c r="B134" s="503"/>
      <c r="C134" s="504"/>
      <c r="D134" s="505" t="s">
        <v>53</v>
      </c>
      <c r="E134" s="506">
        <v>28.2</v>
      </c>
      <c r="F134" s="506">
        <v>28.2</v>
      </c>
      <c r="G134" s="506">
        <v>22.8</v>
      </c>
      <c r="H134" s="506">
        <v>5.4</v>
      </c>
      <c r="I134" s="504"/>
      <c r="J134" s="507"/>
      <c r="K134" s="508"/>
      <c r="L134" s="508"/>
      <c r="M134" s="504"/>
      <c r="N134" s="777"/>
    </row>
    <row r="135" spans="1:14" ht="15.75" thickBot="1" x14ac:dyDescent="0.25">
      <c r="A135" s="502"/>
      <c r="B135" s="503"/>
      <c r="C135" s="504"/>
      <c r="D135" s="505" t="s">
        <v>21</v>
      </c>
      <c r="E135" s="506">
        <v>52.3</v>
      </c>
      <c r="F135" s="506">
        <v>52.3</v>
      </c>
      <c r="G135" s="506">
        <v>0</v>
      </c>
      <c r="H135" s="506">
        <v>52.3</v>
      </c>
      <c r="I135" s="504"/>
      <c r="J135" s="507"/>
      <c r="K135" s="508"/>
      <c r="L135" s="508"/>
      <c r="M135" s="504"/>
      <c r="N135" s="777"/>
    </row>
    <row r="136" spans="1:14" ht="63.75" x14ac:dyDescent="0.2">
      <c r="A136" s="516" t="s">
        <v>533</v>
      </c>
      <c r="B136" s="517" t="s">
        <v>125</v>
      </c>
      <c r="C136" s="518" t="s">
        <v>518</v>
      </c>
      <c r="D136" s="519"/>
      <c r="E136" s="520">
        <f>SUM(E137:E139)</f>
        <v>174.1</v>
      </c>
      <c r="F136" s="520">
        <f>SUM(F137:F139)</f>
        <v>174.1</v>
      </c>
      <c r="G136" s="520">
        <f>SUM(G137:G139)</f>
        <v>51.4</v>
      </c>
      <c r="H136" s="520">
        <f>SUM(H137:H139)</f>
        <v>122.7</v>
      </c>
      <c r="I136" s="518" t="s">
        <v>364</v>
      </c>
      <c r="J136" s="521" t="s">
        <v>280</v>
      </c>
      <c r="K136" s="522" t="s">
        <v>313</v>
      </c>
      <c r="L136" s="522" t="s">
        <v>313</v>
      </c>
      <c r="M136" s="518"/>
      <c r="N136" s="779" t="s">
        <v>534</v>
      </c>
    </row>
    <row r="137" spans="1:14" ht="60" x14ac:dyDescent="0.2">
      <c r="A137" s="502"/>
      <c r="B137" s="503"/>
      <c r="C137" s="504"/>
      <c r="D137" s="505"/>
      <c r="E137" s="506">
        <v>0</v>
      </c>
      <c r="F137" s="506">
        <v>0</v>
      </c>
      <c r="G137" s="506">
        <v>0</v>
      </c>
      <c r="H137" s="506">
        <v>0</v>
      </c>
      <c r="I137" s="504" t="s">
        <v>368</v>
      </c>
      <c r="J137" s="507" t="s">
        <v>316</v>
      </c>
      <c r="K137" s="508" t="s">
        <v>378</v>
      </c>
      <c r="L137" s="508" t="s">
        <v>313</v>
      </c>
      <c r="M137" s="504"/>
      <c r="N137" s="777" t="s">
        <v>535</v>
      </c>
    </row>
    <row r="138" spans="1:14" x14ac:dyDescent="0.2">
      <c r="A138" s="502"/>
      <c r="B138" s="503"/>
      <c r="C138" s="504"/>
      <c r="D138" s="505" t="s">
        <v>53</v>
      </c>
      <c r="E138" s="506">
        <v>107.3</v>
      </c>
      <c r="F138" s="506">
        <v>107.3</v>
      </c>
      <c r="G138" s="506">
        <v>51.4</v>
      </c>
      <c r="H138" s="506">
        <v>55.9</v>
      </c>
      <c r="I138" s="504"/>
      <c r="J138" s="507"/>
      <c r="K138" s="508"/>
      <c r="L138" s="508"/>
      <c r="M138" s="504"/>
      <c r="N138" s="777"/>
    </row>
    <row r="139" spans="1:14" ht="15.75" thickBot="1" x14ac:dyDescent="0.25">
      <c r="A139" s="502"/>
      <c r="B139" s="503"/>
      <c r="C139" s="504"/>
      <c r="D139" s="505" t="s">
        <v>21</v>
      </c>
      <c r="E139" s="506">
        <v>66.8</v>
      </c>
      <c r="F139" s="506">
        <v>66.8</v>
      </c>
      <c r="G139" s="506">
        <v>0</v>
      </c>
      <c r="H139" s="506">
        <v>66.8</v>
      </c>
      <c r="I139" s="504"/>
      <c r="J139" s="507"/>
      <c r="K139" s="508"/>
      <c r="L139" s="508"/>
      <c r="M139" s="504"/>
      <c r="N139" s="777"/>
    </row>
    <row r="140" spans="1:14" ht="63.75" x14ac:dyDescent="0.2">
      <c r="A140" s="516" t="s">
        <v>536</v>
      </c>
      <c r="B140" s="517" t="s">
        <v>247</v>
      </c>
      <c r="C140" s="518" t="s">
        <v>537</v>
      </c>
      <c r="D140" s="519"/>
      <c r="E140" s="520">
        <f>SUM(E141:E141)</f>
        <v>5</v>
      </c>
      <c r="F140" s="520">
        <f>SUM(F141:F141)</f>
        <v>5</v>
      </c>
      <c r="G140" s="520">
        <f>SUM(G141:G141)</f>
        <v>4.9000000000000004</v>
      </c>
      <c r="H140" s="520">
        <f>SUM(H141:H141)</f>
        <v>0.1</v>
      </c>
      <c r="I140" s="518" t="s">
        <v>538</v>
      </c>
      <c r="J140" s="521" t="s">
        <v>280</v>
      </c>
      <c r="K140" s="522" t="s">
        <v>313</v>
      </c>
      <c r="L140" s="522" t="s">
        <v>313</v>
      </c>
      <c r="M140" s="518"/>
      <c r="N140" s="779" t="s">
        <v>539</v>
      </c>
    </row>
    <row r="141" spans="1:14" ht="15.75" thickBot="1" x14ac:dyDescent="0.25">
      <c r="A141" s="502"/>
      <c r="B141" s="503"/>
      <c r="C141" s="504"/>
      <c r="D141" s="505" t="s">
        <v>53</v>
      </c>
      <c r="E141" s="506">
        <v>5</v>
      </c>
      <c r="F141" s="506">
        <v>5</v>
      </c>
      <c r="G141" s="506">
        <v>4.9000000000000004</v>
      </c>
      <c r="H141" s="506">
        <v>0.1</v>
      </c>
      <c r="I141" s="504"/>
      <c r="J141" s="507"/>
      <c r="K141" s="508"/>
      <c r="L141" s="508"/>
      <c r="M141" s="504"/>
      <c r="N141" s="777"/>
    </row>
    <row r="142" spans="1:14" ht="51.75" thickBot="1" x14ac:dyDescent="0.25">
      <c r="A142" s="516" t="s">
        <v>540</v>
      </c>
      <c r="B142" s="517" t="s">
        <v>541</v>
      </c>
      <c r="C142" s="518" t="s">
        <v>542</v>
      </c>
      <c r="D142" s="519"/>
      <c r="E142" s="520">
        <f>SUM(E143:E143)</f>
        <v>10</v>
      </c>
      <c r="F142" s="520">
        <f>SUM(F143:F143)</f>
        <v>10</v>
      </c>
      <c r="G142" s="520">
        <f>SUM(G143:G143)</f>
        <v>0</v>
      </c>
      <c r="H142" s="520">
        <f>SUM(H143:H143)</f>
        <v>10</v>
      </c>
      <c r="I142" s="518"/>
      <c r="J142" s="521"/>
      <c r="K142" s="522"/>
      <c r="L142" s="522"/>
      <c r="M142" s="518"/>
      <c r="N142" s="779"/>
    </row>
    <row r="143" spans="1:14" ht="64.5" thickBot="1" x14ac:dyDescent="0.25">
      <c r="A143" s="516" t="s">
        <v>543</v>
      </c>
      <c r="B143" s="517" t="s">
        <v>544</v>
      </c>
      <c r="C143" s="518" t="s">
        <v>545</v>
      </c>
      <c r="D143" s="519" t="s">
        <v>21</v>
      </c>
      <c r="E143" s="523">
        <v>10</v>
      </c>
      <c r="F143" s="523">
        <v>10</v>
      </c>
      <c r="G143" s="523">
        <v>0</v>
      </c>
      <c r="H143" s="523">
        <v>10</v>
      </c>
      <c r="I143" s="518" t="s">
        <v>364</v>
      </c>
      <c r="J143" s="521" t="s">
        <v>280</v>
      </c>
      <c r="K143" s="522" t="s">
        <v>313</v>
      </c>
      <c r="L143" s="522" t="s">
        <v>282</v>
      </c>
      <c r="M143" s="518"/>
      <c r="N143" s="779" t="s">
        <v>546</v>
      </c>
    </row>
    <row r="144" spans="1:14" ht="51.75" thickBot="1" x14ac:dyDescent="0.25">
      <c r="A144" s="509" t="s">
        <v>547</v>
      </c>
      <c r="B144" s="510" t="s">
        <v>38</v>
      </c>
      <c r="C144" s="511"/>
      <c r="D144" s="512"/>
      <c r="E144" s="513">
        <f>SUM(E145:E145)</f>
        <v>600.9</v>
      </c>
      <c r="F144" s="513">
        <f>SUM(F145:F145)</f>
        <v>600.9</v>
      </c>
      <c r="G144" s="513">
        <f>SUM(G145:G145)</f>
        <v>429.3</v>
      </c>
      <c r="H144" s="513">
        <f>SUM(H145:H145)</f>
        <v>171.6</v>
      </c>
      <c r="I144" s="511"/>
      <c r="J144" s="514"/>
      <c r="K144" s="515"/>
      <c r="L144" s="515"/>
      <c r="M144" s="511"/>
      <c r="N144" s="778"/>
    </row>
    <row r="145" spans="1:14" ht="51.75" thickBot="1" x14ac:dyDescent="0.25">
      <c r="A145" s="516" t="s">
        <v>548</v>
      </c>
      <c r="B145" s="517" t="s">
        <v>549</v>
      </c>
      <c r="C145" s="518" t="s">
        <v>550</v>
      </c>
      <c r="D145" s="519"/>
      <c r="E145" s="520">
        <f>E146+E149</f>
        <v>600.9</v>
      </c>
      <c r="F145" s="520">
        <f>F146+F149</f>
        <v>600.9</v>
      </c>
      <c r="G145" s="520">
        <f>G146+G149</f>
        <v>429.3</v>
      </c>
      <c r="H145" s="520">
        <f>H146+H149</f>
        <v>171.6</v>
      </c>
      <c r="I145" s="518"/>
      <c r="J145" s="521"/>
      <c r="K145" s="522"/>
      <c r="L145" s="522"/>
      <c r="M145" s="518"/>
      <c r="N145" s="779"/>
    </row>
    <row r="146" spans="1:14" ht="76.5" x14ac:dyDescent="0.2">
      <c r="A146" s="516" t="s">
        <v>551</v>
      </c>
      <c r="B146" s="517" t="s">
        <v>47</v>
      </c>
      <c r="C146" s="518" t="s">
        <v>552</v>
      </c>
      <c r="D146" s="519" t="s">
        <v>21</v>
      </c>
      <c r="E146" s="520">
        <f>SUM(E147:E148)+39</f>
        <v>39</v>
      </c>
      <c r="F146" s="520">
        <f>SUM(F147:F148)+15.3</f>
        <v>15.3</v>
      </c>
      <c r="G146" s="520">
        <f>SUM(G147:G148)+15.3</f>
        <v>15.3</v>
      </c>
      <c r="H146" s="520">
        <f>SUM(H147:H148)</f>
        <v>0</v>
      </c>
      <c r="I146" s="518" t="s">
        <v>553</v>
      </c>
      <c r="J146" s="521" t="s">
        <v>302</v>
      </c>
      <c r="K146" s="522" t="s">
        <v>554</v>
      </c>
      <c r="L146" s="522" t="s">
        <v>555</v>
      </c>
      <c r="M146" s="518"/>
      <c r="N146" s="779" t="s">
        <v>556</v>
      </c>
    </row>
    <row r="147" spans="1:14" x14ac:dyDescent="0.2">
      <c r="A147" s="502"/>
      <c r="B147" s="503"/>
      <c r="C147" s="504"/>
      <c r="D147" s="505"/>
      <c r="E147" s="506">
        <v>0</v>
      </c>
      <c r="F147" s="506">
        <v>0</v>
      </c>
      <c r="G147" s="506">
        <v>0</v>
      </c>
      <c r="H147" s="506">
        <v>0</v>
      </c>
      <c r="I147" s="504" t="s">
        <v>557</v>
      </c>
      <c r="J147" s="507" t="s">
        <v>302</v>
      </c>
      <c r="K147" s="508" t="s">
        <v>558</v>
      </c>
      <c r="L147" s="508" t="s">
        <v>559</v>
      </c>
      <c r="M147" s="504"/>
      <c r="N147" s="777" t="s">
        <v>560</v>
      </c>
    </row>
    <row r="148" spans="1:14" ht="26.25" thickBot="1" x14ac:dyDescent="0.25">
      <c r="A148" s="502"/>
      <c r="B148" s="503"/>
      <c r="C148" s="504"/>
      <c r="D148" s="505"/>
      <c r="E148" s="506">
        <v>0</v>
      </c>
      <c r="F148" s="506">
        <v>0</v>
      </c>
      <c r="G148" s="506">
        <v>0</v>
      </c>
      <c r="H148" s="506">
        <v>0</v>
      </c>
      <c r="I148" s="504" t="s">
        <v>561</v>
      </c>
      <c r="J148" s="507" t="s">
        <v>302</v>
      </c>
      <c r="K148" s="508" t="s">
        <v>562</v>
      </c>
      <c r="L148" s="508" t="s">
        <v>563</v>
      </c>
      <c r="M148" s="504"/>
      <c r="N148" s="777" t="s">
        <v>560</v>
      </c>
    </row>
    <row r="149" spans="1:14" ht="63.75" x14ac:dyDescent="0.2">
      <c r="A149" s="516" t="s">
        <v>564</v>
      </c>
      <c r="B149" s="517" t="s">
        <v>565</v>
      </c>
      <c r="C149" s="518" t="s">
        <v>566</v>
      </c>
      <c r="D149" s="519"/>
      <c r="E149" s="520">
        <f>SUM(E150:E158)</f>
        <v>561.9</v>
      </c>
      <c r="F149" s="520">
        <f>SUM(F150:F158)</f>
        <v>585.6</v>
      </c>
      <c r="G149" s="520">
        <f>SUM(G150:G158)</f>
        <v>414</v>
      </c>
      <c r="H149" s="520">
        <f>SUM(H150:H158)</f>
        <v>171.6</v>
      </c>
      <c r="I149" s="518" t="s">
        <v>567</v>
      </c>
      <c r="J149" s="521" t="s">
        <v>316</v>
      </c>
      <c r="K149" s="522" t="s">
        <v>568</v>
      </c>
      <c r="L149" s="522" t="s">
        <v>317</v>
      </c>
      <c r="M149" s="518"/>
      <c r="N149" s="779" t="s">
        <v>569</v>
      </c>
    </row>
    <row r="150" spans="1:14" ht="30" x14ac:dyDescent="0.2">
      <c r="A150" s="502"/>
      <c r="B150" s="503"/>
      <c r="C150" s="504"/>
      <c r="D150" s="505"/>
      <c r="E150" s="506">
        <v>0</v>
      </c>
      <c r="F150" s="506">
        <v>0</v>
      </c>
      <c r="G150" s="506">
        <v>0</v>
      </c>
      <c r="H150" s="506">
        <v>0</v>
      </c>
      <c r="I150" s="504" t="s">
        <v>570</v>
      </c>
      <c r="J150" s="507" t="s">
        <v>571</v>
      </c>
      <c r="K150" s="508" t="s">
        <v>572</v>
      </c>
      <c r="L150" s="508" t="s">
        <v>573</v>
      </c>
      <c r="M150" s="504"/>
      <c r="N150" s="777" t="s">
        <v>574</v>
      </c>
    </row>
    <row r="151" spans="1:14" ht="25.5" x14ac:dyDescent="0.2">
      <c r="A151" s="502"/>
      <c r="B151" s="503"/>
      <c r="C151" s="504"/>
      <c r="D151" s="505"/>
      <c r="E151" s="506">
        <v>0</v>
      </c>
      <c r="F151" s="506">
        <v>0</v>
      </c>
      <c r="G151" s="506">
        <v>0</v>
      </c>
      <c r="H151" s="506">
        <v>0</v>
      </c>
      <c r="I151" s="504" t="s">
        <v>575</v>
      </c>
      <c r="J151" s="507" t="s">
        <v>280</v>
      </c>
      <c r="K151" s="508" t="s">
        <v>576</v>
      </c>
      <c r="L151" s="508" t="s">
        <v>577</v>
      </c>
      <c r="M151" s="504"/>
      <c r="N151" s="777" t="s">
        <v>578</v>
      </c>
    </row>
    <row r="152" spans="1:14" ht="51" x14ac:dyDescent="0.2">
      <c r="A152" s="502"/>
      <c r="B152" s="503"/>
      <c r="C152" s="504"/>
      <c r="D152" s="505"/>
      <c r="E152" s="506">
        <v>0</v>
      </c>
      <c r="F152" s="506">
        <v>0</v>
      </c>
      <c r="G152" s="506">
        <v>0</v>
      </c>
      <c r="H152" s="506">
        <v>0</v>
      </c>
      <c r="I152" s="504" t="s">
        <v>579</v>
      </c>
      <c r="J152" s="507" t="s">
        <v>316</v>
      </c>
      <c r="K152" s="508" t="s">
        <v>317</v>
      </c>
      <c r="L152" s="508" t="s">
        <v>317</v>
      </c>
      <c r="M152" s="504"/>
      <c r="N152" s="777" t="s">
        <v>580</v>
      </c>
    </row>
    <row r="153" spans="1:14" ht="25.5" x14ac:dyDescent="0.2">
      <c r="A153" s="502"/>
      <c r="B153" s="503"/>
      <c r="C153" s="504"/>
      <c r="D153" s="505"/>
      <c r="E153" s="506">
        <v>0</v>
      </c>
      <c r="F153" s="506">
        <v>0</v>
      </c>
      <c r="G153" s="506">
        <v>0</v>
      </c>
      <c r="H153" s="506">
        <v>0</v>
      </c>
      <c r="I153" s="504" t="s">
        <v>581</v>
      </c>
      <c r="J153" s="507" t="s">
        <v>280</v>
      </c>
      <c r="K153" s="508" t="s">
        <v>352</v>
      </c>
      <c r="L153" s="508" t="s">
        <v>352</v>
      </c>
      <c r="M153" s="504"/>
      <c r="N153" s="777"/>
    </row>
    <row r="154" spans="1:14" x14ac:dyDescent="0.2">
      <c r="A154" s="502"/>
      <c r="B154" s="503"/>
      <c r="C154" s="504"/>
      <c r="D154" s="505"/>
      <c r="E154" s="506">
        <v>0</v>
      </c>
      <c r="F154" s="506">
        <v>0</v>
      </c>
      <c r="G154" s="506">
        <v>0</v>
      </c>
      <c r="H154" s="506">
        <v>0</v>
      </c>
      <c r="I154" s="504" t="s">
        <v>582</v>
      </c>
      <c r="J154" s="507" t="s">
        <v>280</v>
      </c>
      <c r="K154" s="508" t="s">
        <v>583</v>
      </c>
      <c r="L154" s="508" t="s">
        <v>584</v>
      </c>
      <c r="M154" s="504"/>
      <c r="N154" s="777" t="s">
        <v>585</v>
      </c>
    </row>
    <row r="155" spans="1:14" ht="25.5" x14ac:dyDescent="0.2">
      <c r="A155" s="502"/>
      <c r="B155" s="503"/>
      <c r="C155" s="504"/>
      <c r="D155" s="505"/>
      <c r="E155" s="506">
        <v>0</v>
      </c>
      <c r="F155" s="506">
        <v>0</v>
      </c>
      <c r="G155" s="506">
        <v>0</v>
      </c>
      <c r="H155" s="506">
        <v>0</v>
      </c>
      <c r="I155" s="504" t="s">
        <v>586</v>
      </c>
      <c r="J155" s="507" t="s">
        <v>280</v>
      </c>
      <c r="K155" s="508" t="s">
        <v>313</v>
      </c>
      <c r="L155" s="508" t="s">
        <v>313</v>
      </c>
      <c r="M155" s="504"/>
      <c r="N155" s="777" t="s">
        <v>587</v>
      </c>
    </row>
    <row r="156" spans="1:14" ht="38.25" x14ac:dyDescent="0.2">
      <c r="A156" s="502"/>
      <c r="B156" s="503"/>
      <c r="C156" s="504"/>
      <c r="D156" s="505"/>
      <c r="E156" s="506">
        <v>0</v>
      </c>
      <c r="F156" s="506">
        <v>0</v>
      </c>
      <c r="G156" s="506">
        <v>0</v>
      </c>
      <c r="H156" s="506">
        <v>0</v>
      </c>
      <c r="I156" s="504" t="s">
        <v>588</v>
      </c>
      <c r="J156" s="507" t="s">
        <v>316</v>
      </c>
      <c r="K156" s="508" t="s">
        <v>351</v>
      </c>
      <c r="L156" s="508" t="s">
        <v>351</v>
      </c>
      <c r="M156" s="504"/>
      <c r="N156" s="777" t="s">
        <v>589</v>
      </c>
    </row>
    <row r="157" spans="1:14" x14ac:dyDescent="0.2">
      <c r="A157" s="502"/>
      <c r="B157" s="503"/>
      <c r="C157" s="504"/>
      <c r="D157" s="505" t="s">
        <v>21</v>
      </c>
      <c r="E157" s="506">
        <v>526.29999999999995</v>
      </c>
      <c r="F157" s="506">
        <v>550</v>
      </c>
      <c r="G157" s="506">
        <v>389.1</v>
      </c>
      <c r="H157" s="506">
        <v>160.9</v>
      </c>
      <c r="I157" s="504"/>
      <c r="J157" s="507"/>
      <c r="K157" s="508"/>
      <c r="L157" s="508"/>
      <c r="M157" s="504"/>
      <c r="N157" s="777"/>
    </row>
    <row r="158" spans="1:14" ht="15.75" thickBot="1" x14ac:dyDescent="0.25">
      <c r="A158" s="502"/>
      <c r="B158" s="503"/>
      <c r="C158" s="504"/>
      <c r="D158" s="505" t="s">
        <v>53</v>
      </c>
      <c r="E158" s="506">
        <v>35.6</v>
      </c>
      <c r="F158" s="506">
        <v>35.6</v>
      </c>
      <c r="G158" s="506">
        <v>24.9</v>
      </c>
      <c r="H158" s="506">
        <v>10.7</v>
      </c>
      <c r="I158" s="504"/>
      <c r="J158" s="507"/>
      <c r="K158" s="508"/>
      <c r="L158" s="508"/>
      <c r="M158" s="504"/>
      <c r="N158" s="777"/>
    </row>
    <row r="159" spans="1:14" ht="51.75" thickBot="1" x14ac:dyDescent="0.25">
      <c r="A159" s="509" t="s">
        <v>590</v>
      </c>
      <c r="B159" s="510" t="s">
        <v>591</v>
      </c>
      <c r="C159" s="511"/>
      <c r="D159" s="512"/>
      <c r="E159" s="513">
        <f>E160+E175</f>
        <v>1659.1</v>
      </c>
      <c r="F159" s="513">
        <f>F160+F175</f>
        <v>2213.4</v>
      </c>
      <c r="G159" s="513">
        <f>G160+G175</f>
        <v>2116.8000000000002</v>
      </c>
      <c r="H159" s="513">
        <f>H160+H175</f>
        <v>96.6</v>
      </c>
      <c r="I159" s="511"/>
      <c r="J159" s="514"/>
      <c r="K159" s="515"/>
      <c r="L159" s="515"/>
      <c r="M159" s="511"/>
      <c r="N159" s="778"/>
    </row>
    <row r="160" spans="1:14" ht="51.75" thickBot="1" x14ac:dyDescent="0.25">
      <c r="A160" s="516" t="s">
        <v>592</v>
      </c>
      <c r="B160" s="517" t="s">
        <v>593</v>
      </c>
      <c r="C160" s="518" t="s">
        <v>594</v>
      </c>
      <c r="D160" s="519"/>
      <c r="E160" s="520">
        <f>E161+E166+E167+E168</f>
        <v>1623.8</v>
      </c>
      <c r="F160" s="520">
        <f>F161+F166+F167+F168</f>
        <v>2163.8000000000002</v>
      </c>
      <c r="G160" s="520">
        <f>G161+G166+G167+G168+0.1</f>
        <v>2067.6999999999998</v>
      </c>
      <c r="H160" s="520">
        <f>H161+H166+H167+H168-0.1</f>
        <v>96.1</v>
      </c>
      <c r="I160" s="518"/>
      <c r="J160" s="521"/>
      <c r="K160" s="522"/>
      <c r="L160" s="522"/>
      <c r="M160" s="518"/>
      <c r="N160" s="779"/>
    </row>
    <row r="161" spans="1:14" ht="120" x14ac:dyDescent="0.2">
      <c r="A161" s="516" t="s">
        <v>595</v>
      </c>
      <c r="B161" s="517" t="s">
        <v>596</v>
      </c>
      <c r="C161" s="518" t="s">
        <v>597</v>
      </c>
      <c r="D161" s="519"/>
      <c r="E161" s="520">
        <f>SUM(E162:E165)</f>
        <v>1396.7</v>
      </c>
      <c r="F161" s="520">
        <f>SUM(F162:F165)</f>
        <v>1936.7</v>
      </c>
      <c r="G161" s="520">
        <f>SUM(G162:G165)</f>
        <v>1851.5</v>
      </c>
      <c r="H161" s="520">
        <f>SUM(H162:H165)</f>
        <v>85.2</v>
      </c>
      <c r="I161" s="518" t="s">
        <v>598</v>
      </c>
      <c r="J161" s="521" t="s">
        <v>325</v>
      </c>
      <c r="K161" s="522" t="s">
        <v>599</v>
      </c>
      <c r="L161" s="522" t="s">
        <v>600</v>
      </c>
      <c r="M161" s="518"/>
      <c r="N161" s="779" t="s">
        <v>601</v>
      </c>
    </row>
    <row r="162" spans="1:14" x14ac:dyDescent="0.2">
      <c r="A162" s="502"/>
      <c r="B162" s="503"/>
      <c r="C162" s="504"/>
      <c r="D162" s="505"/>
      <c r="E162" s="506">
        <v>0</v>
      </c>
      <c r="F162" s="506">
        <v>0</v>
      </c>
      <c r="G162" s="506">
        <v>0</v>
      </c>
      <c r="H162" s="506">
        <v>0</v>
      </c>
      <c r="I162" s="504" t="s">
        <v>602</v>
      </c>
      <c r="J162" s="507" t="s">
        <v>280</v>
      </c>
      <c r="K162" s="508" t="s">
        <v>351</v>
      </c>
      <c r="L162" s="508" t="s">
        <v>351</v>
      </c>
      <c r="M162" s="504"/>
      <c r="N162" s="777" t="s">
        <v>386</v>
      </c>
    </row>
    <row r="163" spans="1:14" ht="270" x14ac:dyDescent="0.2">
      <c r="A163" s="502"/>
      <c r="B163" s="503"/>
      <c r="C163" s="504"/>
      <c r="D163" s="505"/>
      <c r="E163" s="506">
        <v>0</v>
      </c>
      <c r="F163" s="506">
        <v>0</v>
      </c>
      <c r="G163" s="506">
        <v>0</v>
      </c>
      <c r="H163" s="506">
        <v>0</v>
      </c>
      <c r="I163" s="504" t="s">
        <v>603</v>
      </c>
      <c r="J163" s="507" t="s">
        <v>280</v>
      </c>
      <c r="K163" s="508" t="s">
        <v>604</v>
      </c>
      <c r="L163" s="508" t="s">
        <v>604</v>
      </c>
      <c r="M163" s="504"/>
      <c r="N163" s="777" t="s">
        <v>605</v>
      </c>
    </row>
    <row r="164" spans="1:14" x14ac:dyDescent="0.2">
      <c r="A164" s="502"/>
      <c r="B164" s="503"/>
      <c r="C164" s="504"/>
      <c r="D164" s="505" t="s">
        <v>53</v>
      </c>
      <c r="E164" s="506">
        <v>296.7</v>
      </c>
      <c r="F164" s="506">
        <v>725.7</v>
      </c>
      <c r="G164" s="506">
        <v>640.5</v>
      </c>
      <c r="H164" s="506">
        <v>85.2</v>
      </c>
      <c r="I164" s="504"/>
      <c r="J164" s="507"/>
      <c r="K164" s="508"/>
      <c r="L164" s="508"/>
      <c r="M164" s="504"/>
      <c r="N164" s="777"/>
    </row>
    <row r="165" spans="1:14" ht="15.75" thickBot="1" x14ac:dyDescent="0.25">
      <c r="A165" s="502"/>
      <c r="B165" s="503"/>
      <c r="C165" s="504"/>
      <c r="D165" s="505" t="s">
        <v>21</v>
      </c>
      <c r="E165" s="506">
        <v>1100</v>
      </c>
      <c r="F165" s="506">
        <v>1211</v>
      </c>
      <c r="G165" s="506">
        <v>1211</v>
      </c>
      <c r="H165" s="506">
        <v>0</v>
      </c>
      <c r="I165" s="504"/>
      <c r="J165" s="507"/>
      <c r="K165" s="508"/>
      <c r="L165" s="508"/>
      <c r="M165" s="504"/>
      <c r="N165" s="777"/>
    </row>
    <row r="166" spans="1:14" ht="64.5" thickBot="1" x14ac:dyDescent="0.25">
      <c r="A166" s="516" t="s">
        <v>606</v>
      </c>
      <c r="B166" s="517" t="s">
        <v>607</v>
      </c>
      <c r="C166" s="518" t="s">
        <v>608</v>
      </c>
      <c r="D166" s="519" t="s">
        <v>21</v>
      </c>
      <c r="E166" s="523">
        <v>2.1</v>
      </c>
      <c r="F166" s="523">
        <v>2.1</v>
      </c>
      <c r="G166" s="523">
        <v>2.1</v>
      </c>
      <c r="H166" s="523">
        <v>0</v>
      </c>
      <c r="I166" s="518" t="s">
        <v>609</v>
      </c>
      <c r="J166" s="521" t="s">
        <v>280</v>
      </c>
      <c r="K166" s="522" t="s">
        <v>313</v>
      </c>
      <c r="L166" s="522" t="s">
        <v>313</v>
      </c>
      <c r="M166" s="518"/>
      <c r="N166" s="779" t="s">
        <v>610</v>
      </c>
    </row>
    <row r="167" spans="1:14" ht="64.5" thickBot="1" x14ac:dyDescent="0.25">
      <c r="A167" s="516" t="s">
        <v>611</v>
      </c>
      <c r="B167" s="517" t="s">
        <v>612</v>
      </c>
      <c r="C167" s="518" t="s">
        <v>613</v>
      </c>
      <c r="D167" s="519" t="s">
        <v>21</v>
      </c>
      <c r="E167" s="523">
        <v>24.9</v>
      </c>
      <c r="F167" s="523">
        <v>24.9</v>
      </c>
      <c r="G167" s="523">
        <v>24.8</v>
      </c>
      <c r="H167" s="523">
        <v>0.1</v>
      </c>
      <c r="I167" s="518" t="s">
        <v>614</v>
      </c>
      <c r="J167" s="521" t="s">
        <v>280</v>
      </c>
      <c r="K167" s="522" t="s">
        <v>313</v>
      </c>
      <c r="L167" s="522" t="s">
        <v>313</v>
      </c>
      <c r="M167" s="518"/>
      <c r="N167" s="779" t="s">
        <v>615</v>
      </c>
    </row>
    <row r="168" spans="1:14" ht="63.75" x14ac:dyDescent="0.2">
      <c r="A168" s="516" t="s">
        <v>616</v>
      </c>
      <c r="B168" s="517" t="s">
        <v>617</v>
      </c>
      <c r="C168" s="518" t="s">
        <v>613</v>
      </c>
      <c r="D168" s="519"/>
      <c r="E168" s="520">
        <f>SUM(E169:E174)</f>
        <v>200.1</v>
      </c>
      <c r="F168" s="520">
        <f>SUM(F169:F174)</f>
        <v>200.1</v>
      </c>
      <c r="G168" s="520">
        <f>SUM(G169:G174)</f>
        <v>189.2</v>
      </c>
      <c r="H168" s="520">
        <f>SUM(H169:H174)</f>
        <v>10.9</v>
      </c>
      <c r="I168" s="518" t="s">
        <v>618</v>
      </c>
      <c r="J168" s="521" t="s">
        <v>280</v>
      </c>
      <c r="K168" s="522" t="s">
        <v>281</v>
      </c>
      <c r="L168" s="522" t="s">
        <v>310</v>
      </c>
      <c r="M168" s="518"/>
      <c r="N168" s="779" t="s">
        <v>619</v>
      </c>
    </row>
    <row r="169" spans="1:14" ht="45" x14ac:dyDescent="0.2">
      <c r="A169" s="502"/>
      <c r="B169" s="503"/>
      <c r="C169" s="504"/>
      <c r="D169" s="505"/>
      <c r="E169" s="506">
        <v>0</v>
      </c>
      <c r="F169" s="506">
        <v>0</v>
      </c>
      <c r="G169" s="506">
        <v>0</v>
      </c>
      <c r="H169" s="506">
        <v>0</v>
      </c>
      <c r="I169" s="504" t="s">
        <v>620</v>
      </c>
      <c r="J169" s="507" t="s">
        <v>280</v>
      </c>
      <c r="K169" s="508" t="s">
        <v>621</v>
      </c>
      <c r="L169" s="508" t="s">
        <v>414</v>
      </c>
      <c r="M169" s="504"/>
      <c r="N169" s="777" t="s">
        <v>622</v>
      </c>
    </row>
    <row r="170" spans="1:14" ht="30" x14ac:dyDescent="0.2">
      <c r="A170" s="502"/>
      <c r="B170" s="503"/>
      <c r="C170" s="504"/>
      <c r="D170" s="505"/>
      <c r="E170" s="506">
        <v>0</v>
      </c>
      <c r="F170" s="506">
        <v>0</v>
      </c>
      <c r="G170" s="506">
        <v>0</v>
      </c>
      <c r="H170" s="506">
        <v>0</v>
      </c>
      <c r="I170" s="504" t="s">
        <v>623</v>
      </c>
      <c r="J170" s="507" t="s">
        <v>280</v>
      </c>
      <c r="K170" s="508" t="s">
        <v>281</v>
      </c>
      <c r="L170" s="508" t="s">
        <v>281</v>
      </c>
      <c r="M170" s="504"/>
      <c r="N170" s="777" t="s">
        <v>624</v>
      </c>
    </row>
    <row r="171" spans="1:14" ht="38.25" x14ac:dyDescent="0.2">
      <c r="A171" s="502"/>
      <c r="B171" s="503"/>
      <c r="C171" s="504"/>
      <c r="D171" s="505"/>
      <c r="E171" s="506">
        <v>0</v>
      </c>
      <c r="F171" s="506">
        <v>0</v>
      </c>
      <c r="G171" s="506">
        <v>0</v>
      </c>
      <c r="H171" s="506">
        <v>0</v>
      </c>
      <c r="I171" s="504" t="s">
        <v>625</v>
      </c>
      <c r="J171" s="507" t="s">
        <v>280</v>
      </c>
      <c r="K171" s="508" t="s">
        <v>329</v>
      </c>
      <c r="L171" s="508" t="s">
        <v>621</v>
      </c>
      <c r="M171" s="504"/>
      <c r="N171" s="777" t="s">
        <v>626</v>
      </c>
    </row>
    <row r="172" spans="1:14" ht="45" x14ac:dyDescent="0.2">
      <c r="A172" s="502"/>
      <c r="B172" s="503"/>
      <c r="C172" s="504"/>
      <c r="D172" s="505"/>
      <c r="E172" s="506">
        <v>0</v>
      </c>
      <c r="F172" s="506">
        <v>0</v>
      </c>
      <c r="G172" s="506">
        <v>0</v>
      </c>
      <c r="H172" s="506">
        <v>0</v>
      </c>
      <c r="I172" s="504" t="s">
        <v>627</v>
      </c>
      <c r="J172" s="507" t="s">
        <v>280</v>
      </c>
      <c r="K172" s="508" t="s">
        <v>317</v>
      </c>
      <c r="L172" s="508" t="s">
        <v>628</v>
      </c>
      <c r="M172" s="504"/>
      <c r="N172" s="777" t="s">
        <v>629</v>
      </c>
    </row>
    <row r="173" spans="1:14" x14ac:dyDescent="0.2">
      <c r="A173" s="502"/>
      <c r="B173" s="503"/>
      <c r="C173" s="504"/>
      <c r="D173" s="505" t="s">
        <v>53</v>
      </c>
      <c r="E173" s="506">
        <v>35.1</v>
      </c>
      <c r="F173" s="506">
        <v>35.1</v>
      </c>
      <c r="G173" s="506">
        <v>35.1</v>
      </c>
      <c r="H173" s="506">
        <v>0</v>
      </c>
      <c r="I173" s="504"/>
      <c r="J173" s="507"/>
      <c r="K173" s="508"/>
      <c r="L173" s="508"/>
      <c r="M173" s="504"/>
      <c r="N173" s="777"/>
    </row>
    <row r="174" spans="1:14" ht="15.75" thickBot="1" x14ac:dyDescent="0.25">
      <c r="A174" s="502"/>
      <c r="B174" s="503"/>
      <c r="C174" s="504"/>
      <c r="D174" s="505" t="s">
        <v>21</v>
      </c>
      <c r="E174" s="506">
        <v>165</v>
      </c>
      <c r="F174" s="506">
        <v>165</v>
      </c>
      <c r="G174" s="506">
        <v>154.1</v>
      </c>
      <c r="H174" s="506">
        <v>10.9</v>
      </c>
      <c r="I174" s="504"/>
      <c r="J174" s="507"/>
      <c r="K174" s="508"/>
      <c r="L174" s="508"/>
      <c r="M174" s="504"/>
      <c r="N174" s="777"/>
    </row>
    <row r="175" spans="1:14" ht="51.75" thickBot="1" x14ac:dyDescent="0.25">
      <c r="A175" s="516" t="s">
        <v>630</v>
      </c>
      <c r="B175" s="517" t="s">
        <v>631</v>
      </c>
      <c r="C175" s="518" t="s">
        <v>496</v>
      </c>
      <c r="D175" s="519"/>
      <c r="E175" s="520">
        <f>SUM(E176:E183)</f>
        <v>35.299999999999997</v>
      </c>
      <c r="F175" s="520">
        <f>SUM(F176:F183)</f>
        <v>49.6</v>
      </c>
      <c r="G175" s="520">
        <f>SUM(G176:G183)</f>
        <v>49.1</v>
      </c>
      <c r="H175" s="520">
        <f>SUM(H176:H183)</f>
        <v>0.5</v>
      </c>
      <c r="I175" s="518"/>
      <c r="J175" s="521"/>
      <c r="K175" s="522"/>
      <c r="L175" s="522"/>
      <c r="M175" s="518"/>
      <c r="N175" s="779"/>
    </row>
    <row r="176" spans="1:14" ht="64.5" thickBot="1" x14ac:dyDescent="0.25">
      <c r="A176" s="516" t="s">
        <v>632</v>
      </c>
      <c r="B176" s="517" t="s">
        <v>633</v>
      </c>
      <c r="C176" s="518" t="s">
        <v>498</v>
      </c>
      <c r="D176" s="519" t="s">
        <v>21</v>
      </c>
      <c r="E176" s="523">
        <v>4</v>
      </c>
      <c r="F176" s="523">
        <v>4</v>
      </c>
      <c r="G176" s="523">
        <v>4</v>
      </c>
      <c r="H176" s="523">
        <v>0</v>
      </c>
      <c r="I176" s="518" t="s">
        <v>634</v>
      </c>
      <c r="J176" s="521" t="s">
        <v>302</v>
      </c>
      <c r="K176" s="522" t="s">
        <v>313</v>
      </c>
      <c r="L176" s="522" t="s">
        <v>313</v>
      </c>
      <c r="M176" s="518" t="s">
        <v>635</v>
      </c>
      <c r="N176" s="779" t="s">
        <v>636</v>
      </c>
    </row>
    <row r="177" spans="1:14" ht="64.5" thickBot="1" x14ac:dyDescent="0.25">
      <c r="A177" s="516" t="s">
        <v>637</v>
      </c>
      <c r="B177" s="517" t="s">
        <v>638</v>
      </c>
      <c r="C177" s="518" t="s">
        <v>498</v>
      </c>
      <c r="D177" s="519" t="s">
        <v>21</v>
      </c>
      <c r="E177" s="523">
        <v>3.6</v>
      </c>
      <c r="F177" s="523">
        <v>3.6</v>
      </c>
      <c r="G177" s="523">
        <v>3.6</v>
      </c>
      <c r="H177" s="523">
        <v>0</v>
      </c>
      <c r="I177" s="518" t="s">
        <v>634</v>
      </c>
      <c r="J177" s="521" t="s">
        <v>302</v>
      </c>
      <c r="K177" s="522" t="s">
        <v>313</v>
      </c>
      <c r="L177" s="522" t="s">
        <v>313</v>
      </c>
      <c r="M177" s="518"/>
      <c r="N177" s="779"/>
    </row>
    <row r="178" spans="1:14" ht="64.5" thickBot="1" x14ac:dyDescent="0.25">
      <c r="A178" s="516" t="s">
        <v>639</v>
      </c>
      <c r="B178" s="517" t="s">
        <v>640</v>
      </c>
      <c r="C178" s="518" t="s">
        <v>498</v>
      </c>
      <c r="D178" s="519" t="s">
        <v>21</v>
      </c>
      <c r="E178" s="523">
        <v>4</v>
      </c>
      <c r="F178" s="523">
        <v>4</v>
      </c>
      <c r="G178" s="523">
        <v>4</v>
      </c>
      <c r="H178" s="523">
        <v>0</v>
      </c>
      <c r="I178" s="518" t="s">
        <v>641</v>
      </c>
      <c r="J178" s="521" t="s">
        <v>316</v>
      </c>
      <c r="K178" s="522" t="s">
        <v>313</v>
      </c>
      <c r="L178" s="522" t="s">
        <v>313</v>
      </c>
      <c r="M178" s="518"/>
      <c r="N178" s="779" t="s">
        <v>636</v>
      </c>
    </row>
    <row r="179" spans="1:14" ht="64.5" thickBot="1" x14ac:dyDescent="0.25">
      <c r="A179" s="516" t="s">
        <v>642</v>
      </c>
      <c r="B179" s="517" t="s">
        <v>643</v>
      </c>
      <c r="C179" s="518" t="s">
        <v>498</v>
      </c>
      <c r="D179" s="519" t="s">
        <v>21</v>
      </c>
      <c r="E179" s="523">
        <v>3</v>
      </c>
      <c r="F179" s="523">
        <v>3</v>
      </c>
      <c r="G179" s="523">
        <v>3</v>
      </c>
      <c r="H179" s="523">
        <v>0</v>
      </c>
      <c r="I179" s="518" t="s">
        <v>641</v>
      </c>
      <c r="J179" s="521" t="s">
        <v>316</v>
      </c>
      <c r="K179" s="522" t="s">
        <v>313</v>
      </c>
      <c r="L179" s="522" t="s">
        <v>313</v>
      </c>
      <c r="M179" s="518"/>
      <c r="N179" s="779"/>
    </row>
    <row r="180" spans="1:14" ht="64.5" thickBot="1" x14ac:dyDescent="0.25">
      <c r="A180" s="516" t="s">
        <v>644</v>
      </c>
      <c r="B180" s="517" t="s">
        <v>230</v>
      </c>
      <c r="C180" s="518" t="s">
        <v>498</v>
      </c>
      <c r="D180" s="519" t="s">
        <v>21</v>
      </c>
      <c r="E180" s="523">
        <v>3.2</v>
      </c>
      <c r="F180" s="523">
        <v>3.2</v>
      </c>
      <c r="G180" s="523">
        <v>3.2</v>
      </c>
      <c r="H180" s="523">
        <v>0</v>
      </c>
      <c r="I180" s="518" t="s">
        <v>641</v>
      </c>
      <c r="J180" s="521" t="s">
        <v>316</v>
      </c>
      <c r="K180" s="522" t="s">
        <v>313</v>
      </c>
      <c r="L180" s="522" t="s">
        <v>313</v>
      </c>
      <c r="M180" s="518"/>
      <c r="N180" s="779" t="s">
        <v>645</v>
      </c>
    </row>
    <row r="181" spans="1:14" ht="64.5" thickBot="1" x14ac:dyDescent="0.25">
      <c r="A181" s="516" t="s">
        <v>646</v>
      </c>
      <c r="B181" s="517" t="s">
        <v>647</v>
      </c>
      <c r="C181" s="518" t="s">
        <v>498</v>
      </c>
      <c r="D181" s="519" t="s">
        <v>21</v>
      </c>
      <c r="E181" s="523">
        <v>17.5</v>
      </c>
      <c r="F181" s="523">
        <v>17.5</v>
      </c>
      <c r="G181" s="523">
        <v>17.399999999999999</v>
      </c>
      <c r="H181" s="523">
        <v>0.1</v>
      </c>
      <c r="I181" s="518" t="s">
        <v>641</v>
      </c>
      <c r="J181" s="521" t="s">
        <v>316</v>
      </c>
      <c r="K181" s="522" t="s">
        <v>313</v>
      </c>
      <c r="L181" s="522" t="s">
        <v>313</v>
      </c>
      <c r="M181" s="518"/>
      <c r="N181" s="779"/>
    </row>
    <row r="182" spans="1:14" ht="64.5" thickBot="1" x14ac:dyDescent="0.25">
      <c r="A182" s="516" t="s">
        <v>648</v>
      </c>
      <c r="B182" s="517" t="s">
        <v>649</v>
      </c>
      <c r="C182" s="518" t="s">
        <v>498</v>
      </c>
      <c r="D182" s="519" t="s">
        <v>21</v>
      </c>
      <c r="E182" s="523">
        <v>0</v>
      </c>
      <c r="F182" s="523">
        <v>3</v>
      </c>
      <c r="G182" s="523">
        <v>2.6</v>
      </c>
      <c r="H182" s="523">
        <v>0.4</v>
      </c>
      <c r="I182" s="518" t="s">
        <v>641</v>
      </c>
      <c r="J182" s="521" t="s">
        <v>316</v>
      </c>
      <c r="K182" s="522" t="s">
        <v>313</v>
      </c>
      <c r="L182" s="522" t="s">
        <v>313</v>
      </c>
      <c r="M182" s="518"/>
      <c r="N182" s="779"/>
    </row>
    <row r="183" spans="1:14" ht="64.5" thickBot="1" x14ac:dyDescent="0.25">
      <c r="A183" s="516" t="s">
        <v>650</v>
      </c>
      <c r="B183" s="517" t="s">
        <v>651</v>
      </c>
      <c r="C183" s="518" t="s">
        <v>498</v>
      </c>
      <c r="D183" s="519" t="s">
        <v>21</v>
      </c>
      <c r="E183" s="523">
        <v>0</v>
      </c>
      <c r="F183" s="523">
        <v>11.3</v>
      </c>
      <c r="G183" s="523">
        <v>11.3</v>
      </c>
      <c r="H183" s="523">
        <v>0</v>
      </c>
      <c r="I183" s="518" t="s">
        <v>641</v>
      </c>
      <c r="J183" s="521" t="s">
        <v>316</v>
      </c>
      <c r="K183" s="522" t="s">
        <v>313</v>
      </c>
      <c r="L183" s="522" t="s">
        <v>313</v>
      </c>
      <c r="M183" s="518"/>
      <c r="N183" s="779"/>
    </row>
    <row r="184" spans="1:14" ht="39" thickBot="1" x14ac:dyDescent="0.25">
      <c r="A184" s="509" t="s">
        <v>652</v>
      </c>
      <c r="B184" s="510" t="s">
        <v>653</v>
      </c>
      <c r="C184" s="511"/>
      <c r="D184" s="512"/>
      <c r="E184" s="513">
        <f>E185+E189+E192</f>
        <v>390.7</v>
      </c>
      <c r="F184" s="513">
        <f>F185+F189+F192</f>
        <v>312.60000000000002</v>
      </c>
      <c r="G184" s="513">
        <f>G185+G189+G192</f>
        <v>134.5</v>
      </c>
      <c r="H184" s="513">
        <f>H185+H189+H192</f>
        <v>178.1</v>
      </c>
      <c r="I184" s="511"/>
      <c r="J184" s="514"/>
      <c r="K184" s="515"/>
      <c r="L184" s="515"/>
      <c r="M184" s="511"/>
      <c r="N184" s="778"/>
    </row>
    <row r="185" spans="1:14" ht="51.75" thickBot="1" x14ac:dyDescent="0.25">
      <c r="A185" s="516" t="s">
        <v>654</v>
      </c>
      <c r="B185" s="517" t="s">
        <v>655</v>
      </c>
      <c r="C185" s="518" t="s">
        <v>293</v>
      </c>
      <c r="D185" s="519"/>
      <c r="E185" s="520">
        <f>SUM(E186:E186)</f>
        <v>323.89999999999998</v>
      </c>
      <c r="F185" s="520">
        <f>SUM(F186:F186)</f>
        <v>245.8</v>
      </c>
      <c r="G185" s="520">
        <f>SUM(G186:G186)</f>
        <v>96</v>
      </c>
      <c r="H185" s="520">
        <f>SUM(H186:H186)</f>
        <v>149.80000000000001</v>
      </c>
      <c r="I185" s="518"/>
      <c r="J185" s="521"/>
      <c r="K185" s="522"/>
      <c r="L185" s="522"/>
      <c r="M185" s="518"/>
      <c r="N185" s="779"/>
    </row>
    <row r="186" spans="1:14" ht="285" x14ac:dyDescent="0.2">
      <c r="A186" s="516" t="s">
        <v>656</v>
      </c>
      <c r="B186" s="517" t="s">
        <v>144</v>
      </c>
      <c r="C186" s="518" t="s">
        <v>657</v>
      </c>
      <c r="D186" s="519"/>
      <c r="E186" s="520">
        <f>SUM(E187:E188)</f>
        <v>323.89999999999998</v>
      </c>
      <c r="F186" s="520">
        <f>SUM(F187:F188)</f>
        <v>245.8</v>
      </c>
      <c r="G186" s="520">
        <f>SUM(G187:G188)</f>
        <v>96</v>
      </c>
      <c r="H186" s="520">
        <f>SUM(H187:H188)</f>
        <v>149.80000000000001</v>
      </c>
      <c r="I186" s="518" t="s">
        <v>658</v>
      </c>
      <c r="J186" s="521" t="s">
        <v>325</v>
      </c>
      <c r="K186" s="522" t="s">
        <v>659</v>
      </c>
      <c r="L186" s="522" t="s">
        <v>660</v>
      </c>
      <c r="M186" s="518"/>
      <c r="N186" s="779" t="s">
        <v>661</v>
      </c>
    </row>
    <row r="187" spans="1:14" x14ac:dyDescent="0.2">
      <c r="A187" s="502"/>
      <c r="B187" s="503"/>
      <c r="C187" s="504"/>
      <c r="D187" s="505" t="s">
        <v>53</v>
      </c>
      <c r="E187" s="506">
        <v>223.9</v>
      </c>
      <c r="F187" s="506">
        <v>223.9</v>
      </c>
      <c r="G187" s="506">
        <v>96</v>
      </c>
      <c r="H187" s="506">
        <v>127.9</v>
      </c>
      <c r="I187" s="504"/>
      <c r="J187" s="507"/>
      <c r="K187" s="508"/>
      <c r="L187" s="508"/>
      <c r="M187" s="504"/>
      <c r="N187" s="777"/>
    </row>
    <row r="188" spans="1:14" ht="15.75" thickBot="1" x14ac:dyDescent="0.25">
      <c r="A188" s="502"/>
      <c r="B188" s="503"/>
      <c r="C188" s="504"/>
      <c r="D188" s="505" t="s">
        <v>21</v>
      </c>
      <c r="E188" s="506">
        <v>100</v>
      </c>
      <c r="F188" s="506">
        <v>21.9</v>
      </c>
      <c r="G188" s="506">
        <v>0</v>
      </c>
      <c r="H188" s="506">
        <v>21.9</v>
      </c>
      <c r="I188" s="504"/>
      <c r="J188" s="507"/>
      <c r="K188" s="508"/>
      <c r="L188" s="508"/>
      <c r="M188" s="504"/>
      <c r="N188" s="777"/>
    </row>
    <row r="189" spans="1:14" ht="51.75" thickBot="1" x14ac:dyDescent="0.25">
      <c r="A189" s="516" t="s">
        <v>662</v>
      </c>
      <c r="B189" s="517" t="s">
        <v>663</v>
      </c>
      <c r="C189" s="518" t="s">
        <v>515</v>
      </c>
      <c r="D189" s="519"/>
      <c r="E189" s="520">
        <f t="shared" ref="E189:H190" si="0">SUM(E190:E190)</f>
        <v>46.8</v>
      </c>
      <c r="F189" s="520">
        <f t="shared" si="0"/>
        <v>46.8</v>
      </c>
      <c r="G189" s="520">
        <f t="shared" si="0"/>
        <v>20.8</v>
      </c>
      <c r="H189" s="520">
        <f t="shared" si="0"/>
        <v>26</v>
      </c>
      <c r="I189" s="518"/>
      <c r="J189" s="521"/>
      <c r="K189" s="522"/>
      <c r="L189" s="522"/>
      <c r="M189" s="518"/>
      <c r="N189" s="779"/>
    </row>
    <row r="190" spans="1:14" ht="255" x14ac:dyDescent="0.2">
      <c r="A190" s="516" t="s">
        <v>664</v>
      </c>
      <c r="B190" s="517" t="s">
        <v>663</v>
      </c>
      <c r="C190" s="518" t="s">
        <v>665</v>
      </c>
      <c r="D190" s="519"/>
      <c r="E190" s="520">
        <f t="shared" si="0"/>
        <v>46.8</v>
      </c>
      <c r="F190" s="520">
        <f t="shared" si="0"/>
        <v>46.8</v>
      </c>
      <c r="G190" s="520">
        <f t="shared" si="0"/>
        <v>20.8</v>
      </c>
      <c r="H190" s="520">
        <f t="shared" si="0"/>
        <v>26</v>
      </c>
      <c r="I190" s="518" t="s">
        <v>364</v>
      </c>
      <c r="J190" s="521" t="s">
        <v>280</v>
      </c>
      <c r="K190" s="522" t="s">
        <v>313</v>
      </c>
      <c r="L190" s="522" t="s">
        <v>282</v>
      </c>
      <c r="M190" s="518"/>
      <c r="N190" s="779" t="s">
        <v>666</v>
      </c>
    </row>
    <row r="191" spans="1:14" ht="15.75" thickBot="1" x14ac:dyDescent="0.25">
      <c r="A191" s="502"/>
      <c r="B191" s="503"/>
      <c r="C191" s="504"/>
      <c r="D191" s="505" t="s">
        <v>53</v>
      </c>
      <c r="E191" s="506">
        <v>46.8</v>
      </c>
      <c r="F191" s="506">
        <v>46.8</v>
      </c>
      <c r="G191" s="506">
        <v>20.8</v>
      </c>
      <c r="H191" s="506">
        <v>26</v>
      </c>
      <c r="I191" s="504"/>
      <c r="J191" s="507"/>
      <c r="K191" s="508"/>
      <c r="L191" s="508"/>
      <c r="M191" s="504"/>
      <c r="N191" s="777"/>
    </row>
    <row r="192" spans="1:14" ht="51.75" thickBot="1" x14ac:dyDescent="0.25">
      <c r="A192" s="516" t="s">
        <v>667</v>
      </c>
      <c r="B192" s="517" t="s">
        <v>668</v>
      </c>
      <c r="C192" s="518" t="s">
        <v>669</v>
      </c>
      <c r="D192" s="519"/>
      <c r="E192" s="520">
        <f>SUM(E193:E193)</f>
        <v>20</v>
      </c>
      <c r="F192" s="520">
        <f>SUM(F193:F193)</f>
        <v>20</v>
      </c>
      <c r="G192" s="520">
        <f>SUM(G193:G193)</f>
        <v>17.7</v>
      </c>
      <c r="H192" s="520">
        <f>SUM(H193:H193)</f>
        <v>2.2999999999999998</v>
      </c>
      <c r="I192" s="518"/>
      <c r="J192" s="521"/>
      <c r="K192" s="522"/>
      <c r="L192" s="522"/>
      <c r="M192" s="518"/>
      <c r="N192" s="779"/>
    </row>
    <row r="193" spans="1:14" ht="64.5" thickBot="1" x14ac:dyDescent="0.25">
      <c r="A193" s="524" t="s">
        <v>670</v>
      </c>
      <c r="B193" s="525" t="s">
        <v>668</v>
      </c>
      <c r="C193" s="526"/>
      <c r="D193" s="527" t="s">
        <v>21</v>
      </c>
      <c r="E193" s="528">
        <v>20</v>
      </c>
      <c r="F193" s="528">
        <v>20</v>
      </c>
      <c r="G193" s="528">
        <v>17.7</v>
      </c>
      <c r="H193" s="528">
        <v>2.2999999999999998</v>
      </c>
      <c r="I193" s="526" t="s">
        <v>658</v>
      </c>
      <c r="J193" s="529" t="s">
        <v>325</v>
      </c>
      <c r="K193" s="530" t="s">
        <v>584</v>
      </c>
      <c r="L193" s="530" t="s">
        <v>282</v>
      </c>
      <c r="M193" s="526"/>
      <c r="N193" s="780" t="s">
        <v>671</v>
      </c>
    </row>
    <row r="194" spans="1:14" x14ac:dyDescent="0.2">
      <c r="A194" s="531"/>
      <c r="B194" s="531"/>
      <c r="C194" s="532"/>
      <c r="D194" s="533"/>
      <c r="E194" s="534"/>
      <c r="F194" s="534"/>
      <c r="G194" s="534"/>
      <c r="H194" s="534"/>
      <c r="I194" s="532"/>
      <c r="J194" s="535"/>
      <c r="K194" s="536"/>
      <c r="L194" s="536"/>
      <c r="M194" s="532"/>
      <c r="N194" s="781"/>
    </row>
    <row r="195" spans="1:14" x14ac:dyDescent="0.2">
      <c r="A195" s="531"/>
      <c r="B195" s="531"/>
      <c r="C195" s="532"/>
      <c r="D195" s="533"/>
      <c r="E195" s="534"/>
      <c r="F195" s="534"/>
      <c r="G195" s="534"/>
      <c r="H195" s="534"/>
      <c r="I195" s="532"/>
      <c r="J195" s="535"/>
      <c r="K195" s="536"/>
      <c r="L195" s="536"/>
      <c r="M195" s="532"/>
      <c r="N195" s="781"/>
    </row>
    <row r="196" spans="1:14" x14ac:dyDescent="0.2">
      <c r="A196" s="531"/>
      <c r="B196" s="531"/>
      <c r="C196" s="532"/>
      <c r="D196" s="533"/>
      <c r="E196" s="534"/>
      <c r="F196" s="534"/>
      <c r="G196" s="534"/>
      <c r="H196" s="534"/>
      <c r="I196" s="532"/>
      <c r="J196" s="535"/>
      <c r="K196" s="536"/>
      <c r="L196" s="536"/>
      <c r="M196" s="532"/>
      <c r="N196" s="781"/>
    </row>
    <row r="197" spans="1:14" x14ac:dyDescent="0.2">
      <c r="A197" s="531"/>
      <c r="B197" s="531"/>
      <c r="C197" s="532"/>
      <c r="D197" s="533"/>
      <c r="E197" s="534"/>
      <c r="F197" s="534"/>
      <c r="G197" s="534"/>
      <c r="H197" s="534"/>
      <c r="I197" s="532"/>
      <c r="J197" s="535"/>
      <c r="K197" s="536"/>
      <c r="L197" s="536"/>
      <c r="M197" s="532"/>
      <c r="N197" s="781"/>
    </row>
    <row r="198" spans="1:14" x14ac:dyDescent="0.2">
      <c r="A198" s="531"/>
      <c r="B198" s="531"/>
      <c r="C198" s="532"/>
      <c r="D198" s="533"/>
      <c r="E198" s="534"/>
      <c r="F198" s="534"/>
      <c r="G198" s="534"/>
      <c r="H198" s="534"/>
      <c r="I198" s="532"/>
      <c r="J198" s="535"/>
      <c r="K198" s="536"/>
      <c r="L198" s="536"/>
      <c r="M198" s="532"/>
      <c r="N198" s="781"/>
    </row>
    <row r="199" spans="1:14" ht="63.75" x14ac:dyDescent="0.25">
      <c r="A199" s="483" t="s">
        <v>259</v>
      </c>
      <c r="B199" s="483" t="s">
        <v>260</v>
      </c>
      <c r="C199" s="483" t="s">
        <v>263</v>
      </c>
      <c r="D199" s="484" t="s">
        <v>264</v>
      </c>
      <c r="E199" s="483" t="s">
        <v>265</v>
      </c>
      <c r="F199" s="483" t="s">
        <v>266</v>
      </c>
    </row>
    <row r="200" spans="1:14" ht="25.5" x14ac:dyDescent="0.25">
      <c r="A200" s="503" t="s">
        <v>53</v>
      </c>
      <c r="B200" s="503" t="s">
        <v>672</v>
      </c>
      <c r="C200" s="506">
        <v>2863.8</v>
      </c>
      <c r="D200" s="537">
        <v>2801.2</v>
      </c>
      <c r="E200" s="506">
        <v>2015</v>
      </c>
      <c r="F200" s="506">
        <v>786.2</v>
      </c>
    </row>
    <row r="201" spans="1:14" ht="25.5" x14ac:dyDescent="0.25">
      <c r="A201" s="503" t="s">
        <v>36</v>
      </c>
      <c r="B201" s="503" t="s">
        <v>673</v>
      </c>
      <c r="C201" s="506">
        <v>34.700000000000003</v>
      </c>
      <c r="D201" s="537">
        <v>34.700000000000003</v>
      </c>
      <c r="E201" s="506">
        <v>31.9</v>
      </c>
      <c r="F201" s="506">
        <v>2.8</v>
      </c>
    </row>
    <row r="202" spans="1:14" ht="38.25" x14ac:dyDescent="0.25">
      <c r="A202" s="503" t="s">
        <v>70</v>
      </c>
      <c r="B202" s="503" t="s">
        <v>674</v>
      </c>
      <c r="C202" s="506">
        <v>4.4000000000000004</v>
      </c>
      <c r="D202" s="537">
        <v>4.4000000000000004</v>
      </c>
      <c r="E202" s="506">
        <v>4.4000000000000004</v>
      </c>
      <c r="F202" s="506">
        <v>0</v>
      </c>
    </row>
    <row r="203" spans="1:14" x14ac:dyDescent="0.25">
      <c r="A203" s="503" t="s">
        <v>390</v>
      </c>
      <c r="B203" s="503" t="s">
        <v>675</v>
      </c>
      <c r="C203" s="506">
        <v>0</v>
      </c>
      <c r="D203" s="537">
        <v>44.2</v>
      </c>
      <c r="E203" s="506">
        <v>44.2</v>
      </c>
      <c r="F203" s="506">
        <v>0</v>
      </c>
    </row>
    <row r="204" spans="1:14" x14ac:dyDescent="0.25">
      <c r="A204" s="503" t="s">
        <v>21</v>
      </c>
      <c r="B204" s="503" t="s">
        <v>676</v>
      </c>
      <c r="C204" s="506">
        <v>9993.6</v>
      </c>
      <c r="D204" s="537">
        <v>9056.6</v>
      </c>
      <c r="E204" s="506">
        <v>8270.2000000000007</v>
      </c>
      <c r="F204" s="506">
        <v>786.4</v>
      </c>
    </row>
    <row r="205" spans="1:14" ht="25.5" x14ac:dyDescent="0.25">
      <c r="A205" s="503" t="s">
        <v>173</v>
      </c>
      <c r="B205" s="503" t="s">
        <v>677</v>
      </c>
      <c r="C205" s="506">
        <v>2026.1</v>
      </c>
      <c r="D205" s="537">
        <v>10.3</v>
      </c>
      <c r="E205" s="506">
        <v>9.9</v>
      </c>
      <c r="F205" s="506">
        <v>0.4</v>
      </c>
    </row>
    <row r="206" spans="1:14" x14ac:dyDescent="0.25">
      <c r="A206" s="538"/>
      <c r="B206" s="539" t="s">
        <v>14</v>
      </c>
      <c r="C206" s="540">
        <f>SUM(C200:C205)</f>
        <v>14922.6</v>
      </c>
      <c r="D206" s="541">
        <f>SUM(D200:D205)</f>
        <v>11951.4</v>
      </c>
      <c r="E206" s="540">
        <f>SUM(E200:E205)</f>
        <v>10375.6</v>
      </c>
      <c r="F206" s="540">
        <f>SUM(F200:F205)</f>
        <v>1575.8</v>
      </c>
    </row>
  </sheetData>
  <pageMargins left="0" right="0" top="0.39370078740157483" bottom="0.19685039370078741"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44"/>
  <sheetViews>
    <sheetView topLeftCell="A142" workbookViewId="0">
      <selection activeCell="S135" sqref="S135"/>
    </sheetView>
  </sheetViews>
  <sheetFormatPr defaultColWidth="9.140625" defaultRowHeight="12.75" x14ac:dyDescent="0.2"/>
  <cols>
    <col min="1" max="4" width="2.7109375" style="4" customWidth="1"/>
    <col min="5" max="5" width="32" style="4" customWidth="1"/>
    <col min="6" max="6" width="3.28515625" style="11" customWidth="1"/>
    <col min="7" max="7" width="3.28515625" style="14" customWidth="1"/>
    <col min="8" max="8" width="11.5703125" style="14" customWidth="1"/>
    <col min="9" max="9" width="8.28515625" style="15" customWidth="1"/>
    <col min="10" max="12" width="9.7109375" style="4" customWidth="1"/>
    <col min="13" max="13" width="38" style="4" customWidth="1"/>
    <col min="14" max="14" width="6.28515625" style="4" customWidth="1"/>
    <col min="15" max="15" width="9.140625" style="3"/>
    <col min="16" max="16" width="31.5703125" style="3" customWidth="1"/>
    <col min="17" max="16384" width="9.140625" style="3"/>
  </cols>
  <sheetData>
    <row r="1" spans="1:16" s="591" customFormat="1" ht="16.5" customHeight="1" x14ac:dyDescent="0.25">
      <c r="M1" s="1390" t="s">
        <v>679</v>
      </c>
      <c r="N1" s="1391"/>
    </row>
    <row r="2" spans="1:16" x14ac:dyDescent="0.2">
      <c r="G2" s="592"/>
      <c r="H2" s="592"/>
      <c r="M2" s="3"/>
      <c r="N2" s="3"/>
    </row>
    <row r="3" spans="1:16" x14ac:dyDescent="0.2">
      <c r="G3" s="592"/>
      <c r="H3" s="592"/>
      <c r="M3" s="3"/>
      <c r="N3" s="3"/>
    </row>
    <row r="4" spans="1:16" s="4" customFormat="1" ht="15" customHeight="1" x14ac:dyDescent="0.2">
      <c r="A4" s="593"/>
      <c r="B4" s="593"/>
      <c r="C4" s="593"/>
      <c r="D4" s="1392" t="s">
        <v>680</v>
      </c>
      <c r="E4" s="1393"/>
      <c r="F4" s="1393"/>
      <c r="G4" s="1393"/>
      <c r="H4" s="1393"/>
      <c r="I4" s="1393"/>
      <c r="J4" s="1393"/>
      <c r="K4" s="1393"/>
      <c r="L4" s="1393"/>
      <c r="M4" s="1393"/>
    </row>
    <row r="5" spans="1:16" ht="15.75" x14ac:dyDescent="0.2">
      <c r="A5" s="1042" t="s">
        <v>681</v>
      </c>
      <c r="B5" s="1042"/>
      <c r="C5" s="1042"/>
      <c r="D5" s="1042"/>
      <c r="E5" s="1042"/>
      <c r="F5" s="1042"/>
      <c r="G5" s="1042"/>
      <c r="H5" s="1042"/>
      <c r="I5" s="1042"/>
      <c r="J5" s="1042"/>
      <c r="K5" s="1042"/>
      <c r="L5" s="1042"/>
      <c r="M5" s="1042"/>
      <c r="N5" s="1042"/>
    </row>
    <row r="6" spans="1:16" ht="15.75" x14ac:dyDescent="0.2">
      <c r="A6" s="1394" t="s">
        <v>682</v>
      </c>
      <c r="B6" s="1394"/>
      <c r="C6" s="1394"/>
      <c r="D6" s="1394"/>
      <c r="E6" s="1394"/>
      <c r="F6" s="1394"/>
      <c r="G6" s="1394"/>
      <c r="H6" s="1394"/>
      <c r="I6" s="1394"/>
      <c r="J6" s="1394"/>
      <c r="K6" s="1394"/>
      <c r="L6" s="1394"/>
      <c r="M6" s="1394"/>
      <c r="N6" s="1394"/>
    </row>
    <row r="7" spans="1:16" ht="13.5" thickBot="1" x14ac:dyDescent="0.25">
      <c r="M7" s="1395" t="s">
        <v>683</v>
      </c>
      <c r="N7" s="1395"/>
    </row>
    <row r="8" spans="1:16" s="34" customFormat="1" ht="24.75" customHeight="1" x14ac:dyDescent="0.2">
      <c r="A8" s="1396" t="s">
        <v>15</v>
      </c>
      <c r="B8" s="1378" t="s">
        <v>0</v>
      </c>
      <c r="C8" s="1378" t="s">
        <v>684</v>
      </c>
      <c r="D8" s="1378" t="s">
        <v>685</v>
      </c>
      <c r="E8" s="1399" t="s">
        <v>10</v>
      </c>
      <c r="F8" s="1378" t="s">
        <v>1</v>
      </c>
      <c r="G8" s="1381" t="s">
        <v>2</v>
      </c>
      <c r="H8" s="1384" t="s">
        <v>686</v>
      </c>
      <c r="I8" s="1089" t="s">
        <v>3</v>
      </c>
      <c r="J8" s="1387" t="s">
        <v>687</v>
      </c>
      <c r="K8" s="1387" t="s">
        <v>688</v>
      </c>
      <c r="L8" s="1387" t="s">
        <v>689</v>
      </c>
      <c r="M8" s="1371" t="s">
        <v>690</v>
      </c>
      <c r="N8" s="1372"/>
    </row>
    <row r="9" spans="1:16" s="34" customFormat="1" ht="18.75" customHeight="1" x14ac:dyDescent="0.2">
      <c r="A9" s="1397"/>
      <c r="B9" s="1379"/>
      <c r="C9" s="1379"/>
      <c r="D9" s="1379"/>
      <c r="E9" s="1400"/>
      <c r="F9" s="1379"/>
      <c r="G9" s="1382"/>
      <c r="H9" s="1385"/>
      <c r="I9" s="1090"/>
      <c r="J9" s="1388"/>
      <c r="K9" s="1388"/>
      <c r="L9" s="1388"/>
      <c r="M9" s="1373" t="s">
        <v>10</v>
      </c>
      <c r="N9" s="594" t="s">
        <v>273</v>
      </c>
    </row>
    <row r="10" spans="1:16" s="34" customFormat="1" ht="71.25" customHeight="1" thickBot="1" x14ac:dyDescent="0.25">
      <c r="A10" s="1398"/>
      <c r="B10" s="1380"/>
      <c r="C10" s="1380"/>
      <c r="D10" s="1380"/>
      <c r="E10" s="1401"/>
      <c r="F10" s="1380"/>
      <c r="G10" s="1383"/>
      <c r="H10" s="1386"/>
      <c r="I10" s="1091"/>
      <c r="J10" s="1389"/>
      <c r="K10" s="1389"/>
      <c r="L10" s="1389"/>
      <c r="M10" s="1374"/>
      <c r="N10" s="595" t="s">
        <v>691</v>
      </c>
    </row>
    <row r="11" spans="1:16" s="10" customFormat="1" ht="15" customHeight="1" x14ac:dyDescent="0.2">
      <c r="A11" s="1074" t="s">
        <v>55</v>
      </c>
      <c r="B11" s="1075"/>
      <c r="C11" s="1075"/>
      <c r="D11" s="1075"/>
      <c r="E11" s="1075"/>
      <c r="F11" s="1075"/>
      <c r="G11" s="1075"/>
      <c r="H11" s="1075"/>
      <c r="I11" s="1075"/>
      <c r="J11" s="1075"/>
      <c r="K11" s="1075"/>
      <c r="L11" s="1075"/>
      <c r="M11" s="1075"/>
      <c r="N11" s="1076"/>
    </row>
    <row r="12" spans="1:16" s="10" customFormat="1" ht="14.25" customHeight="1" x14ac:dyDescent="0.2">
      <c r="A12" s="1077" t="s">
        <v>41</v>
      </c>
      <c r="B12" s="1078"/>
      <c r="C12" s="1078"/>
      <c r="D12" s="1078"/>
      <c r="E12" s="1078"/>
      <c r="F12" s="1078"/>
      <c r="G12" s="1078"/>
      <c r="H12" s="1078"/>
      <c r="I12" s="1078"/>
      <c r="J12" s="1078"/>
      <c r="K12" s="1078"/>
      <c r="L12" s="1078"/>
      <c r="M12" s="1078"/>
      <c r="N12" s="1079"/>
    </row>
    <row r="13" spans="1:16" ht="15" customHeight="1" x14ac:dyDescent="0.2">
      <c r="A13" s="596" t="s">
        <v>4</v>
      </c>
      <c r="B13" s="1375" t="s">
        <v>56</v>
      </c>
      <c r="C13" s="1376"/>
      <c r="D13" s="1376"/>
      <c r="E13" s="1376"/>
      <c r="F13" s="1376"/>
      <c r="G13" s="1376"/>
      <c r="H13" s="1376"/>
      <c r="I13" s="1376"/>
      <c r="J13" s="1376"/>
      <c r="K13" s="1376"/>
      <c r="L13" s="1376"/>
      <c r="M13" s="1376"/>
      <c r="N13" s="1377"/>
    </row>
    <row r="14" spans="1:16" ht="15.75" customHeight="1" x14ac:dyDescent="0.2">
      <c r="A14" s="27" t="s">
        <v>4</v>
      </c>
      <c r="B14" s="28" t="s">
        <v>4</v>
      </c>
      <c r="C14" s="1205" t="s">
        <v>37</v>
      </c>
      <c r="D14" s="1206"/>
      <c r="E14" s="1206"/>
      <c r="F14" s="1206"/>
      <c r="G14" s="1206"/>
      <c r="H14" s="1206"/>
      <c r="I14" s="1206"/>
      <c r="J14" s="1206"/>
      <c r="K14" s="1206"/>
      <c r="L14" s="1206"/>
      <c r="M14" s="1206"/>
      <c r="N14" s="1207"/>
    </row>
    <row r="15" spans="1:16" ht="39" customHeight="1" x14ac:dyDescent="0.2">
      <c r="A15" s="553" t="s">
        <v>4</v>
      </c>
      <c r="B15" s="554" t="s">
        <v>4</v>
      </c>
      <c r="C15" s="602" t="s">
        <v>4</v>
      </c>
      <c r="D15" s="618"/>
      <c r="E15" s="358" t="s">
        <v>77</v>
      </c>
      <c r="F15" s="359" t="s">
        <v>181</v>
      </c>
      <c r="G15" s="256" t="s">
        <v>23</v>
      </c>
      <c r="H15" s="598" t="s">
        <v>692</v>
      </c>
      <c r="I15" s="360"/>
      <c r="J15" s="128"/>
      <c r="K15" s="128"/>
      <c r="L15" s="128"/>
      <c r="M15" s="135"/>
      <c r="N15" s="597"/>
    </row>
    <row r="16" spans="1:16" ht="16.5" customHeight="1" x14ac:dyDescent="0.2">
      <c r="A16" s="553"/>
      <c r="B16" s="554"/>
      <c r="C16" s="602"/>
      <c r="D16" s="603" t="s">
        <v>4</v>
      </c>
      <c r="E16" s="1192" t="s">
        <v>87</v>
      </c>
      <c r="F16" s="564"/>
      <c r="G16" s="546"/>
      <c r="H16" s="1307"/>
      <c r="I16" s="38" t="s">
        <v>21</v>
      </c>
      <c r="J16" s="56">
        <v>140.1</v>
      </c>
      <c r="K16" s="604">
        <f>140.1+1.2</f>
        <v>141.30000000000001</v>
      </c>
      <c r="L16" s="604">
        <f>+K16-J16</f>
        <v>1.2</v>
      </c>
      <c r="M16" s="33" t="s">
        <v>182</v>
      </c>
      <c r="N16" s="599">
        <v>3.9</v>
      </c>
      <c r="O16" s="1369" t="s">
        <v>740</v>
      </c>
      <c r="P16" s="1370"/>
    </row>
    <row r="17" spans="1:16" ht="16.5" customHeight="1" x14ac:dyDescent="0.2">
      <c r="A17" s="553"/>
      <c r="B17" s="554"/>
      <c r="C17" s="602"/>
      <c r="D17" s="555"/>
      <c r="E17" s="1175"/>
      <c r="F17" s="564"/>
      <c r="G17" s="546"/>
      <c r="H17" s="1307"/>
      <c r="I17" s="18"/>
      <c r="J17" s="128"/>
      <c r="K17" s="128"/>
      <c r="L17" s="128"/>
      <c r="M17" s="363" t="s">
        <v>183</v>
      </c>
      <c r="N17" s="600">
        <v>341</v>
      </c>
      <c r="O17" s="1369"/>
      <c r="P17" s="1370"/>
    </row>
    <row r="18" spans="1:16" ht="8.25" customHeight="1" x14ac:dyDescent="0.2">
      <c r="A18" s="553"/>
      <c r="B18" s="554"/>
      <c r="C18" s="602"/>
      <c r="D18" s="555"/>
      <c r="E18" s="1194"/>
      <c r="F18" s="564"/>
      <c r="G18" s="546"/>
      <c r="H18" s="1368"/>
      <c r="I18" s="257"/>
      <c r="J18" s="128"/>
      <c r="K18" s="128"/>
      <c r="L18" s="128"/>
      <c r="M18" s="366"/>
      <c r="N18" s="601"/>
      <c r="O18" s="1369"/>
      <c r="P18" s="1370"/>
    </row>
    <row r="19" spans="1:16" ht="16.5" customHeight="1" x14ac:dyDescent="0.2">
      <c r="A19" s="1061"/>
      <c r="B19" s="1003"/>
      <c r="C19" s="1347"/>
      <c r="D19" s="1348" t="s">
        <v>6</v>
      </c>
      <c r="E19" s="1192" t="s">
        <v>26</v>
      </c>
      <c r="F19" s="1208" t="s">
        <v>80</v>
      </c>
      <c r="G19" s="1022"/>
      <c r="H19" s="1291"/>
      <c r="I19" s="236" t="s">
        <v>21</v>
      </c>
      <c r="J19" s="56">
        <f>15.6+15+10.7-2.2+3</f>
        <v>42.1</v>
      </c>
      <c r="K19" s="56">
        <f>15.6+15+10.7-2.2+3</f>
        <v>42.1</v>
      </c>
      <c r="L19" s="56">
        <f>+K19-J19</f>
        <v>0</v>
      </c>
      <c r="M19" s="585" t="s">
        <v>28</v>
      </c>
      <c r="N19" s="252">
        <v>4</v>
      </c>
      <c r="O19" s="1354"/>
      <c r="P19" s="1355"/>
    </row>
    <row r="20" spans="1:16" ht="16.5" customHeight="1" x14ac:dyDescent="0.2">
      <c r="A20" s="1061"/>
      <c r="B20" s="1003"/>
      <c r="C20" s="1347"/>
      <c r="D20" s="1172"/>
      <c r="E20" s="1175"/>
      <c r="F20" s="1209"/>
      <c r="G20" s="1022"/>
      <c r="H20" s="1291"/>
      <c r="I20" s="664"/>
      <c r="J20" s="128"/>
      <c r="K20" s="128"/>
      <c r="L20" s="128"/>
      <c r="M20" s="244" t="s">
        <v>67</v>
      </c>
      <c r="N20" s="263">
        <v>3</v>
      </c>
      <c r="O20" s="1354"/>
      <c r="P20" s="1355"/>
    </row>
    <row r="21" spans="1:16" ht="19.5" customHeight="1" x14ac:dyDescent="0.2">
      <c r="A21" s="1061"/>
      <c r="B21" s="1003"/>
      <c r="C21" s="1347"/>
      <c r="D21" s="1172"/>
      <c r="E21" s="1175"/>
      <c r="F21" s="1209"/>
      <c r="G21" s="1022"/>
      <c r="H21" s="1291"/>
      <c r="I21" s="664" t="s">
        <v>53</v>
      </c>
      <c r="J21" s="128">
        <v>39.5</v>
      </c>
      <c r="K21" s="128">
        <v>39.5</v>
      </c>
      <c r="L21" s="128"/>
      <c r="M21" s="24" t="s">
        <v>693</v>
      </c>
      <c r="N21" s="370">
        <v>1</v>
      </c>
      <c r="O21" s="1354"/>
      <c r="P21" s="1355"/>
    </row>
    <row r="22" spans="1:16" ht="16.5" customHeight="1" x14ac:dyDescent="0.2">
      <c r="A22" s="1061"/>
      <c r="B22" s="1003"/>
      <c r="C22" s="1347"/>
      <c r="D22" s="1172"/>
      <c r="E22" s="1175"/>
      <c r="F22" s="1209"/>
      <c r="G22" s="1022"/>
      <c r="H22" s="1291"/>
      <c r="I22" s="664"/>
      <c r="J22" s="128"/>
      <c r="K22" s="128"/>
      <c r="L22" s="128"/>
      <c r="M22" s="999" t="s">
        <v>237</v>
      </c>
      <c r="N22" s="260">
        <v>100</v>
      </c>
      <c r="O22" s="1354"/>
      <c r="P22" s="1355"/>
    </row>
    <row r="23" spans="1:16" ht="36.75" customHeight="1" x14ac:dyDescent="0.2">
      <c r="A23" s="1061"/>
      <c r="B23" s="1003"/>
      <c r="C23" s="1347"/>
      <c r="D23" s="1172"/>
      <c r="E23" s="1189"/>
      <c r="F23" s="1210"/>
      <c r="G23" s="1022"/>
      <c r="H23" s="1296"/>
      <c r="I23" s="140"/>
      <c r="J23" s="57"/>
      <c r="K23" s="57"/>
      <c r="L23" s="57"/>
      <c r="M23" s="1000"/>
      <c r="N23" s="261"/>
      <c r="O23" s="1354"/>
      <c r="P23" s="1355"/>
    </row>
    <row r="24" spans="1:16" ht="18" customHeight="1" x14ac:dyDescent="0.2">
      <c r="A24" s="553"/>
      <c r="B24" s="554"/>
      <c r="C24" s="602"/>
      <c r="D24" s="1348" t="s">
        <v>22</v>
      </c>
      <c r="E24" s="1192" t="s">
        <v>27</v>
      </c>
      <c r="F24" s="1228"/>
      <c r="G24" s="546"/>
      <c r="H24" s="605"/>
      <c r="I24" s="406" t="s">
        <v>21</v>
      </c>
      <c r="J24" s="407">
        <f>252-127.1+2.2-3</f>
        <v>124.1</v>
      </c>
      <c r="K24" s="407">
        <f>252-127.1+2.2-3-1.2</f>
        <v>122.9</v>
      </c>
      <c r="L24" s="407">
        <f>+K24-J24</f>
        <v>-1.2</v>
      </c>
      <c r="M24" s="606" t="s">
        <v>130</v>
      </c>
      <c r="N24" s="607"/>
      <c r="O24" s="1354" t="s">
        <v>741</v>
      </c>
      <c r="P24" s="1355"/>
    </row>
    <row r="25" spans="1:16" ht="29.25" customHeight="1" x14ac:dyDescent="0.2">
      <c r="A25" s="553"/>
      <c r="B25" s="554"/>
      <c r="C25" s="602"/>
      <c r="D25" s="1172"/>
      <c r="E25" s="1309"/>
      <c r="F25" s="1229"/>
      <c r="G25" s="546"/>
      <c r="H25" s="605"/>
      <c r="I25" s="664" t="s">
        <v>53</v>
      </c>
      <c r="J25" s="128">
        <f>85.8+14.1</f>
        <v>99.9</v>
      </c>
      <c r="K25" s="128">
        <f>85.8+14.1</f>
        <v>99.9</v>
      </c>
      <c r="L25" s="128"/>
      <c r="M25" s="608" t="s">
        <v>131</v>
      </c>
      <c r="N25" s="609">
        <v>87</v>
      </c>
      <c r="O25" s="1354"/>
      <c r="P25" s="1355"/>
    </row>
    <row r="26" spans="1:16" ht="25.5" customHeight="1" x14ac:dyDescent="0.2">
      <c r="A26" s="553"/>
      <c r="B26" s="554"/>
      <c r="C26" s="602"/>
      <c r="D26" s="1172"/>
      <c r="E26" s="1309"/>
      <c r="F26" s="1229"/>
      <c r="G26" s="546"/>
      <c r="H26" s="605"/>
      <c r="I26" s="664"/>
      <c r="J26" s="128"/>
      <c r="K26" s="128"/>
      <c r="L26" s="128"/>
      <c r="M26" s="610" t="s">
        <v>113</v>
      </c>
      <c r="N26" s="611">
        <v>63</v>
      </c>
      <c r="O26" s="1354"/>
      <c r="P26" s="1355"/>
    </row>
    <row r="27" spans="1:16" ht="15" customHeight="1" x14ac:dyDescent="0.2">
      <c r="A27" s="553"/>
      <c r="B27" s="554"/>
      <c r="C27" s="602"/>
      <c r="D27" s="1172"/>
      <c r="E27" s="1309"/>
      <c r="F27" s="1229"/>
      <c r="G27" s="546"/>
      <c r="H27" s="605"/>
      <c r="I27" s="664"/>
      <c r="J27" s="128"/>
      <c r="K27" s="128"/>
      <c r="L27" s="128"/>
      <c r="M27" s="612" t="s">
        <v>132</v>
      </c>
      <c r="N27" s="613"/>
      <c r="O27" s="1354"/>
      <c r="P27" s="1355"/>
    </row>
    <row r="28" spans="1:16" ht="13.5" customHeight="1" x14ac:dyDescent="0.2">
      <c r="A28" s="553"/>
      <c r="B28" s="554"/>
      <c r="C28" s="602"/>
      <c r="D28" s="1172"/>
      <c r="E28" s="97"/>
      <c r="F28" s="1229"/>
      <c r="G28" s="546"/>
      <c r="H28" s="605"/>
      <c r="I28" s="664"/>
      <c r="J28" s="128"/>
      <c r="K28" s="128"/>
      <c r="L28" s="128"/>
      <c r="M28" s="556" t="s">
        <v>85</v>
      </c>
      <c r="N28" s="614">
        <v>10</v>
      </c>
    </row>
    <row r="29" spans="1:16" ht="13.5" customHeight="1" x14ac:dyDescent="0.2">
      <c r="A29" s="553"/>
      <c r="B29" s="554"/>
      <c r="C29" s="602"/>
      <c r="D29" s="1172"/>
      <c r="E29" s="97"/>
      <c r="F29" s="1229"/>
      <c r="G29" s="546"/>
      <c r="H29" s="605"/>
      <c r="I29" s="664"/>
      <c r="J29" s="128"/>
      <c r="K29" s="128"/>
      <c r="L29" s="128"/>
      <c r="M29" s="703" t="s">
        <v>29</v>
      </c>
      <c r="N29" s="615" t="s">
        <v>185</v>
      </c>
    </row>
    <row r="30" spans="1:16" ht="13.5" customHeight="1" x14ac:dyDescent="0.2">
      <c r="A30" s="553"/>
      <c r="B30" s="554"/>
      <c r="C30" s="602"/>
      <c r="D30" s="1172"/>
      <c r="E30" s="97"/>
      <c r="F30" s="1229"/>
      <c r="G30" s="546"/>
      <c r="H30" s="605"/>
      <c r="I30" s="664"/>
      <c r="J30" s="128"/>
      <c r="K30" s="128"/>
      <c r="L30" s="128"/>
      <c r="M30" s="152" t="s">
        <v>66</v>
      </c>
      <c r="N30" s="267" t="s">
        <v>186</v>
      </c>
    </row>
    <row r="31" spans="1:16" ht="13.5" customHeight="1" x14ac:dyDescent="0.2">
      <c r="A31" s="553"/>
      <c r="B31" s="554"/>
      <c r="C31" s="602"/>
      <c r="D31" s="1172"/>
      <c r="E31" s="97"/>
      <c r="F31" s="1229"/>
      <c r="G31" s="546"/>
      <c r="H31" s="605"/>
      <c r="I31" s="664"/>
      <c r="J31" s="128"/>
      <c r="K31" s="128"/>
      <c r="L31" s="128"/>
      <c r="M31" s="152" t="s">
        <v>187</v>
      </c>
      <c r="N31" s="267" t="s">
        <v>129</v>
      </c>
    </row>
    <row r="32" spans="1:16" ht="13.5" customHeight="1" x14ac:dyDescent="0.2">
      <c r="A32" s="553"/>
      <c r="B32" s="554"/>
      <c r="C32" s="602"/>
      <c r="D32" s="1172"/>
      <c r="E32" s="97"/>
      <c r="F32" s="1229"/>
      <c r="G32" s="546"/>
      <c r="H32" s="605"/>
      <c r="I32" s="664"/>
      <c r="J32" s="128"/>
      <c r="K32" s="128"/>
      <c r="L32" s="128"/>
      <c r="M32" s="3" t="s">
        <v>188</v>
      </c>
      <c r="N32" s="267" t="s">
        <v>189</v>
      </c>
    </row>
    <row r="33" spans="1:14" ht="13.5" customHeight="1" x14ac:dyDescent="0.2">
      <c r="A33" s="553"/>
      <c r="B33" s="554"/>
      <c r="C33" s="602"/>
      <c r="D33" s="1172"/>
      <c r="E33" s="97"/>
      <c r="F33" s="1229"/>
      <c r="G33" s="546"/>
      <c r="H33" s="605"/>
      <c r="I33" s="664"/>
      <c r="J33" s="128"/>
      <c r="K33" s="128"/>
      <c r="L33" s="128"/>
      <c r="M33" s="152" t="s">
        <v>190</v>
      </c>
      <c r="N33" s="267" t="s">
        <v>191</v>
      </c>
    </row>
    <row r="34" spans="1:14" ht="13.5" customHeight="1" x14ac:dyDescent="0.2">
      <c r="A34" s="553"/>
      <c r="B34" s="554"/>
      <c r="C34" s="602"/>
      <c r="D34" s="1172"/>
      <c r="E34" s="97"/>
      <c r="F34" s="1229"/>
      <c r="G34" s="546"/>
      <c r="H34" s="605"/>
      <c r="I34" s="664"/>
      <c r="J34" s="128"/>
      <c r="K34" s="128"/>
      <c r="L34" s="128"/>
      <c r="M34" s="152" t="s">
        <v>192</v>
      </c>
      <c r="N34" s="267" t="s">
        <v>45</v>
      </c>
    </row>
    <row r="35" spans="1:14" ht="14.25" customHeight="1" x14ac:dyDescent="0.2">
      <c r="A35" s="553"/>
      <c r="B35" s="554"/>
      <c r="C35" s="602"/>
      <c r="D35" s="1172"/>
      <c r="E35" s="97"/>
      <c r="F35" s="1229"/>
      <c r="G35" s="546"/>
      <c r="H35" s="605"/>
      <c r="I35" s="664"/>
      <c r="J35" s="128"/>
      <c r="K35" s="128"/>
      <c r="L35" s="128"/>
      <c r="M35" s="268" t="s">
        <v>133</v>
      </c>
      <c r="N35" s="266"/>
    </row>
    <row r="36" spans="1:14" ht="13.5" customHeight="1" x14ac:dyDescent="0.2">
      <c r="A36" s="553"/>
      <c r="B36" s="554"/>
      <c r="C36" s="602"/>
      <c r="D36" s="1172"/>
      <c r="E36" s="97"/>
      <c r="F36" s="1229"/>
      <c r="G36" s="546"/>
      <c r="H36" s="605"/>
      <c r="I36" s="664"/>
      <c r="J36" s="128"/>
      <c r="K36" s="128"/>
      <c r="L36" s="128"/>
      <c r="M36" s="703" t="s">
        <v>115</v>
      </c>
      <c r="N36" s="616">
        <v>11</v>
      </c>
    </row>
    <row r="37" spans="1:14" ht="18" customHeight="1" x14ac:dyDescent="0.2">
      <c r="A37" s="553"/>
      <c r="B37" s="554"/>
      <c r="C37" s="602"/>
      <c r="D37" s="1172"/>
      <c r="E37" s="97"/>
      <c r="F37" s="1229"/>
      <c r="G37" s="546"/>
      <c r="H37" s="605"/>
      <c r="I37" s="664"/>
      <c r="J37" s="128"/>
      <c r="K37" s="128"/>
      <c r="L37" s="128"/>
      <c r="M37" s="165" t="s">
        <v>114</v>
      </c>
      <c r="N37" s="617" t="s">
        <v>100</v>
      </c>
    </row>
    <row r="38" spans="1:14" ht="15" customHeight="1" x14ac:dyDescent="0.2">
      <c r="A38" s="553"/>
      <c r="B38" s="554"/>
      <c r="C38" s="602"/>
      <c r="D38" s="1172"/>
      <c r="E38" s="97"/>
      <c r="F38" s="1229"/>
      <c r="G38" s="546"/>
      <c r="H38" s="605"/>
      <c r="I38" s="664"/>
      <c r="J38" s="128"/>
      <c r="K38" s="128"/>
      <c r="L38" s="128"/>
      <c r="M38" s="151" t="s">
        <v>238</v>
      </c>
      <c r="N38" s="616"/>
    </row>
    <row r="39" spans="1:14" ht="27" customHeight="1" x14ac:dyDescent="0.2">
      <c r="A39" s="553"/>
      <c r="B39" s="554"/>
      <c r="C39" s="602"/>
      <c r="D39" s="1172"/>
      <c r="E39" s="97"/>
      <c r="F39" s="1229"/>
      <c r="G39" s="546"/>
      <c r="H39" s="605"/>
      <c r="I39" s="664"/>
      <c r="J39" s="128"/>
      <c r="K39" s="128"/>
      <c r="L39" s="128"/>
      <c r="M39" s="31" t="s">
        <v>193</v>
      </c>
      <c r="N39" s="617">
        <v>1</v>
      </c>
    </row>
    <row r="40" spans="1:14" ht="30" customHeight="1" x14ac:dyDescent="0.2">
      <c r="A40" s="553"/>
      <c r="B40" s="554"/>
      <c r="C40" s="602"/>
      <c r="D40" s="1349"/>
      <c r="E40" s="98"/>
      <c r="F40" s="1230"/>
      <c r="G40" s="546"/>
      <c r="H40" s="605"/>
      <c r="I40" s="140"/>
      <c r="J40" s="57"/>
      <c r="K40" s="57"/>
      <c r="L40" s="57"/>
      <c r="M40" s="103" t="s">
        <v>694</v>
      </c>
      <c r="N40" s="619">
        <v>2</v>
      </c>
    </row>
    <row r="41" spans="1:14" ht="28.5" customHeight="1" x14ac:dyDescent="0.2">
      <c r="A41" s="553"/>
      <c r="B41" s="554"/>
      <c r="C41" s="620"/>
      <c r="D41" s="1367" t="s">
        <v>30</v>
      </c>
      <c r="E41" s="1175" t="s">
        <v>103</v>
      </c>
      <c r="F41" s="1215" t="s">
        <v>106</v>
      </c>
      <c r="G41" s="546"/>
      <c r="H41" s="1307"/>
      <c r="I41" s="18" t="s">
        <v>21</v>
      </c>
      <c r="J41" s="128">
        <v>20.9</v>
      </c>
      <c r="K41" s="128">
        <v>20.9</v>
      </c>
      <c r="L41" s="128"/>
      <c r="M41" s="152" t="s">
        <v>118</v>
      </c>
      <c r="N41" s="127">
        <v>100</v>
      </c>
    </row>
    <row r="42" spans="1:14" ht="14.25" customHeight="1" x14ac:dyDescent="0.2">
      <c r="A42" s="553"/>
      <c r="B42" s="554"/>
      <c r="C42" s="620"/>
      <c r="D42" s="1367"/>
      <c r="E42" s="1175"/>
      <c r="F42" s="1216"/>
      <c r="G42" s="546"/>
      <c r="H42" s="1307"/>
      <c r="I42" s="18" t="s">
        <v>53</v>
      </c>
      <c r="J42" s="128">
        <f>270+7.8</f>
        <v>277.8</v>
      </c>
      <c r="K42" s="128">
        <f>270+7.8</f>
        <v>277.8</v>
      </c>
      <c r="L42" s="128"/>
      <c r="M42" s="563" t="s">
        <v>105</v>
      </c>
      <c r="N42" s="127">
        <v>1</v>
      </c>
    </row>
    <row r="43" spans="1:14" ht="9.75" customHeight="1" x14ac:dyDescent="0.2">
      <c r="A43" s="553"/>
      <c r="B43" s="554"/>
      <c r="C43" s="620"/>
      <c r="D43" s="1365"/>
      <c r="E43" s="1189"/>
      <c r="F43" s="1216"/>
      <c r="G43" s="546"/>
      <c r="H43" s="1307"/>
      <c r="I43" s="373"/>
      <c r="J43" s="57"/>
      <c r="K43" s="57"/>
      <c r="L43" s="57"/>
      <c r="M43" s="374"/>
      <c r="N43" s="261"/>
    </row>
    <row r="44" spans="1:14" ht="19.5" customHeight="1" x14ac:dyDescent="0.2">
      <c r="A44" s="553"/>
      <c r="B44" s="554"/>
      <c r="C44" s="621"/>
      <c r="D44" s="1364" t="s">
        <v>31</v>
      </c>
      <c r="E44" s="1192" t="s">
        <v>99</v>
      </c>
      <c r="F44" s="1216"/>
      <c r="G44" s="1217"/>
      <c r="H44" s="1307"/>
      <c r="I44" s="38" t="s">
        <v>21</v>
      </c>
      <c r="J44" s="128">
        <f>21-12.9</f>
        <v>8.1</v>
      </c>
      <c r="K44" s="128">
        <f>21-12.9</f>
        <v>8.1</v>
      </c>
      <c r="L44" s="128"/>
      <c r="M44" s="588" t="s">
        <v>78</v>
      </c>
      <c r="N44" s="127">
        <v>1</v>
      </c>
    </row>
    <row r="45" spans="1:14" ht="27" customHeight="1" x14ac:dyDescent="0.2">
      <c r="A45" s="553"/>
      <c r="B45" s="554"/>
      <c r="C45" s="602"/>
      <c r="D45" s="1365"/>
      <c r="E45" s="1189"/>
      <c r="F45" s="1216"/>
      <c r="G45" s="1217"/>
      <c r="H45" s="1307"/>
      <c r="I45" s="140" t="s">
        <v>53</v>
      </c>
      <c r="J45" s="57">
        <v>0</v>
      </c>
      <c r="K45" s="57">
        <v>0</v>
      </c>
      <c r="L45" s="57"/>
      <c r="M45" s="227" t="s">
        <v>118</v>
      </c>
      <c r="N45" s="622"/>
    </row>
    <row r="46" spans="1:14" ht="15" customHeight="1" x14ac:dyDescent="0.2">
      <c r="A46" s="553"/>
      <c r="B46" s="554"/>
      <c r="C46" s="621"/>
      <c r="D46" s="1364" t="s">
        <v>24</v>
      </c>
      <c r="E46" s="1203" t="s">
        <v>89</v>
      </c>
      <c r="F46" s="1212" t="s">
        <v>84</v>
      </c>
      <c r="G46" s="1214"/>
      <c r="H46" s="1291"/>
      <c r="I46" s="664" t="s">
        <v>53</v>
      </c>
      <c r="J46" s="128">
        <v>19</v>
      </c>
      <c r="K46" s="128">
        <v>19</v>
      </c>
      <c r="L46" s="128"/>
      <c r="M46" s="588" t="s">
        <v>78</v>
      </c>
      <c r="N46" s="260">
        <v>1</v>
      </c>
    </row>
    <row r="47" spans="1:14" ht="26.25" customHeight="1" x14ac:dyDescent="0.2">
      <c r="A47" s="553"/>
      <c r="B47" s="554"/>
      <c r="C47" s="602"/>
      <c r="D47" s="1365"/>
      <c r="E47" s="1232"/>
      <c r="F47" s="1213"/>
      <c r="G47" s="1214"/>
      <c r="H47" s="1291"/>
      <c r="I47" s="140"/>
      <c r="J47" s="57"/>
      <c r="K47" s="57"/>
      <c r="L47" s="57"/>
      <c r="M47" s="375" t="s">
        <v>695</v>
      </c>
      <c r="N47" s="622"/>
    </row>
    <row r="48" spans="1:14" ht="27" customHeight="1" x14ac:dyDescent="0.2">
      <c r="A48" s="553"/>
      <c r="B48" s="554"/>
      <c r="C48" s="620"/>
      <c r="D48" s="1364" t="s">
        <v>32</v>
      </c>
      <c r="E48" s="1192" t="s">
        <v>195</v>
      </c>
      <c r="F48" s="1212" t="s">
        <v>106</v>
      </c>
      <c r="G48" s="546"/>
      <c r="H48" s="1307"/>
      <c r="I48" s="38" t="s">
        <v>21</v>
      </c>
      <c r="J48" s="56">
        <v>414.9</v>
      </c>
      <c r="K48" s="56">
        <v>414.9</v>
      </c>
      <c r="L48" s="56"/>
      <c r="M48" s="152" t="s">
        <v>118</v>
      </c>
      <c r="N48" s="100">
        <v>100</v>
      </c>
    </row>
    <row r="49" spans="1:16" ht="15.75" customHeight="1" x14ac:dyDescent="0.2">
      <c r="A49" s="553"/>
      <c r="B49" s="554"/>
      <c r="C49" s="620"/>
      <c r="D49" s="1365"/>
      <c r="E49" s="1189"/>
      <c r="F49" s="1231"/>
      <c r="G49" s="576"/>
      <c r="H49" s="1307"/>
      <c r="I49" s="39"/>
      <c r="J49" s="57"/>
      <c r="K49" s="57"/>
      <c r="L49" s="57"/>
      <c r="M49" s="374"/>
      <c r="N49" s="261"/>
    </row>
    <row r="50" spans="1:16" ht="15.75" customHeight="1" x14ac:dyDescent="0.2">
      <c r="A50" s="553"/>
      <c r="B50" s="554"/>
      <c r="C50" s="621"/>
      <c r="D50" s="1364" t="s">
        <v>25</v>
      </c>
      <c r="E50" s="1203" t="s">
        <v>101</v>
      </c>
      <c r="F50" s="1233"/>
      <c r="G50" s="1214"/>
      <c r="H50" s="1291"/>
      <c r="I50" s="664" t="s">
        <v>53</v>
      </c>
      <c r="J50" s="128">
        <v>20</v>
      </c>
      <c r="K50" s="128">
        <v>20</v>
      </c>
      <c r="L50" s="128"/>
      <c r="M50" s="588" t="s">
        <v>78</v>
      </c>
      <c r="N50" s="260">
        <v>1</v>
      </c>
    </row>
    <row r="51" spans="1:16" ht="26.25" customHeight="1" x14ac:dyDescent="0.2">
      <c r="A51" s="553"/>
      <c r="B51" s="554"/>
      <c r="C51" s="602"/>
      <c r="D51" s="1365"/>
      <c r="E51" s="1232"/>
      <c r="F51" s="1231"/>
      <c r="G51" s="1214"/>
      <c r="H51" s="1291"/>
      <c r="I51" s="140"/>
      <c r="J51" s="57"/>
      <c r="K51" s="57"/>
      <c r="L51" s="57"/>
      <c r="M51" s="375" t="s">
        <v>696</v>
      </c>
      <c r="N51" s="261"/>
    </row>
    <row r="52" spans="1:16" ht="15" customHeight="1" x14ac:dyDescent="0.2">
      <c r="A52" s="553"/>
      <c r="B52" s="554"/>
      <c r="C52" s="621"/>
      <c r="D52" s="1364" t="s">
        <v>697</v>
      </c>
      <c r="E52" s="1203" t="s">
        <v>145</v>
      </c>
      <c r="F52" s="1212" t="s">
        <v>84</v>
      </c>
      <c r="G52" s="1214"/>
      <c r="H52" s="1291"/>
      <c r="I52" s="664" t="s">
        <v>53</v>
      </c>
      <c r="J52" s="128">
        <v>15</v>
      </c>
      <c r="K52" s="128">
        <v>15</v>
      </c>
      <c r="L52" s="128"/>
      <c r="M52" s="588" t="s">
        <v>78</v>
      </c>
      <c r="N52" s="260">
        <v>1</v>
      </c>
    </row>
    <row r="53" spans="1:16" ht="25.5" customHeight="1" x14ac:dyDescent="0.2">
      <c r="A53" s="553"/>
      <c r="B53" s="554"/>
      <c r="C53" s="602"/>
      <c r="D53" s="1365"/>
      <c r="E53" s="1232"/>
      <c r="F53" s="1213"/>
      <c r="G53" s="1236"/>
      <c r="H53" s="1366"/>
      <c r="I53" s="140"/>
      <c r="J53" s="57"/>
      <c r="K53" s="57"/>
      <c r="L53" s="57"/>
      <c r="M53" s="623" t="s">
        <v>698</v>
      </c>
      <c r="N53" s="261"/>
    </row>
    <row r="54" spans="1:16" ht="18.75" customHeight="1" thickBot="1" x14ac:dyDescent="0.25">
      <c r="A54" s="570"/>
      <c r="B54" s="133"/>
      <c r="C54" s="624"/>
      <c r="D54" s="625"/>
      <c r="E54" s="626"/>
      <c r="F54" s="627"/>
      <c r="G54" s="628"/>
      <c r="H54" s="629"/>
      <c r="I54" s="630" t="s">
        <v>5</v>
      </c>
      <c r="J54" s="93">
        <f>SUM(J16:J53)</f>
        <v>1221.4000000000001</v>
      </c>
      <c r="K54" s="93">
        <f>SUM(K16:K53)</f>
        <v>1221.4000000000001</v>
      </c>
      <c r="L54" s="631">
        <f>SUM(L16:L53)</f>
        <v>0</v>
      </c>
      <c r="M54" s="632"/>
      <c r="N54" s="633"/>
    </row>
    <row r="55" spans="1:16" ht="27" customHeight="1" x14ac:dyDescent="0.2">
      <c r="A55" s="553" t="s">
        <v>4</v>
      </c>
      <c r="B55" s="559" t="s">
        <v>4</v>
      </c>
      <c r="C55" s="602" t="s">
        <v>6</v>
      </c>
      <c r="D55" s="634"/>
      <c r="E55" s="635" t="s">
        <v>48</v>
      </c>
      <c r="F55" s="376"/>
      <c r="G55" s="568" t="s">
        <v>23</v>
      </c>
      <c r="H55" s="1362" t="s">
        <v>699</v>
      </c>
      <c r="I55" s="40"/>
      <c r="J55" s="377"/>
      <c r="K55" s="377"/>
      <c r="L55" s="377"/>
      <c r="M55" s="636"/>
      <c r="N55" s="381"/>
    </row>
    <row r="56" spans="1:16" ht="27.75" customHeight="1" x14ac:dyDescent="0.2">
      <c r="A56" s="1061"/>
      <c r="B56" s="1169"/>
      <c r="C56" s="1347"/>
      <c r="D56" s="1172" t="s">
        <v>4</v>
      </c>
      <c r="E56" s="1192" t="s">
        <v>62</v>
      </c>
      <c r="F56" s="1241"/>
      <c r="G56" s="1022"/>
      <c r="H56" s="1363"/>
      <c r="I56" s="6" t="s">
        <v>21</v>
      </c>
      <c r="J56" s="239">
        <f>2632.1-16.6-15</f>
        <v>2600.5</v>
      </c>
      <c r="K56" s="763">
        <f>2632.1-16.6-15+9.1+1.1</f>
        <v>2610.6999999999998</v>
      </c>
      <c r="L56" s="763">
        <f>+K56-J56</f>
        <v>10.199999999999999</v>
      </c>
      <c r="M56" s="586" t="s">
        <v>146</v>
      </c>
      <c r="N56" s="280">
        <v>8.6</v>
      </c>
      <c r="O56" s="1354" t="s">
        <v>742</v>
      </c>
      <c r="P56" s="1355"/>
    </row>
    <row r="57" spans="1:16" ht="24.75" customHeight="1" x14ac:dyDescent="0.2">
      <c r="A57" s="1061"/>
      <c r="B57" s="1169"/>
      <c r="C57" s="1347"/>
      <c r="D57" s="1172"/>
      <c r="E57" s="1344"/>
      <c r="F57" s="1242"/>
      <c r="G57" s="1022"/>
      <c r="H57" s="1363"/>
      <c r="I57" s="305" t="s">
        <v>53</v>
      </c>
      <c r="J57" s="441">
        <v>132.19999999999999</v>
      </c>
      <c r="K57" s="441">
        <v>132.19999999999999</v>
      </c>
      <c r="L57" s="441"/>
      <c r="M57" s="587" t="s">
        <v>127</v>
      </c>
      <c r="N57" s="265">
        <v>445</v>
      </c>
      <c r="O57" s="1354"/>
      <c r="P57" s="1355"/>
    </row>
    <row r="58" spans="1:16" ht="18" customHeight="1" x14ac:dyDescent="0.2">
      <c r="A58" s="1061"/>
      <c r="B58" s="1169"/>
      <c r="C58" s="1347"/>
      <c r="D58" s="1348" t="s">
        <v>6</v>
      </c>
      <c r="E58" s="1203" t="s">
        <v>33</v>
      </c>
      <c r="F58" s="544"/>
      <c r="G58" s="546"/>
      <c r="H58" s="1291"/>
      <c r="I58" s="6" t="s">
        <v>21</v>
      </c>
      <c r="J58" s="60">
        <f>127.4+10+15</f>
        <v>152.4</v>
      </c>
      <c r="K58" s="639">
        <f>127.4+10+15+1.6</f>
        <v>154</v>
      </c>
      <c r="L58" s="639">
        <f>K58-J58</f>
        <v>1.6</v>
      </c>
      <c r="M58" s="637" t="s">
        <v>35</v>
      </c>
      <c r="N58" s="282">
        <v>46</v>
      </c>
      <c r="O58" s="1354" t="s">
        <v>743</v>
      </c>
      <c r="P58" s="1355"/>
    </row>
    <row r="59" spans="1:16" ht="24.75" customHeight="1" x14ac:dyDescent="0.2">
      <c r="A59" s="1061"/>
      <c r="B59" s="1169"/>
      <c r="C59" s="1347"/>
      <c r="D59" s="1172"/>
      <c r="E59" s="1361"/>
      <c r="F59" s="545"/>
      <c r="G59" s="546"/>
      <c r="H59" s="1291"/>
      <c r="I59" s="664" t="s">
        <v>36</v>
      </c>
      <c r="J59" s="202">
        <v>2</v>
      </c>
      <c r="K59" s="202">
        <v>2</v>
      </c>
      <c r="L59" s="202"/>
      <c r="M59" s="248" t="s">
        <v>63</v>
      </c>
      <c r="N59" s="382">
        <v>1500</v>
      </c>
      <c r="O59" s="1354"/>
      <c r="P59" s="1355"/>
    </row>
    <row r="60" spans="1:16" ht="40.5" customHeight="1" x14ac:dyDescent="0.2">
      <c r="A60" s="553"/>
      <c r="B60" s="559"/>
      <c r="C60" s="602"/>
      <c r="D60" s="555"/>
      <c r="E60" s="560"/>
      <c r="F60" s="545"/>
      <c r="G60" s="546"/>
      <c r="H60" s="605"/>
      <c r="I60" s="664" t="s">
        <v>70</v>
      </c>
      <c r="J60" s="202">
        <v>1.8</v>
      </c>
      <c r="K60" s="202">
        <v>1.8</v>
      </c>
      <c r="L60" s="202"/>
      <c r="M60" s="563" t="s">
        <v>196</v>
      </c>
      <c r="N60" s="269">
        <v>1</v>
      </c>
      <c r="O60" s="1354"/>
      <c r="P60" s="1355"/>
    </row>
    <row r="61" spans="1:16" ht="28.5" customHeight="1" x14ac:dyDescent="0.2">
      <c r="A61" s="553"/>
      <c r="B61" s="559"/>
      <c r="C61" s="602"/>
      <c r="D61" s="555"/>
      <c r="E61" s="560"/>
      <c r="F61" s="545"/>
      <c r="G61" s="546"/>
      <c r="H61" s="605"/>
      <c r="I61" s="664"/>
      <c r="J61" s="202"/>
      <c r="K61" s="202"/>
      <c r="L61" s="202"/>
      <c r="M61" s="577"/>
      <c r="N61" s="638"/>
      <c r="O61" s="1354"/>
      <c r="P61" s="1355"/>
    </row>
    <row r="62" spans="1:16" ht="16.5" customHeight="1" x14ac:dyDescent="0.2">
      <c r="A62" s="553"/>
      <c r="B62" s="559"/>
      <c r="C62" s="602"/>
      <c r="D62" s="603" t="s">
        <v>22</v>
      </c>
      <c r="E62" s="1203" t="s">
        <v>92</v>
      </c>
      <c r="F62" s="547"/>
      <c r="G62" s="546"/>
      <c r="H62" s="605"/>
      <c r="I62" s="236" t="s">
        <v>21</v>
      </c>
      <c r="J62" s="639">
        <f>30.2+16.6+20.5</f>
        <v>67.3</v>
      </c>
      <c r="K62" s="639">
        <f>30.2+16.6+20.5-1.1</f>
        <v>66.2</v>
      </c>
      <c r="L62" s="639">
        <f>+K62-J62</f>
        <v>-1.1000000000000001</v>
      </c>
      <c r="M62" s="383" t="s">
        <v>110</v>
      </c>
      <c r="N62" s="385" t="s">
        <v>197</v>
      </c>
      <c r="O62" s="1354" t="s">
        <v>744</v>
      </c>
      <c r="P62" s="1355"/>
    </row>
    <row r="63" spans="1:16" ht="93.75" customHeight="1" x14ac:dyDescent="0.2">
      <c r="A63" s="553"/>
      <c r="B63" s="559"/>
      <c r="C63" s="602"/>
      <c r="D63" s="555"/>
      <c r="E63" s="1204"/>
      <c r="F63" s="548"/>
      <c r="G63" s="546"/>
      <c r="H63" s="605"/>
      <c r="I63" s="140"/>
      <c r="J63" s="202"/>
      <c r="K63" s="202"/>
      <c r="L63" s="202"/>
      <c r="M63" s="152" t="s">
        <v>111</v>
      </c>
      <c r="N63" s="270" t="s">
        <v>90</v>
      </c>
      <c r="O63" s="1354"/>
      <c r="P63" s="1355"/>
    </row>
    <row r="64" spans="1:16" ht="35.25" customHeight="1" x14ac:dyDescent="0.2">
      <c r="A64" s="553"/>
      <c r="B64" s="559"/>
      <c r="C64" s="602"/>
      <c r="D64" s="603" t="s">
        <v>30</v>
      </c>
      <c r="E64" s="551" t="s">
        <v>52</v>
      </c>
      <c r="F64" s="548"/>
      <c r="G64" s="546"/>
      <c r="H64" s="605"/>
      <c r="I64" s="17" t="s">
        <v>21</v>
      </c>
      <c r="J64" s="640">
        <f>95-20.5</f>
        <v>74.5</v>
      </c>
      <c r="K64" s="640">
        <f>95-20.5-1.6-9.1</f>
        <v>63.8</v>
      </c>
      <c r="L64" s="640">
        <f>+K64-J64</f>
        <v>-10.7</v>
      </c>
      <c r="M64" s="285" t="s">
        <v>34</v>
      </c>
      <c r="N64" s="287">
        <v>11</v>
      </c>
      <c r="O64" s="1356" t="s">
        <v>700</v>
      </c>
      <c r="P64" s="1357"/>
    </row>
    <row r="65" spans="1:14" ht="35.25" customHeight="1" x14ac:dyDescent="0.2">
      <c r="A65" s="553"/>
      <c r="B65" s="559"/>
      <c r="C65" s="602"/>
      <c r="D65" s="603" t="s">
        <v>31</v>
      </c>
      <c r="E65" s="551" t="s">
        <v>198</v>
      </c>
      <c r="F65" s="548"/>
      <c r="G65" s="576"/>
      <c r="H65" s="641"/>
      <c r="I65" s="17" t="s">
        <v>21</v>
      </c>
      <c r="J65" s="642">
        <v>15</v>
      </c>
      <c r="K65" s="642">
        <v>15</v>
      </c>
      <c r="L65" s="642">
        <f>K65-J65</f>
        <v>0</v>
      </c>
      <c r="M65" s="387" t="s">
        <v>199</v>
      </c>
      <c r="N65" s="643"/>
    </row>
    <row r="66" spans="1:14" ht="16.5" customHeight="1" thickBot="1" x14ac:dyDescent="0.25">
      <c r="A66" s="20"/>
      <c r="B66" s="571"/>
      <c r="C66" s="624"/>
      <c r="D66" s="625"/>
      <c r="E66" s="644"/>
      <c r="F66" s="645"/>
      <c r="G66" s="628"/>
      <c r="H66" s="629"/>
      <c r="I66" s="630" t="s">
        <v>5</v>
      </c>
      <c r="J66" s="93">
        <f>SUM(J56:J65)</f>
        <v>3045.7</v>
      </c>
      <c r="K66" s="93">
        <f>SUM(K56:K65)</f>
        <v>3045.7</v>
      </c>
      <c r="L66" s="93">
        <f>SUM(L56:L65)</f>
        <v>0</v>
      </c>
      <c r="M66" s="646"/>
      <c r="N66" s="647"/>
    </row>
    <row r="67" spans="1:14" ht="25.5" customHeight="1" x14ac:dyDescent="0.2">
      <c r="A67" s="565" t="s">
        <v>4</v>
      </c>
      <c r="B67" s="566" t="s">
        <v>4</v>
      </c>
      <c r="C67" s="648" t="s">
        <v>22</v>
      </c>
      <c r="D67" s="649"/>
      <c r="E67" s="650" t="s">
        <v>49</v>
      </c>
      <c r="F67" s="388"/>
      <c r="G67" s="568" t="s">
        <v>23</v>
      </c>
      <c r="H67" s="651"/>
      <c r="I67" s="40"/>
      <c r="J67" s="78"/>
      <c r="K67" s="78"/>
      <c r="L67" s="78"/>
      <c r="M67" s="390"/>
      <c r="N67" s="381"/>
    </row>
    <row r="68" spans="1:14" ht="30" customHeight="1" x14ac:dyDescent="0.2">
      <c r="A68" s="553"/>
      <c r="B68" s="559"/>
      <c r="C68" s="620"/>
      <c r="D68" s="555" t="s">
        <v>4</v>
      </c>
      <c r="E68" s="1192" t="s">
        <v>200</v>
      </c>
      <c r="F68" s="391"/>
      <c r="G68" s="546"/>
      <c r="H68" s="652"/>
      <c r="I68" s="38" t="s">
        <v>21</v>
      </c>
      <c r="J68" s="56">
        <v>69.7</v>
      </c>
      <c r="K68" s="56">
        <f>136-66.3</f>
        <v>69.7</v>
      </c>
      <c r="L68" s="56">
        <f>K68-J68</f>
        <v>0</v>
      </c>
      <c r="M68" s="561" t="s">
        <v>701</v>
      </c>
      <c r="N68" s="275">
        <v>60</v>
      </c>
    </row>
    <row r="69" spans="1:14" ht="40.5" customHeight="1" x14ac:dyDescent="0.2">
      <c r="A69" s="553"/>
      <c r="B69" s="559"/>
      <c r="C69" s="620"/>
      <c r="D69" s="555"/>
      <c r="E69" s="1344"/>
      <c r="F69" s="290"/>
      <c r="G69" s="546"/>
      <c r="H69" s="653" t="s">
        <v>702</v>
      </c>
      <c r="I69" s="654"/>
      <c r="J69" s="655"/>
      <c r="K69" s="655"/>
      <c r="L69" s="655"/>
      <c r="M69" s="289" t="s">
        <v>147</v>
      </c>
      <c r="N69" s="656">
        <v>4</v>
      </c>
    </row>
    <row r="70" spans="1:14" ht="17.25" customHeight="1" x14ac:dyDescent="0.2">
      <c r="A70" s="553"/>
      <c r="B70" s="559"/>
      <c r="C70" s="620"/>
      <c r="D70" s="555"/>
      <c r="E70" s="657"/>
      <c r="F70" s="290"/>
      <c r="G70" s="546"/>
      <c r="H70" s="1358" t="s">
        <v>703</v>
      </c>
      <c r="I70" s="658"/>
      <c r="J70" s="659"/>
      <c r="K70" s="659"/>
      <c r="L70" s="659"/>
      <c r="M70" s="589" t="s">
        <v>134</v>
      </c>
      <c r="N70" s="660">
        <v>40</v>
      </c>
    </row>
    <row r="71" spans="1:14" ht="24" customHeight="1" x14ac:dyDescent="0.2">
      <c r="A71" s="553"/>
      <c r="B71" s="559"/>
      <c r="C71" s="620"/>
      <c r="D71" s="555"/>
      <c r="E71" s="552"/>
      <c r="F71" s="290"/>
      <c r="G71" s="546"/>
      <c r="H71" s="1359"/>
      <c r="I71" s="373"/>
      <c r="J71" s="306"/>
      <c r="K71" s="306"/>
      <c r="L71" s="306"/>
      <c r="M71" s="703" t="s">
        <v>239</v>
      </c>
      <c r="N71" s="442">
        <v>15</v>
      </c>
    </row>
    <row r="72" spans="1:14" ht="28.5" customHeight="1" x14ac:dyDescent="0.2">
      <c r="A72" s="553"/>
      <c r="B72" s="559"/>
      <c r="C72" s="620"/>
      <c r="D72" s="555"/>
      <c r="E72" s="661"/>
      <c r="F72" s="662"/>
      <c r="G72" s="663"/>
      <c r="H72" s="1360" t="s">
        <v>699</v>
      </c>
      <c r="I72" s="665"/>
      <c r="J72" s="128"/>
      <c r="K72" s="128"/>
      <c r="L72" s="128"/>
      <c r="M72" s="666" t="s">
        <v>704</v>
      </c>
      <c r="N72" s="667"/>
    </row>
    <row r="73" spans="1:14" ht="39.75" customHeight="1" x14ac:dyDescent="0.2">
      <c r="A73" s="553"/>
      <c r="B73" s="559"/>
      <c r="C73" s="620"/>
      <c r="D73" s="555"/>
      <c r="E73" s="668"/>
      <c r="F73" s="662"/>
      <c r="G73" s="663"/>
      <c r="H73" s="1360"/>
      <c r="I73" s="665"/>
      <c r="J73" s="669"/>
      <c r="K73" s="669"/>
      <c r="L73" s="669"/>
      <c r="M73" s="589" t="s">
        <v>705</v>
      </c>
      <c r="N73" s="291"/>
    </row>
    <row r="74" spans="1:14" ht="14.1" customHeight="1" x14ac:dyDescent="0.2">
      <c r="A74" s="553"/>
      <c r="B74" s="559"/>
      <c r="C74" s="620"/>
      <c r="D74" s="555"/>
      <c r="E74" s="552"/>
      <c r="F74" s="49"/>
      <c r="G74" s="546"/>
      <c r="H74" s="717"/>
      <c r="I74" s="18"/>
      <c r="J74" s="128"/>
      <c r="K74" s="128"/>
      <c r="L74" s="128"/>
      <c r="M74" s="670" t="s">
        <v>706</v>
      </c>
      <c r="N74" s="671">
        <v>1</v>
      </c>
    </row>
    <row r="75" spans="1:14" ht="26.25" customHeight="1" x14ac:dyDescent="0.2">
      <c r="A75" s="553"/>
      <c r="B75" s="559"/>
      <c r="C75" s="620"/>
      <c r="D75" s="555"/>
      <c r="E75" s="552"/>
      <c r="F75" s="54"/>
      <c r="G75" s="546"/>
      <c r="H75" s="664"/>
      <c r="I75" s="39" t="s">
        <v>53</v>
      </c>
      <c r="J75" s="57">
        <f>19.4+16.6</f>
        <v>36</v>
      </c>
      <c r="K75" s="57">
        <f>19.4+16.6</f>
        <v>36</v>
      </c>
      <c r="L75" s="57"/>
      <c r="M75" s="113" t="s">
        <v>201</v>
      </c>
      <c r="N75" s="395">
        <v>2</v>
      </c>
    </row>
    <row r="76" spans="1:14" ht="29.25" customHeight="1" x14ac:dyDescent="0.2">
      <c r="A76" s="553"/>
      <c r="B76" s="559"/>
      <c r="C76" s="602"/>
      <c r="D76" s="672" t="s">
        <v>6</v>
      </c>
      <c r="E76" s="1192" t="s">
        <v>91</v>
      </c>
      <c r="F76" s="246"/>
      <c r="G76" s="245"/>
      <c r="H76" s="1293" t="s">
        <v>699</v>
      </c>
      <c r="I76" s="236" t="s">
        <v>21</v>
      </c>
      <c r="J76" s="56">
        <v>10</v>
      </c>
      <c r="K76" s="56">
        <v>10</v>
      </c>
      <c r="L76" s="56"/>
      <c r="M76" s="1195" t="s">
        <v>707</v>
      </c>
      <c r="N76" s="275">
        <v>1</v>
      </c>
    </row>
    <row r="77" spans="1:14" ht="22.5" customHeight="1" x14ac:dyDescent="0.2">
      <c r="A77" s="553"/>
      <c r="B77" s="559"/>
      <c r="C77" s="620"/>
      <c r="D77" s="618"/>
      <c r="E77" s="1189"/>
      <c r="F77" s="247"/>
      <c r="G77" s="576"/>
      <c r="H77" s="1353"/>
      <c r="I77" s="17"/>
      <c r="J77" s="57"/>
      <c r="K77" s="57"/>
      <c r="L77" s="57"/>
      <c r="M77" s="1196"/>
      <c r="N77" s="261"/>
    </row>
    <row r="78" spans="1:14" ht="13.5" customHeight="1" x14ac:dyDescent="0.2">
      <c r="A78" s="553"/>
      <c r="B78" s="559"/>
      <c r="C78" s="620"/>
      <c r="D78" s="603" t="s">
        <v>22</v>
      </c>
      <c r="E78" s="1192" t="s">
        <v>69</v>
      </c>
      <c r="F78" s="1197" t="s">
        <v>59</v>
      </c>
      <c r="G78" s="546"/>
      <c r="H78" s="1291" t="s">
        <v>703</v>
      </c>
      <c r="I78" s="236" t="s">
        <v>21</v>
      </c>
      <c r="J78" s="83">
        <v>795.5</v>
      </c>
      <c r="K78" s="83">
        <v>795.5</v>
      </c>
      <c r="L78" s="83"/>
      <c r="M78" s="572" t="s">
        <v>94</v>
      </c>
      <c r="N78" s="293">
        <v>22.5</v>
      </c>
    </row>
    <row r="79" spans="1:14" ht="13.5" customHeight="1" x14ac:dyDescent="0.2">
      <c r="A79" s="553"/>
      <c r="B79" s="559"/>
      <c r="C79" s="620"/>
      <c r="D79" s="673"/>
      <c r="E79" s="1175"/>
      <c r="F79" s="1198"/>
      <c r="G79" s="546"/>
      <c r="H79" s="1296"/>
      <c r="I79" s="664" t="s">
        <v>36</v>
      </c>
      <c r="J79" s="128">
        <v>7.7</v>
      </c>
      <c r="K79" s="128">
        <v>7.7</v>
      </c>
      <c r="L79" s="128"/>
      <c r="M79" s="573" t="s">
        <v>95</v>
      </c>
      <c r="N79" s="397">
        <v>108</v>
      </c>
    </row>
    <row r="80" spans="1:14" ht="15.75" customHeight="1" x14ac:dyDescent="0.2">
      <c r="A80" s="553"/>
      <c r="B80" s="554"/>
      <c r="C80" s="602"/>
      <c r="D80" s="555"/>
      <c r="E80" s="1175"/>
      <c r="F80" s="1198"/>
      <c r="G80" s="546"/>
      <c r="H80" s="1296"/>
      <c r="I80" s="664"/>
      <c r="J80" s="128"/>
      <c r="K80" s="128"/>
      <c r="L80" s="128"/>
      <c r="M80" s="102" t="s">
        <v>93</v>
      </c>
      <c r="N80" s="674">
        <v>5</v>
      </c>
    </row>
    <row r="81" spans="1:14" ht="15" customHeight="1" x14ac:dyDescent="0.2">
      <c r="A81" s="553"/>
      <c r="B81" s="559"/>
      <c r="C81" s="620"/>
      <c r="D81" s="673"/>
      <c r="E81" s="1175"/>
      <c r="F81" s="1198"/>
      <c r="G81" s="546"/>
      <c r="H81" s="1296"/>
      <c r="I81" s="664"/>
      <c r="J81" s="128"/>
      <c r="K81" s="128"/>
      <c r="L81" s="128"/>
      <c r="M81" s="1199" t="s">
        <v>708</v>
      </c>
      <c r="N81" s="267">
        <v>1</v>
      </c>
    </row>
    <row r="82" spans="1:14" ht="12.75" customHeight="1" x14ac:dyDescent="0.2">
      <c r="A82" s="553"/>
      <c r="B82" s="559"/>
      <c r="C82" s="620"/>
      <c r="D82" s="673"/>
      <c r="E82" s="166"/>
      <c r="F82" s="1198"/>
      <c r="G82" s="546"/>
      <c r="H82" s="1296"/>
      <c r="I82" s="664"/>
      <c r="J82" s="128"/>
      <c r="K82" s="128"/>
      <c r="L82" s="128"/>
      <c r="M82" s="1137"/>
      <c r="N82" s="298"/>
    </row>
    <row r="83" spans="1:14" ht="29.25" customHeight="1" x14ac:dyDescent="0.2">
      <c r="A83" s="553"/>
      <c r="B83" s="559"/>
      <c r="C83" s="620"/>
      <c r="D83" s="673"/>
      <c r="E83" s="1175"/>
      <c r="F83" s="564"/>
      <c r="G83" s="546"/>
      <c r="H83" s="605"/>
      <c r="I83" s="664"/>
      <c r="J83" s="128"/>
      <c r="K83" s="128"/>
      <c r="L83" s="128"/>
      <c r="M83" s="572" t="s">
        <v>116</v>
      </c>
      <c r="N83" s="401">
        <v>1</v>
      </c>
    </row>
    <row r="84" spans="1:14" ht="29.25" customHeight="1" x14ac:dyDescent="0.2">
      <c r="A84" s="553"/>
      <c r="B84" s="559"/>
      <c r="C84" s="620"/>
      <c r="D84" s="673"/>
      <c r="E84" s="1175"/>
      <c r="F84" s="564"/>
      <c r="G84" s="546"/>
      <c r="H84" s="605"/>
      <c r="I84" s="664"/>
      <c r="J84" s="128"/>
      <c r="K84" s="128"/>
      <c r="L84" s="128"/>
      <c r="M84" s="443" t="s">
        <v>240</v>
      </c>
      <c r="N84" s="675">
        <v>1</v>
      </c>
    </row>
    <row r="85" spans="1:14" ht="12.75" customHeight="1" x14ac:dyDescent="0.2">
      <c r="A85" s="553"/>
      <c r="B85" s="559"/>
      <c r="C85" s="620"/>
      <c r="D85" s="673"/>
      <c r="E85" s="1175"/>
      <c r="F85" s="294"/>
      <c r="G85" s="546"/>
      <c r="H85" s="676"/>
      <c r="I85" s="664"/>
      <c r="J85" s="128"/>
      <c r="K85" s="128"/>
      <c r="L85" s="128"/>
      <c r="M85" s="677" t="s">
        <v>709</v>
      </c>
      <c r="N85" s="277"/>
    </row>
    <row r="86" spans="1:14" ht="16.5" customHeight="1" x14ac:dyDescent="0.2">
      <c r="A86" s="553"/>
      <c r="B86" s="559"/>
      <c r="C86" s="620"/>
      <c r="D86" s="555"/>
      <c r="E86" s="1344"/>
      <c r="F86" s="564"/>
      <c r="G86" s="546"/>
      <c r="H86" s="605"/>
      <c r="I86" s="664"/>
      <c r="J86" s="128"/>
      <c r="K86" s="128"/>
      <c r="L86" s="128"/>
      <c r="M86" s="678" t="s">
        <v>710</v>
      </c>
      <c r="N86" s="370">
        <v>2</v>
      </c>
    </row>
    <row r="87" spans="1:14" ht="15" customHeight="1" x14ac:dyDescent="0.2">
      <c r="A87" s="553"/>
      <c r="B87" s="559"/>
      <c r="C87" s="620"/>
      <c r="D87" s="673"/>
      <c r="E87" s="1344"/>
      <c r="F87" s="564"/>
      <c r="G87" s="546"/>
      <c r="H87" s="605"/>
      <c r="I87" s="664"/>
      <c r="J87" s="128"/>
      <c r="K87" s="128"/>
      <c r="L87" s="128"/>
      <c r="M87" s="24" t="s">
        <v>711</v>
      </c>
      <c r="N87" s="284">
        <v>60</v>
      </c>
    </row>
    <row r="88" spans="1:14" ht="16.5" customHeight="1" x14ac:dyDescent="0.2">
      <c r="A88" s="553"/>
      <c r="B88" s="559"/>
      <c r="C88" s="620"/>
      <c r="D88" s="673"/>
      <c r="E88" s="1344"/>
      <c r="F88" s="564"/>
      <c r="G88" s="546"/>
      <c r="H88" s="605"/>
      <c r="I88" s="664"/>
      <c r="J88" s="128"/>
      <c r="K88" s="128"/>
      <c r="L88" s="128"/>
      <c r="M88" s="679" t="s">
        <v>712</v>
      </c>
      <c r="N88" s="269">
        <v>2</v>
      </c>
    </row>
    <row r="89" spans="1:14" ht="17.25" customHeight="1" x14ac:dyDescent="0.2">
      <c r="A89" s="553"/>
      <c r="B89" s="559"/>
      <c r="C89" s="620"/>
      <c r="D89" s="673"/>
      <c r="E89" s="1344"/>
      <c r="F89" s="564"/>
      <c r="G89" s="546"/>
      <c r="H89" s="605"/>
      <c r="I89" s="664"/>
      <c r="J89" s="128"/>
      <c r="K89" s="128"/>
      <c r="L89" s="128"/>
      <c r="M89" s="678" t="s">
        <v>713</v>
      </c>
      <c r="N89" s="284">
        <v>1</v>
      </c>
    </row>
    <row r="90" spans="1:14" ht="27" customHeight="1" x14ac:dyDescent="0.2">
      <c r="A90" s="553"/>
      <c r="B90" s="554"/>
      <c r="C90" s="602"/>
      <c r="D90" s="555"/>
      <c r="E90" s="1344"/>
      <c r="F90" s="564"/>
      <c r="G90" s="546"/>
      <c r="H90" s="605"/>
      <c r="I90" s="664"/>
      <c r="J90" s="128"/>
      <c r="K90" s="128"/>
      <c r="L90" s="128"/>
      <c r="M90" s="678" t="s">
        <v>202</v>
      </c>
      <c r="N90" s="680">
        <v>50</v>
      </c>
    </row>
    <row r="91" spans="1:14" ht="18.75" customHeight="1" x14ac:dyDescent="0.2">
      <c r="A91" s="553"/>
      <c r="B91" s="559"/>
      <c r="C91" s="620"/>
      <c r="D91" s="673"/>
      <c r="E91" s="1344"/>
      <c r="F91" s="564"/>
      <c r="G91" s="546"/>
      <c r="H91" s="605"/>
      <c r="I91" s="140"/>
      <c r="J91" s="57"/>
      <c r="K91" s="57"/>
      <c r="L91" s="57"/>
      <c r="M91" s="681" t="s">
        <v>714</v>
      </c>
      <c r="N91" s="272">
        <v>1</v>
      </c>
    </row>
    <row r="92" spans="1:14" ht="12.75" customHeight="1" x14ac:dyDescent="0.2">
      <c r="A92" s="1061"/>
      <c r="B92" s="1003"/>
      <c r="C92" s="1347"/>
      <c r="D92" s="1348" t="s">
        <v>30</v>
      </c>
      <c r="E92" s="1192" t="s">
        <v>149</v>
      </c>
      <c r="F92" s="1200"/>
      <c r="G92" s="1022"/>
      <c r="H92" s="605"/>
      <c r="I92" s="664" t="s">
        <v>21</v>
      </c>
      <c r="J92" s="128">
        <v>23.1</v>
      </c>
      <c r="K92" s="128">
        <v>23.1</v>
      </c>
      <c r="L92" s="128"/>
      <c r="M92" s="556" t="s">
        <v>107</v>
      </c>
      <c r="N92" s="260">
        <v>2</v>
      </c>
    </row>
    <row r="93" spans="1:14" ht="15" customHeight="1" x14ac:dyDescent="0.2">
      <c r="A93" s="1061"/>
      <c r="B93" s="1003"/>
      <c r="C93" s="1347"/>
      <c r="D93" s="1172"/>
      <c r="E93" s="1175"/>
      <c r="F93" s="1200"/>
      <c r="G93" s="1022"/>
      <c r="H93" s="605"/>
      <c r="I93" s="664" t="s">
        <v>36</v>
      </c>
      <c r="J93" s="128">
        <v>5</v>
      </c>
      <c r="K93" s="128">
        <v>5</v>
      </c>
      <c r="L93" s="128"/>
      <c r="M93" s="402" t="s">
        <v>95</v>
      </c>
      <c r="N93" s="405">
        <v>5</v>
      </c>
    </row>
    <row r="94" spans="1:14" ht="12.75" customHeight="1" x14ac:dyDescent="0.2">
      <c r="A94" s="1061"/>
      <c r="B94" s="1003"/>
      <c r="C94" s="1347"/>
      <c r="D94" s="1349"/>
      <c r="E94" s="1189"/>
      <c r="F94" s="1200"/>
      <c r="G94" s="1022"/>
      <c r="H94" s="605"/>
      <c r="I94" s="664"/>
      <c r="J94" s="128"/>
      <c r="K94" s="128"/>
      <c r="L94" s="128"/>
      <c r="M94" s="402"/>
      <c r="N94" s="405"/>
    </row>
    <row r="95" spans="1:14" ht="15" customHeight="1" x14ac:dyDescent="0.2">
      <c r="A95" s="553"/>
      <c r="B95" s="559"/>
      <c r="C95" s="602"/>
      <c r="D95" s="230" t="s">
        <v>31</v>
      </c>
      <c r="E95" s="552" t="s">
        <v>57</v>
      </c>
      <c r="F95" s="564"/>
      <c r="G95" s="546"/>
      <c r="H95" s="605"/>
      <c r="I95" s="236" t="s">
        <v>36</v>
      </c>
      <c r="J95" s="56">
        <v>20</v>
      </c>
      <c r="K95" s="56">
        <v>20</v>
      </c>
      <c r="L95" s="56"/>
      <c r="M95" s="585" t="s">
        <v>94</v>
      </c>
      <c r="N95" s="252">
        <v>2</v>
      </c>
    </row>
    <row r="96" spans="1:14" ht="14.25" customHeight="1" x14ac:dyDescent="0.2">
      <c r="A96" s="19"/>
      <c r="B96" s="559"/>
      <c r="C96" s="620"/>
      <c r="D96" s="618"/>
      <c r="E96" s="550"/>
      <c r="F96" s="247"/>
      <c r="G96" s="576"/>
      <c r="H96" s="641"/>
      <c r="I96" s="17" t="s">
        <v>70</v>
      </c>
      <c r="J96" s="57">
        <v>2.6</v>
      </c>
      <c r="K96" s="57">
        <v>2.6</v>
      </c>
      <c r="L96" s="57"/>
      <c r="M96" s="577"/>
      <c r="N96" s="261"/>
    </row>
    <row r="97" spans="1:16" ht="16.5" customHeight="1" thickBot="1" x14ac:dyDescent="0.25">
      <c r="A97" s="20"/>
      <c r="B97" s="571"/>
      <c r="C97" s="624"/>
      <c r="D97" s="625"/>
      <c r="E97" s="644"/>
      <c r="F97" s="645"/>
      <c r="G97" s="628"/>
      <c r="H97" s="629"/>
      <c r="I97" s="630" t="s">
        <v>5</v>
      </c>
      <c r="J97" s="93">
        <f>SUM(J68:J96)</f>
        <v>969.6</v>
      </c>
      <c r="K97" s="93">
        <f>SUM(K68:K96)</f>
        <v>969.6</v>
      </c>
      <c r="L97" s="93">
        <f>SUM(L68:L96)</f>
        <v>0</v>
      </c>
      <c r="M97" s="646"/>
      <c r="N97" s="647"/>
      <c r="O97" s="764">
        <f>14649+38+176+811+177+38+52+84</f>
        <v>16025</v>
      </c>
    </row>
    <row r="98" spans="1:16" ht="18" customHeight="1" x14ac:dyDescent="0.2">
      <c r="A98" s="1166" t="s">
        <v>4</v>
      </c>
      <c r="B98" s="1168" t="s">
        <v>4</v>
      </c>
      <c r="C98" s="1350" t="s">
        <v>30</v>
      </c>
      <c r="D98" s="1351"/>
      <c r="E98" s="1177" t="s">
        <v>50</v>
      </c>
      <c r="F98" s="1179" t="s">
        <v>88</v>
      </c>
      <c r="G98" s="1181" t="s">
        <v>23</v>
      </c>
      <c r="H98" s="682"/>
      <c r="I98" s="94"/>
      <c r="J98" s="67"/>
      <c r="K98" s="67"/>
      <c r="L98" s="67"/>
      <c r="M98" s="1182"/>
      <c r="N98" s="308"/>
      <c r="O98" s="764">
        <f>123+1617+4+16</f>
        <v>1760</v>
      </c>
    </row>
    <row r="99" spans="1:16" ht="11.25" customHeight="1" x14ac:dyDescent="0.2">
      <c r="A99" s="1061"/>
      <c r="B99" s="1169"/>
      <c r="C99" s="1347"/>
      <c r="D99" s="1352"/>
      <c r="E99" s="1178"/>
      <c r="F99" s="1180"/>
      <c r="G99" s="1022"/>
      <c r="H99" s="44"/>
      <c r="I99" s="140"/>
      <c r="J99" s="57"/>
      <c r="K99" s="57"/>
      <c r="L99" s="57"/>
      <c r="M99" s="1000"/>
      <c r="N99" s="260"/>
    </row>
    <row r="100" spans="1:16" ht="31.5" customHeight="1" x14ac:dyDescent="0.2">
      <c r="A100" s="1061"/>
      <c r="B100" s="1003"/>
      <c r="C100" s="1347"/>
      <c r="D100" s="1348" t="s">
        <v>4</v>
      </c>
      <c r="E100" s="1175" t="s">
        <v>82</v>
      </c>
      <c r="F100" s="1190" t="s">
        <v>61</v>
      </c>
      <c r="G100" s="1022"/>
      <c r="H100" s="683"/>
      <c r="I100" s="236" t="s">
        <v>21</v>
      </c>
      <c r="J100" s="60">
        <v>1896.2</v>
      </c>
      <c r="K100" s="639">
        <f>1911.2-15+9.3</f>
        <v>1905.5</v>
      </c>
      <c r="L100" s="639">
        <f>+K100-J100</f>
        <v>9.3000000000000007</v>
      </c>
      <c r="M100" s="556" t="s">
        <v>64</v>
      </c>
      <c r="N100" s="765" t="s">
        <v>745</v>
      </c>
      <c r="O100" s="1354" t="s">
        <v>746</v>
      </c>
      <c r="P100" s="1355"/>
    </row>
    <row r="101" spans="1:16" ht="42.75" customHeight="1" x14ac:dyDescent="0.2">
      <c r="A101" s="1061"/>
      <c r="B101" s="1003"/>
      <c r="C101" s="1347"/>
      <c r="D101" s="1349"/>
      <c r="E101" s="1189"/>
      <c r="F101" s="1191"/>
      <c r="G101" s="1022"/>
      <c r="H101" s="684"/>
      <c r="I101" s="140" t="s">
        <v>53</v>
      </c>
      <c r="J101" s="685">
        <v>110.5</v>
      </c>
      <c r="K101" s="57">
        <v>110.5</v>
      </c>
      <c r="L101" s="57"/>
      <c r="M101" s="686" t="s">
        <v>46</v>
      </c>
      <c r="N101" s="766" t="s">
        <v>747</v>
      </c>
      <c r="O101" s="1354"/>
      <c r="P101" s="1355"/>
    </row>
    <row r="102" spans="1:16" ht="28.5" customHeight="1" x14ac:dyDescent="0.2">
      <c r="A102" s="553"/>
      <c r="B102" s="559"/>
      <c r="C102" s="602"/>
      <c r="D102" s="555" t="s">
        <v>6</v>
      </c>
      <c r="E102" s="1192" t="s">
        <v>128</v>
      </c>
      <c r="F102" s="246"/>
      <c r="G102" s="546"/>
      <c r="H102" s="1291" t="s">
        <v>715</v>
      </c>
      <c r="I102" s="664" t="s">
        <v>21</v>
      </c>
      <c r="J102" s="687">
        <v>147.69999999999999</v>
      </c>
      <c r="K102" s="604">
        <f>131.3+1.4+15-9.3</f>
        <v>138.4</v>
      </c>
      <c r="L102" s="604">
        <f>+K102-J102</f>
        <v>-9.3000000000000007</v>
      </c>
      <c r="M102" s="688" t="s">
        <v>46</v>
      </c>
      <c r="N102" s="767" t="s">
        <v>748</v>
      </c>
      <c r="O102" s="1354" t="s">
        <v>749</v>
      </c>
      <c r="P102" s="1355"/>
    </row>
    <row r="103" spans="1:16" ht="26.25" customHeight="1" x14ac:dyDescent="0.2">
      <c r="A103" s="553"/>
      <c r="B103" s="559"/>
      <c r="C103" s="602"/>
      <c r="D103" s="555"/>
      <c r="E103" s="1175"/>
      <c r="F103" s="299"/>
      <c r="G103" s="546"/>
      <c r="H103" s="1291"/>
      <c r="I103" s="664" t="s">
        <v>53</v>
      </c>
      <c r="J103" s="689">
        <v>90.4</v>
      </c>
      <c r="K103" s="128">
        <v>90.4</v>
      </c>
      <c r="L103" s="128"/>
      <c r="M103" s="690" t="s">
        <v>203</v>
      </c>
      <c r="N103" s="284">
        <v>1206</v>
      </c>
      <c r="O103" s="1354"/>
      <c r="P103" s="1355"/>
    </row>
    <row r="104" spans="1:16" ht="39" customHeight="1" x14ac:dyDescent="0.2">
      <c r="A104" s="553"/>
      <c r="B104" s="554"/>
      <c r="C104" s="602"/>
      <c r="D104" s="555"/>
      <c r="E104" s="1175"/>
      <c r="F104" s="299"/>
      <c r="G104" s="546"/>
      <c r="H104" s="1291"/>
      <c r="I104" s="664"/>
      <c r="J104" s="689"/>
      <c r="K104" s="689"/>
      <c r="L104" s="689"/>
      <c r="M104" s="690" t="s">
        <v>204</v>
      </c>
      <c r="N104" s="691">
        <v>22.2</v>
      </c>
      <c r="O104" s="1354"/>
      <c r="P104" s="1355"/>
    </row>
    <row r="105" spans="1:16" ht="100.5" customHeight="1" x14ac:dyDescent="0.2">
      <c r="A105" s="553"/>
      <c r="B105" s="559"/>
      <c r="C105" s="602"/>
      <c r="D105" s="580"/>
      <c r="E105" s="1343"/>
      <c r="F105" s="549"/>
      <c r="G105" s="546"/>
      <c r="H105" s="1294"/>
      <c r="I105" s="140"/>
      <c r="J105" s="685"/>
      <c r="K105" s="685"/>
      <c r="L105" s="685"/>
      <c r="M105" s="692" t="s">
        <v>241</v>
      </c>
      <c r="N105" s="693">
        <v>3</v>
      </c>
      <c r="O105" s="1354"/>
      <c r="P105" s="1355"/>
    </row>
    <row r="106" spans="1:16" ht="16.5" customHeight="1" x14ac:dyDescent="0.2">
      <c r="A106" s="553"/>
      <c r="B106" s="559"/>
      <c r="C106" s="602"/>
      <c r="D106" s="705" t="s">
        <v>22</v>
      </c>
      <c r="E106" s="1192" t="s">
        <v>205</v>
      </c>
      <c r="F106" s="547"/>
      <c r="G106" s="546"/>
      <c r="H106" s="598"/>
      <c r="I106" s="664" t="s">
        <v>21</v>
      </c>
      <c r="J106" s="689">
        <v>3.4</v>
      </c>
      <c r="K106" s="689">
        <v>3.4</v>
      </c>
      <c r="L106" s="689"/>
      <c r="M106" s="694" t="s">
        <v>206</v>
      </c>
      <c r="N106" s="695">
        <v>9</v>
      </c>
    </row>
    <row r="107" spans="1:16" ht="12.75" customHeight="1" x14ac:dyDescent="0.2">
      <c r="A107" s="553"/>
      <c r="B107" s="559"/>
      <c r="C107" s="602"/>
      <c r="D107" s="580"/>
      <c r="E107" s="1344"/>
      <c r="F107" s="548"/>
      <c r="G107" s="230"/>
      <c r="H107" s="598"/>
      <c r="I107" s="664" t="s">
        <v>53</v>
      </c>
      <c r="J107" s="128">
        <v>4.7</v>
      </c>
      <c r="K107" s="128">
        <v>4.7</v>
      </c>
      <c r="L107" s="128"/>
      <c r="M107" s="694" t="s">
        <v>208</v>
      </c>
      <c r="N107" s="307">
        <v>100</v>
      </c>
    </row>
    <row r="108" spans="1:16" ht="27" customHeight="1" x14ac:dyDescent="0.2">
      <c r="A108" s="553"/>
      <c r="B108" s="559"/>
      <c r="C108" s="602"/>
      <c r="D108" s="1345"/>
      <c r="E108" s="233" t="s">
        <v>242</v>
      </c>
      <c r="F108" s="548"/>
      <c r="G108" s="230"/>
      <c r="H108" s="598"/>
      <c r="I108" s="664" t="s">
        <v>21</v>
      </c>
      <c r="J108" s="128">
        <f>109.4-28</f>
        <v>81.400000000000006</v>
      </c>
      <c r="K108" s="128">
        <f>109.4-28</f>
        <v>81.400000000000006</v>
      </c>
      <c r="L108" s="128">
        <f>K108-J108</f>
        <v>0</v>
      </c>
      <c r="M108" s="694"/>
      <c r="N108" s="307"/>
    </row>
    <row r="109" spans="1:16" ht="24.75" customHeight="1" x14ac:dyDescent="0.2">
      <c r="A109" s="553"/>
      <c r="B109" s="559"/>
      <c r="C109" s="602"/>
      <c r="D109" s="1345"/>
      <c r="E109" s="233" t="s">
        <v>207</v>
      </c>
      <c r="F109" s="548"/>
      <c r="G109" s="230"/>
      <c r="H109" s="598"/>
      <c r="I109" s="664"/>
      <c r="J109" s="128"/>
      <c r="K109" s="128"/>
      <c r="L109" s="128"/>
      <c r="M109" s="703"/>
      <c r="N109" s="307"/>
    </row>
    <row r="110" spans="1:16" ht="28.5" customHeight="1" x14ac:dyDescent="0.2">
      <c r="A110" s="553"/>
      <c r="B110" s="559"/>
      <c r="C110" s="602"/>
      <c r="D110" s="1345"/>
      <c r="E110" s="233" t="s">
        <v>209</v>
      </c>
      <c r="F110" s="548"/>
      <c r="G110" s="230"/>
      <c r="H110" s="598"/>
      <c r="I110" s="664"/>
      <c r="J110" s="128"/>
      <c r="K110" s="128"/>
      <c r="L110" s="128"/>
      <c r="M110" s="696"/>
      <c r="N110" s="307"/>
    </row>
    <row r="111" spans="1:16" ht="15" customHeight="1" x14ac:dyDescent="0.2">
      <c r="A111" s="553"/>
      <c r="B111" s="559"/>
      <c r="C111" s="602"/>
      <c r="D111" s="1346"/>
      <c r="E111" s="550" t="s">
        <v>716</v>
      </c>
      <c r="F111" s="549"/>
      <c r="G111" s="231"/>
      <c r="H111" s="701"/>
      <c r="I111" s="140"/>
      <c r="J111" s="57"/>
      <c r="K111" s="57"/>
      <c r="L111" s="57"/>
      <c r="M111" s="697"/>
      <c r="N111" s="181"/>
    </row>
    <row r="112" spans="1:16" ht="14.25" customHeight="1" thickBot="1" x14ac:dyDescent="0.25">
      <c r="A112" s="20"/>
      <c r="B112" s="571"/>
      <c r="C112" s="624"/>
      <c r="D112" s="625"/>
      <c r="E112" s="626"/>
      <c r="F112" s="627"/>
      <c r="G112" s="628"/>
      <c r="H112" s="629"/>
      <c r="I112" s="630" t="s">
        <v>5</v>
      </c>
      <c r="J112" s="93">
        <f>SUM(J100:J111)</f>
        <v>2334.3000000000002</v>
      </c>
      <c r="K112" s="93">
        <f>SUM(K100:K111)</f>
        <v>2334.3000000000002</v>
      </c>
      <c r="L112" s="93">
        <f>SUM(L100:L111)</f>
        <v>0</v>
      </c>
      <c r="M112" s="646"/>
      <c r="N112" s="647"/>
    </row>
    <row r="113" spans="1:14" ht="18.75" customHeight="1" x14ac:dyDescent="0.2">
      <c r="A113" s="1166" t="s">
        <v>4</v>
      </c>
      <c r="B113" s="1168" t="s">
        <v>4</v>
      </c>
      <c r="C113" s="1171" t="s">
        <v>31</v>
      </c>
      <c r="D113" s="1332"/>
      <c r="E113" s="1174" t="s">
        <v>243</v>
      </c>
      <c r="F113" s="1034"/>
      <c r="G113" s="1128" t="s">
        <v>45</v>
      </c>
      <c r="H113" s="1335" t="s">
        <v>717</v>
      </c>
      <c r="I113" s="176" t="s">
        <v>21</v>
      </c>
      <c r="J113" s="67">
        <f>152.3-3-11.3</f>
        <v>138</v>
      </c>
      <c r="K113" s="67">
        <f>152.3-3-11.3</f>
        <v>138</v>
      </c>
      <c r="L113" s="96">
        <f>K113-J113</f>
        <v>0</v>
      </c>
      <c r="M113" s="569" t="s">
        <v>96</v>
      </c>
      <c r="N113" s="308">
        <v>151</v>
      </c>
    </row>
    <row r="114" spans="1:14" ht="16.5" customHeight="1" x14ac:dyDescent="0.2">
      <c r="A114" s="1061"/>
      <c r="B114" s="1169"/>
      <c r="C114" s="1172"/>
      <c r="D114" s="1333"/>
      <c r="E114" s="1175"/>
      <c r="F114" s="1035"/>
      <c r="G114" s="1129"/>
      <c r="H114" s="1336"/>
      <c r="I114" s="174" t="s">
        <v>53</v>
      </c>
      <c r="J114" s="57">
        <v>135.19999999999999</v>
      </c>
      <c r="K114" s="57">
        <v>135.19999999999999</v>
      </c>
      <c r="L114" s="80"/>
      <c r="M114" s="444" t="s">
        <v>210</v>
      </c>
      <c r="N114" s="260">
        <v>1</v>
      </c>
    </row>
    <row r="115" spans="1:14" ht="16.5" customHeight="1" thickBot="1" x14ac:dyDescent="0.25">
      <c r="A115" s="1167"/>
      <c r="B115" s="1170"/>
      <c r="C115" s="1173"/>
      <c r="D115" s="1334"/>
      <c r="E115" s="1176"/>
      <c r="F115" s="1036"/>
      <c r="G115" s="1130"/>
      <c r="H115" s="1337"/>
      <c r="I115" s="26" t="s">
        <v>5</v>
      </c>
      <c r="J115" s="85">
        <f t="shared" ref="J115:L115" si="0">SUM(J113:J114)</f>
        <v>273.2</v>
      </c>
      <c r="K115" s="85">
        <f t="shared" si="0"/>
        <v>273.2</v>
      </c>
      <c r="L115" s="698">
        <f t="shared" si="0"/>
        <v>0</v>
      </c>
      <c r="M115" s="114"/>
      <c r="N115" s="276"/>
    </row>
    <row r="116" spans="1:14" ht="15.75" customHeight="1" x14ac:dyDescent="0.2">
      <c r="A116" s="1166" t="s">
        <v>4</v>
      </c>
      <c r="B116" s="1168" t="s">
        <v>4</v>
      </c>
      <c r="C116" s="1171" t="s">
        <v>24</v>
      </c>
      <c r="D116" s="1332"/>
      <c r="E116" s="1174" t="s">
        <v>244</v>
      </c>
      <c r="F116" s="1034"/>
      <c r="G116" s="1128" t="s">
        <v>45</v>
      </c>
      <c r="H116" s="1335" t="s">
        <v>718</v>
      </c>
      <c r="I116" s="176" t="s">
        <v>21</v>
      </c>
      <c r="J116" s="67">
        <v>16.8</v>
      </c>
      <c r="K116" s="67">
        <v>16.8</v>
      </c>
      <c r="L116" s="67"/>
      <c r="M116" s="1182" t="s">
        <v>245</v>
      </c>
      <c r="N116" s="308">
        <v>2</v>
      </c>
    </row>
    <row r="117" spans="1:14" ht="20.25" customHeight="1" x14ac:dyDescent="0.2">
      <c r="A117" s="1061"/>
      <c r="B117" s="1169"/>
      <c r="C117" s="1172"/>
      <c r="D117" s="1333"/>
      <c r="E117" s="1175"/>
      <c r="F117" s="1035"/>
      <c r="G117" s="1129"/>
      <c r="H117" s="1336"/>
      <c r="I117" s="174"/>
      <c r="J117" s="57"/>
      <c r="K117" s="57"/>
      <c r="L117" s="57"/>
      <c r="M117" s="1339"/>
      <c r="N117" s="260"/>
    </row>
    <row r="118" spans="1:14" ht="16.5" customHeight="1" thickBot="1" x14ac:dyDescent="0.25">
      <c r="A118" s="1167"/>
      <c r="B118" s="1170"/>
      <c r="C118" s="1173"/>
      <c r="D118" s="1334"/>
      <c r="E118" s="1176"/>
      <c r="F118" s="1036"/>
      <c r="G118" s="1130"/>
      <c r="H118" s="1337"/>
      <c r="I118" s="26" t="s">
        <v>5</v>
      </c>
      <c r="J118" s="85">
        <f>SUM(J116:J117)</f>
        <v>16.8</v>
      </c>
      <c r="K118" s="85">
        <f>SUM(K116:K117)</f>
        <v>16.8</v>
      </c>
      <c r="L118" s="85">
        <f>SUM(L116:L117)</f>
        <v>0</v>
      </c>
      <c r="M118" s="114"/>
      <c r="N118" s="276"/>
    </row>
    <row r="119" spans="1:14" ht="20.25" customHeight="1" x14ac:dyDescent="0.2">
      <c r="A119" s="565" t="s">
        <v>4</v>
      </c>
      <c r="B119" s="566" t="s">
        <v>4</v>
      </c>
      <c r="C119" s="699" t="s">
        <v>32</v>
      </c>
      <c r="D119" s="567"/>
      <c r="E119" s="1001" t="s">
        <v>112</v>
      </c>
      <c r="F119" s="115" t="s">
        <v>43</v>
      </c>
      <c r="G119" s="568" t="s">
        <v>42</v>
      </c>
      <c r="H119" s="1323" t="s">
        <v>719</v>
      </c>
      <c r="I119" s="42"/>
      <c r="J119" s="67"/>
      <c r="K119" s="67"/>
      <c r="L119" s="67"/>
      <c r="M119" s="1012"/>
      <c r="N119" s="309"/>
    </row>
    <row r="120" spans="1:14" ht="21.75" customHeight="1" x14ac:dyDescent="0.2">
      <c r="A120" s="553"/>
      <c r="B120" s="559"/>
      <c r="C120" s="602"/>
      <c r="D120" s="555"/>
      <c r="E120" s="1002"/>
      <c r="F120" s="564"/>
      <c r="G120" s="546"/>
      <c r="H120" s="1324"/>
      <c r="I120" s="456"/>
      <c r="J120" s="57"/>
      <c r="K120" s="57"/>
      <c r="L120" s="57"/>
      <c r="M120" s="1340"/>
      <c r="N120" s="310"/>
    </row>
    <row r="121" spans="1:14" ht="16.5" customHeight="1" x14ac:dyDescent="0.2">
      <c r="A121" s="553"/>
      <c r="B121" s="559"/>
      <c r="C121" s="602"/>
      <c r="D121" s="700" t="s">
        <v>4</v>
      </c>
      <c r="E121" s="1192" t="s">
        <v>124</v>
      </c>
      <c r="F121" s="1020" t="s">
        <v>79</v>
      </c>
      <c r="G121" s="1022"/>
      <c r="H121" s="1300"/>
      <c r="I121" s="664" t="s">
        <v>53</v>
      </c>
      <c r="J121" s="128">
        <v>73.099999999999994</v>
      </c>
      <c r="K121" s="128">
        <f>70.3+2.8</f>
        <v>73.099999999999994</v>
      </c>
      <c r="L121" s="128"/>
      <c r="M121" s="588" t="s">
        <v>78</v>
      </c>
      <c r="N121" s="252">
        <v>1</v>
      </c>
    </row>
    <row r="122" spans="1:14" ht="13.5" customHeight="1" x14ac:dyDescent="0.2">
      <c r="A122" s="553"/>
      <c r="B122" s="559"/>
      <c r="C122" s="602"/>
      <c r="D122" s="702"/>
      <c r="E122" s="1175"/>
      <c r="F122" s="1281"/>
      <c r="G122" s="1022"/>
      <c r="H122" s="1318"/>
      <c r="I122" s="664"/>
      <c r="J122" s="128"/>
      <c r="K122" s="128"/>
      <c r="L122" s="128"/>
      <c r="M122" s="1342" t="s">
        <v>720</v>
      </c>
      <c r="N122" s="260"/>
    </row>
    <row r="123" spans="1:14" ht="12.75" customHeight="1" x14ac:dyDescent="0.2">
      <c r="A123" s="553"/>
      <c r="B123" s="559"/>
      <c r="C123" s="602"/>
      <c r="D123" s="702"/>
      <c r="E123" s="1175"/>
      <c r="F123" s="1281"/>
      <c r="G123" s="1022"/>
      <c r="H123" s="1341"/>
      <c r="I123" s="664"/>
      <c r="J123" s="128"/>
      <c r="K123" s="128"/>
      <c r="L123" s="128"/>
      <c r="M123" s="1338"/>
      <c r="N123" s="260"/>
    </row>
    <row r="124" spans="1:14" ht="14.25" customHeight="1" x14ac:dyDescent="0.2">
      <c r="A124" s="553"/>
      <c r="B124" s="559"/>
      <c r="C124" s="602"/>
      <c r="D124" s="704"/>
      <c r="E124" s="1189"/>
      <c r="F124" s="1021"/>
      <c r="G124" s="1022"/>
      <c r="H124" s="1341"/>
      <c r="I124" s="140"/>
      <c r="J124" s="57"/>
      <c r="K124" s="57"/>
      <c r="L124" s="57"/>
      <c r="M124" s="562"/>
      <c r="N124" s="261"/>
    </row>
    <row r="125" spans="1:14" ht="14.25" customHeight="1" x14ac:dyDescent="0.2">
      <c r="A125" s="553"/>
      <c r="B125" s="559"/>
      <c r="C125" s="602"/>
      <c r="D125" s="1327" t="s">
        <v>6</v>
      </c>
      <c r="E125" s="1192" t="s">
        <v>142</v>
      </c>
      <c r="F125" s="1185" t="s">
        <v>58</v>
      </c>
      <c r="G125" s="1022"/>
      <c r="H125" s="1307"/>
      <c r="I125" s="236" t="s">
        <v>21</v>
      </c>
      <c r="J125" s="56">
        <v>26</v>
      </c>
      <c r="K125" s="56">
        <f>364.5-338.5</f>
        <v>26</v>
      </c>
      <c r="L125" s="56"/>
      <c r="M125" s="561" t="s">
        <v>78</v>
      </c>
      <c r="N125" s="252">
        <v>1</v>
      </c>
    </row>
    <row r="126" spans="1:14" ht="13.5" customHeight="1" x14ac:dyDescent="0.2">
      <c r="A126" s="553"/>
      <c r="B126" s="559"/>
      <c r="C126" s="602"/>
      <c r="D126" s="1328"/>
      <c r="E126" s="1175"/>
      <c r="F126" s="1186"/>
      <c r="G126" s="1022"/>
      <c r="H126" s="1307"/>
      <c r="I126" s="664" t="s">
        <v>53</v>
      </c>
      <c r="J126" s="408">
        <v>327.8</v>
      </c>
      <c r="K126" s="408">
        <f>322.5+20.3-15</f>
        <v>327.8</v>
      </c>
      <c r="L126" s="408"/>
      <c r="M126" s="1319" t="s">
        <v>721</v>
      </c>
      <c r="N126" s="706"/>
    </row>
    <row r="127" spans="1:14" ht="13.5" customHeight="1" x14ac:dyDescent="0.2">
      <c r="A127" s="553"/>
      <c r="B127" s="559"/>
      <c r="C127" s="602"/>
      <c r="D127" s="1328"/>
      <c r="E127" s="1175"/>
      <c r="F127" s="1186"/>
      <c r="G127" s="1022"/>
      <c r="H127" s="1307"/>
      <c r="I127" s="664" t="s">
        <v>74</v>
      </c>
      <c r="J127" s="408">
        <v>0</v>
      </c>
      <c r="K127" s="408">
        <v>0</v>
      </c>
      <c r="L127" s="408"/>
      <c r="M127" s="1319"/>
      <c r="N127" s="260"/>
    </row>
    <row r="128" spans="1:14" ht="15" customHeight="1" x14ac:dyDescent="0.2">
      <c r="A128" s="553"/>
      <c r="B128" s="559"/>
      <c r="C128" s="602"/>
      <c r="D128" s="1328"/>
      <c r="E128" s="1175"/>
      <c r="F128" s="1186"/>
      <c r="G128" s="1022"/>
      <c r="H128" s="1307"/>
      <c r="I128" s="664" t="s">
        <v>173</v>
      </c>
      <c r="J128" s="409">
        <v>0</v>
      </c>
      <c r="K128" s="409">
        <v>0</v>
      </c>
      <c r="L128" s="409"/>
      <c r="M128" s="1338"/>
      <c r="N128" s="260"/>
    </row>
    <row r="129" spans="1:14" ht="15.95" customHeight="1" x14ac:dyDescent="0.2">
      <c r="A129" s="553"/>
      <c r="B129" s="559"/>
      <c r="C129" s="602"/>
      <c r="D129" s="1327" t="s">
        <v>22</v>
      </c>
      <c r="E129" s="1192" t="s">
        <v>246</v>
      </c>
      <c r="F129" s="1017" t="s">
        <v>211</v>
      </c>
      <c r="G129" s="1022"/>
      <c r="H129" s="1325"/>
      <c r="I129" s="236" t="s">
        <v>21</v>
      </c>
      <c r="J129" s="128">
        <v>0</v>
      </c>
      <c r="K129" s="128">
        <v>0</v>
      </c>
      <c r="L129" s="128"/>
      <c r="M129" s="561" t="s">
        <v>78</v>
      </c>
      <c r="N129" s="252">
        <v>1</v>
      </c>
    </row>
    <row r="130" spans="1:14" ht="15.95" customHeight="1" x14ac:dyDescent="0.2">
      <c r="A130" s="553"/>
      <c r="B130" s="559"/>
      <c r="C130" s="602"/>
      <c r="D130" s="1328"/>
      <c r="E130" s="1175"/>
      <c r="F130" s="1018"/>
      <c r="G130" s="1022"/>
      <c r="H130" s="1325"/>
      <c r="I130" s="664" t="s">
        <v>173</v>
      </c>
      <c r="J130" s="128">
        <v>0.2</v>
      </c>
      <c r="K130" s="128">
        <v>0.2</v>
      </c>
      <c r="L130" s="128"/>
      <c r="M130" s="588" t="s">
        <v>722</v>
      </c>
      <c r="N130" s="706"/>
    </row>
    <row r="131" spans="1:14" ht="15.95" customHeight="1" x14ac:dyDescent="0.2">
      <c r="A131" s="553"/>
      <c r="B131" s="559"/>
      <c r="C131" s="602"/>
      <c r="D131" s="1328"/>
      <c r="E131" s="1175"/>
      <c r="F131" s="1018"/>
      <c r="G131" s="1022"/>
      <c r="H131" s="1325"/>
      <c r="I131" s="664" t="s">
        <v>53</v>
      </c>
      <c r="J131" s="128">
        <f>133.3-65.4</f>
        <v>67.900000000000006</v>
      </c>
      <c r="K131" s="128">
        <f>133.3-65.4</f>
        <v>67.900000000000006</v>
      </c>
      <c r="L131" s="128"/>
      <c r="M131" s="588"/>
      <c r="N131" s="260"/>
    </row>
    <row r="132" spans="1:14" ht="15.95" customHeight="1" x14ac:dyDescent="0.2">
      <c r="A132" s="553"/>
      <c r="B132" s="559"/>
      <c r="C132" s="602"/>
      <c r="D132" s="1329"/>
      <c r="E132" s="1175"/>
      <c r="F132" s="1019"/>
      <c r="G132" s="1022"/>
      <c r="H132" s="1325"/>
      <c r="I132" s="140" t="s">
        <v>74</v>
      </c>
      <c r="J132" s="57">
        <v>0.1</v>
      </c>
      <c r="K132" s="57">
        <v>0.1</v>
      </c>
      <c r="L132" s="57"/>
      <c r="M132" s="445"/>
      <c r="N132" s="261"/>
    </row>
    <row r="133" spans="1:14" ht="15" customHeight="1" x14ac:dyDescent="0.2">
      <c r="A133" s="553"/>
      <c r="B133" s="559"/>
      <c r="C133" s="602"/>
      <c r="D133" s="555" t="s">
        <v>30</v>
      </c>
      <c r="E133" s="1330" t="s">
        <v>212</v>
      </c>
      <c r="F133" s="1018" t="s">
        <v>213</v>
      </c>
      <c r="G133" s="546"/>
      <c r="H133" s="598"/>
      <c r="I133" s="86" t="s">
        <v>53</v>
      </c>
      <c r="J133" s="86">
        <f>129.6+15</f>
        <v>144.6</v>
      </c>
      <c r="K133" s="86">
        <f>129.6+15</f>
        <v>144.6</v>
      </c>
      <c r="L133" s="86"/>
      <c r="M133" s="588" t="s">
        <v>78</v>
      </c>
      <c r="N133" s="260">
        <v>1</v>
      </c>
    </row>
    <row r="134" spans="1:14" ht="13.5" customHeight="1" x14ac:dyDescent="0.2">
      <c r="A134" s="553"/>
      <c r="B134" s="559"/>
      <c r="C134" s="602"/>
      <c r="D134" s="555"/>
      <c r="E134" s="1330"/>
      <c r="F134" s="1018"/>
      <c r="G134" s="546"/>
      <c r="H134" s="707"/>
      <c r="I134" s="86"/>
      <c r="J134" s="86"/>
      <c r="K134" s="86"/>
      <c r="L134" s="86"/>
      <c r="M134" s="1319" t="s">
        <v>723</v>
      </c>
      <c r="N134" s="260"/>
    </row>
    <row r="135" spans="1:14" ht="15" customHeight="1" x14ac:dyDescent="0.2">
      <c r="A135" s="553"/>
      <c r="B135" s="559"/>
      <c r="C135" s="602"/>
      <c r="D135" s="618"/>
      <c r="E135" s="1331"/>
      <c r="F135" s="1213"/>
      <c r="G135" s="1022"/>
      <c r="H135" s="1325"/>
      <c r="I135" s="87"/>
      <c r="J135" s="57"/>
      <c r="K135" s="57"/>
      <c r="L135" s="57"/>
      <c r="M135" s="1196"/>
      <c r="N135" s="708"/>
    </row>
    <row r="136" spans="1:14" ht="15" customHeight="1" x14ac:dyDescent="0.2">
      <c r="A136" s="553"/>
      <c r="B136" s="559"/>
      <c r="C136" s="602"/>
      <c r="D136" s="555" t="s">
        <v>31</v>
      </c>
      <c r="E136" s="1192" t="s">
        <v>123</v>
      </c>
      <c r="F136" s="1017" t="s">
        <v>79</v>
      </c>
      <c r="G136" s="1022"/>
      <c r="H136" s="1325"/>
      <c r="I136" s="86" t="s">
        <v>21</v>
      </c>
      <c r="J136" s="86">
        <v>52.3</v>
      </c>
      <c r="K136" s="86">
        <v>52.3</v>
      </c>
      <c r="L136" s="86"/>
      <c r="M136" s="588" t="s">
        <v>78</v>
      </c>
      <c r="N136" s="260">
        <v>1</v>
      </c>
    </row>
    <row r="137" spans="1:14" ht="15" customHeight="1" x14ac:dyDescent="0.2">
      <c r="A137" s="553"/>
      <c r="B137" s="559"/>
      <c r="C137" s="602"/>
      <c r="D137" s="555"/>
      <c r="E137" s="1175"/>
      <c r="F137" s="1018"/>
      <c r="G137" s="1022"/>
      <c r="H137" s="1325"/>
      <c r="I137" s="86" t="s">
        <v>173</v>
      </c>
      <c r="J137" s="86">
        <f>522.8-513.6</f>
        <v>9.1999999999999993</v>
      </c>
      <c r="K137" s="86">
        <f>522.8-513.6</f>
        <v>9.1999999999999993</v>
      </c>
      <c r="L137" s="86"/>
      <c r="M137" s="1319" t="s">
        <v>724</v>
      </c>
      <c r="N137" s="706"/>
    </row>
    <row r="138" spans="1:14" ht="15" customHeight="1" x14ac:dyDescent="0.2">
      <c r="A138" s="553"/>
      <c r="B138" s="559"/>
      <c r="C138" s="602"/>
      <c r="D138" s="555"/>
      <c r="E138" s="1175"/>
      <c r="F138" s="1018"/>
      <c r="G138" s="546"/>
      <c r="H138" s="707"/>
      <c r="I138" s="86" t="s">
        <v>53</v>
      </c>
      <c r="J138" s="86">
        <v>28.2</v>
      </c>
      <c r="K138" s="86">
        <v>28.2</v>
      </c>
      <c r="L138" s="86"/>
      <c r="M138" s="1319"/>
      <c r="N138" s="260"/>
    </row>
    <row r="139" spans="1:14" ht="15" customHeight="1" x14ac:dyDescent="0.2">
      <c r="A139" s="553"/>
      <c r="B139" s="559"/>
      <c r="C139" s="602"/>
      <c r="D139" s="618"/>
      <c r="E139" s="1189"/>
      <c r="F139" s="1018"/>
      <c r="G139" s="1022"/>
      <c r="H139" s="1325"/>
      <c r="I139" s="87" t="s">
        <v>74</v>
      </c>
      <c r="J139" s="57">
        <f>46.1-45.3</f>
        <v>0.8</v>
      </c>
      <c r="K139" s="57">
        <f>46.1-45.3</f>
        <v>0.8</v>
      </c>
      <c r="L139" s="57"/>
      <c r="M139" s="1196"/>
      <c r="N139" s="261"/>
    </row>
    <row r="140" spans="1:14" ht="13.5" customHeight="1" x14ac:dyDescent="0.2">
      <c r="A140" s="553"/>
      <c r="B140" s="559"/>
      <c r="C140" s="602"/>
      <c r="D140" s="230" t="s">
        <v>24</v>
      </c>
      <c r="E140" s="1031" t="s">
        <v>125</v>
      </c>
      <c r="F140" s="1017" t="s">
        <v>79</v>
      </c>
      <c r="G140" s="1022"/>
      <c r="H140" s="1325"/>
      <c r="I140" s="86" t="s">
        <v>21</v>
      </c>
      <c r="J140" s="128">
        <v>66.8</v>
      </c>
      <c r="K140" s="128">
        <v>66.8</v>
      </c>
      <c r="L140" s="128"/>
      <c r="M140" s="588" t="s">
        <v>78</v>
      </c>
      <c r="N140" s="127">
        <v>1</v>
      </c>
    </row>
    <row r="141" spans="1:14" ht="14.25" customHeight="1" x14ac:dyDescent="0.2">
      <c r="A141" s="553"/>
      <c r="B141" s="559"/>
      <c r="C141" s="602"/>
      <c r="D141" s="230"/>
      <c r="E141" s="1326"/>
      <c r="F141" s="1018"/>
      <c r="G141" s="1022"/>
      <c r="H141" s="1325"/>
      <c r="I141" s="86" t="s">
        <v>53</v>
      </c>
      <c r="J141" s="128">
        <v>107.3</v>
      </c>
      <c r="K141" s="128">
        <v>107.3</v>
      </c>
      <c r="L141" s="128"/>
      <c r="M141" s="588"/>
      <c r="N141" s="127"/>
    </row>
    <row r="142" spans="1:14" ht="18" customHeight="1" x14ac:dyDescent="0.2">
      <c r="A142" s="553"/>
      <c r="B142" s="559"/>
      <c r="C142" s="602"/>
      <c r="D142" s="230"/>
      <c r="E142" s="1032"/>
      <c r="F142" s="1018"/>
      <c r="G142" s="1022"/>
      <c r="H142" s="1325"/>
      <c r="I142" s="86" t="s">
        <v>44</v>
      </c>
      <c r="J142" s="128">
        <v>737.4</v>
      </c>
      <c r="K142" s="128">
        <v>737.4</v>
      </c>
      <c r="L142" s="128"/>
      <c r="M142" s="1319" t="s">
        <v>725</v>
      </c>
      <c r="N142" s="260">
        <v>40</v>
      </c>
    </row>
    <row r="143" spans="1:14" ht="14.25" customHeight="1" x14ac:dyDescent="0.2">
      <c r="A143" s="553"/>
      <c r="B143" s="559"/>
      <c r="C143" s="602"/>
      <c r="D143" s="709"/>
      <c r="E143" s="1033"/>
      <c r="F143" s="1019"/>
      <c r="G143" s="230"/>
      <c r="H143" s="598"/>
      <c r="I143" s="87" t="s">
        <v>140</v>
      </c>
      <c r="J143" s="57">
        <v>65.099999999999994</v>
      </c>
      <c r="K143" s="57">
        <v>65.099999999999994</v>
      </c>
      <c r="L143" s="57"/>
      <c r="M143" s="1196"/>
      <c r="N143" s="261"/>
    </row>
    <row r="144" spans="1:14" ht="16.5" customHeight="1" x14ac:dyDescent="0.2">
      <c r="A144" s="553"/>
      <c r="B144" s="559"/>
      <c r="C144" s="602"/>
      <c r="D144" s="230" t="s">
        <v>32</v>
      </c>
      <c r="E144" s="1320" t="s">
        <v>726</v>
      </c>
      <c r="F144" s="574"/>
      <c r="G144" s="710"/>
      <c r="H144" s="598"/>
      <c r="I144" s="86" t="s">
        <v>21</v>
      </c>
      <c r="J144" s="128"/>
      <c r="K144" s="128"/>
      <c r="L144" s="128"/>
      <c r="M144" s="152" t="s">
        <v>78</v>
      </c>
      <c r="N144" s="711"/>
    </row>
    <row r="145" spans="1:16" ht="26.25" customHeight="1" x14ac:dyDescent="0.2">
      <c r="A145" s="553"/>
      <c r="B145" s="559"/>
      <c r="C145" s="602"/>
      <c r="D145" s="230"/>
      <c r="E145" s="1321"/>
      <c r="F145" s="575"/>
      <c r="G145" s="546"/>
      <c r="H145" s="598"/>
      <c r="I145" s="86" t="s">
        <v>140</v>
      </c>
      <c r="J145" s="128"/>
      <c r="K145" s="128"/>
      <c r="L145" s="128"/>
      <c r="M145" s="703" t="s">
        <v>727</v>
      </c>
      <c r="N145" s="712"/>
    </row>
    <row r="146" spans="1:16" ht="12.75" customHeight="1" x14ac:dyDescent="0.2">
      <c r="A146" s="553"/>
      <c r="B146" s="559"/>
      <c r="C146" s="602"/>
      <c r="D146" s="709"/>
      <c r="E146" s="1322"/>
      <c r="F146" s="713"/>
      <c r="G146" s="546"/>
      <c r="H146" s="598"/>
      <c r="I146" s="57" t="s">
        <v>44</v>
      </c>
      <c r="J146" s="57"/>
      <c r="K146" s="57"/>
      <c r="L146" s="57"/>
      <c r="M146" s="227"/>
      <c r="N146" s="714"/>
    </row>
    <row r="147" spans="1:16" ht="17.25" customHeight="1" x14ac:dyDescent="0.2">
      <c r="A147" s="553"/>
      <c r="B147" s="559"/>
      <c r="C147" s="602"/>
      <c r="D147" s="230" t="s">
        <v>25</v>
      </c>
      <c r="E147" s="1031" t="s">
        <v>247</v>
      </c>
      <c r="F147" s="1017"/>
      <c r="G147" s="44"/>
      <c r="H147" s="598"/>
      <c r="I147" s="410" t="s">
        <v>53</v>
      </c>
      <c r="J147" s="128">
        <v>5</v>
      </c>
      <c r="K147" s="128">
        <v>5</v>
      </c>
      <c r="L147" s="128"/>
      <c r="M147" s="998" t="s">
        <v>248</v>
      </c>
      <c r="N147" s="100">
        <v>1</v>
      </c>
    </row>
    <row r="148" spans="1:16" ht="21" customHeight="1" x14ac:dyDescent="0.2">
      <c r="A148" s="553"/>
      <c r="B148" s="559"/>
      <c r="C148" s="602"/>
      <c r="D148" s="709"/>
      <c r="E148" s="1033"/>
      <c r="F148" s="1019"/>
      <c r="G148" s="231"/>
      <c r="H148" s="701"/>
      <c r="I148" s="411"/>
      <c r="J148" s="57"/>
      <c r="K148" s="57"/>
      <c r="L148" s="57"/>
      <c r="M148" s="1000"/>
      <c r="N148" s="261"/>
    </row>
    <row r="149" spans="1:16" ht="15.75" customHeight="1" thickBot="1" x14ac:dyDescent="0.25">
      <c r="A149" s="20"/>
      <c r="B149" s="571"/>
      <c r="C149" s="624"/>
      <c r="D149" s="625"/>
      <c r="E149" s="626"/>
      <c r="F149" s="627"/>
      <c r="G149" s="628"/>
      <c r="H149" s="629"/>
      <c r="I149" s="630" t="s">
        <v>5</v>
      </c>
      <c r="J149" s="93">
        <f>SUM(J121:J147)</f>
        <v>1711.8</v>
      </c>
      <c r="K149" s="93">
        <f>SUM(K121:K147)</f>
        <v>1711.8</v>
      </c>
      <c r="L149" s="93">
        <f>SUM(L121:L147)</f>
        <v>0</v>
      </c>
      <c r="M149" s="646"/>
      <c r="N149" s="647"/>
    </row>
    <row r="150" spans="1:16" ht="20.25" customHeight="1" x14ac:dyDescent="0.2">
      <c r="A150" s="565" t="s">
        <v>4</v>
      </c>
      <c r="B150" s="566" t="s">
        <v>4</v>
      </c>
      <c r="C150" s="699" t="s">
        <v>25</v>
      </c>
      <c r="D150" s="567"/>
      <c r="E150" s="1001" t="s">
        <v>215</v>
      </c>
      <c r="F150" s="115" t="s">
        <v>43</v>
      </c>
      <c r="G150" s="568" t="s">
        <v>42</v>
      </c>
      <c r="H150" s="1323" t="s">
        <v>719</v>
      </c>
      <c r="I150" s="42"/>
      <c r="J150" s="67"/>
      <c r="K150" s="67"/>
      <c r="L150" s="67"/>
      <c r="M150" s="1012"/>
      <c r="N150" s="309"/>
    </row>
    <row r="151" spans="1:16" ht="19.5" customHeight="1" x14ac:dyDescent="0.2">
      <c r="A151" s="553"/>
      <c r="B151" s="559"/>
      <c r="C151" s="602"/>
      <c r="D151" s="555"/>
      <c r="E151" s="1002"/>
      <c r="F151" s="564"/>
      <c r="G151" s="546"/>
      <c r="H151" s="1324"/>
      <c r="I151" s="43"/>
      <c r="J151" s="128"/>
      <c r="K151" s="128"/>
      <c r="L151" s="128"/>
      <c r="M151" s="1013"/>
      <c r="N151" s="310"/>
    </row>
    <row r="152" spans="1:16" ht="16.5" customHeight="1" x14ac:dyDescent="0.2">
      <c r="A152" s="553"/>
      <c r="B152" s="559"/>
      <c r="C152" s="602"/>
      <c r="D152" s="705" t="s">
        <v>4</v>
      </c>
      <c r="E152" s="1192" t="s">
        <v>216</v>
      </c>
      <c r="F152" s="1020" t="s">
        <v>217</v>
      </c>
      <c r="G152" s="1022"/>
      <c r="H152" s="1300"/>
      <c r="I152" s="236" t="s">
        <v>21</v>
      </c>
      <c r="J152" s="56">
        <v>10</v>
      </c>
      <c r="K152" s="56">
        <v>10</v>
      </c>
      <c r="L152" s="56"/>
      <c r="M152" s="561" t="s">
        <v>78</v>
      </c>
      <c r="N152" s="252">
        <v>1</v>
      </c>
    </row>
    <row r="153" spans="1:16" ht="12.75" customHeight="1" x14ac:dyDescent="0.2">
      <c r="A153" s="553"/>
      <c r="B153" s="559"/>
      <c r="C153" s="602"/>
      <c r="D153" s="702"/>
      <c r="E153" s="1175"/>
      <c r="F153" s="1281"/>
      <c r="G153" s="1022"/>
      <c r="H153" s="1318"/>
      <c r="I153" s="664"/>
      <c r="J153" s="128"/>
      <c r="K153" s="128"/>
      <c r="L153" s="128"/>
      <c r="M153" s="703"/>
      <c r="N153" s="260"/>
    </row>
    <row r="154" spans="1:16" ht="12.75" customHeight="1" x14ac:dyDescent="0.2">
      <c r="A154" s="553"/>
      <c r="B154" s="559"/>
      <c r="C154" s="602"/>
      <c r="D154" s="704"/>
      <c r="E154" s="1189"/>
      <c r="F154" s="1021"/>
      <c r="G154" s="1282"/>
      <c r="H154" s="1318"/>
      <c r="I154" s="140"/>
      <c r="J154" s="57"/>
      <c r="K154" s="57"/>
      <c r="L154" s="57"/>
      <c r="M154" s="562"/>
      <c r="N154" s="261"/>
    </row>
    <row r="155" spans="1:16" ht="15.75" customHeight="1" thickBot="1" x14ac:dyDescent="0.25">
      <c r="A155" s="20"/>
      <c r="B155" s="571"/>
      <c r="C155" s="624"/>
      <c r="D155" s="715"/>
      <c r="E155" s="626"/>
      <c r="F155" s="627"/>
      <c r="G155" s="628"/>
      <c r="H155" s="629"/>
      <c r="I155" s="630" t="s">
        <v>5</v>
      </c>
      <c r="J155" s="93">
        <f>SUM(J152:J154)</f>
        <v>10</v>
      </c>
      <c r="K155" s="93">
        <f>SUM(K152:K154)</f>
        <v>10</v>
      </c>
      <c r="L155" s="93">
        <f>SUM(L152:L154)</f>
        <v>0</v>
      </c>
      <c r="M155" s="646"/>
      <c r="N155" s="647"/>
    </row>
    <row r="156" spans="1:16" ht="14.25" customHeight="1" thickBot="1" x14ac:dyDescent="0.25">
      <c r="A156" s="21" t="s">
        <v>4</v>
      </c>
      <c r="B156" s="45" t="s">
        <v>4</v>
      </c>
      <c r="C156" s="1256" t="s">
        <v>7</v>
      </c>
      <c r="D156" s="1249"/>
      <c r="E156" s="1249"/>
      <c r="F156" s="1249"/>
      <c r="G156" s="1249"/>
      <c r="H156" s="1249"/>
      <c r="I156" s="1257"/>
      <c r="J156" s="162">
        <f>SUM(J149,J115,J112,J97,J66,J54,J118,J155)</f>
        <v>9582.7999999999993</v>
      </c>
      <c r="K156" s="162">
        <f>SUM(K149,K115,K112,K97,K66,K54,K118,K155)</f>
        <v>9582.7999999999993</v>
      </c>
      <c r="L156" s="162">
        <f>SUM(L149,L115,L112,L97,L66,L54,L118,L155)</f>
        <v>0</v>
      </c>
      <c r="M156" s="131"/>
      <c r="N156" s="116"/>
    </row>
    <row r="157" spans="1:16" ht="17.25" customHeight="1" thickBot="1" x14ac:dyDescent="0.25">
      <c r="A157" s="21" t="s">
        <v>4</v>
      </c>
      <c r="B157" s="45" t="s">
        <v>6</v>
      </c>
      <c r="C157" s="1258" t="s">
        <v>38</v>
      </c>
      <c r="D157" s="1259"/>
      <c r="E157" s="1259"/>
      <c r="F157" s="1259"/>
      <c r="G157" s="1259"/>
      <c r="H157" s="1259"/>
      <c r="I157" s="1259"/>
      <c r="J157" s="1259"/>
      <c r="K157" s="1259"/>
      <c r="L157" s="1259"/>
      <c r="M157" s="1259"/>
      <c r="N157" s="1260"/>
    </row>
    <row r="158" spans="1:16" ht="27.75" customHeight="1" x14ac:dyDescent="0.2">
      <c r="A158" s="47" t="s">
        <v>4</v>
      </c>
      <c r="B158" s="62" t="s">
        <v>6</v>
      </c>
      <c r="C158" s="648" t="s">
        <v>4</v>
      </c>
      <c r="D158" s="716"/>
      <c r="E158" s="111" t="s">
        <v>65</v>
      </c>
      <c r="F158" s="412"/>
      <c r="G158" s="413">
        <v>6</v>
      </c>
      <c r="H158" s="1314" t="s">
        <v>728</v>
      </c>
      <c r="I158" s="414"/>
      <c r="J158" s="415"/>
      <c r="K158" s="415"/>
      <c r="L158" s="415"/>
      <c r="M158" s="417"/>
      <c r="N158" s="420"/>
    </row>
    <row r="159" spans="1:16" ht="18" customHeight="1" x14ac:dyDescent="0.2">
      <c r="A159" s="48"/>
      <c r="B159" s="119"/>
      <c r="C159" s="620"/>
      <c r="D159" s="672" t="s">
        <v>4</v>
      </c>
      <c r="E159" s="1261" t="s">
        <v>47</v>
      </c>
      <c r="F159" s="564"/>
      <c r="G159" s="36"/>
      <c r="H159" s="1315"/>
      <c r="I159" s="421" t="s">
        <v>21</v>
      </c>
      <c r="J159" s="249">
        <v>28</v>
      </c>
      <c r="K159" s="768">
        <f>39-11-12.7</f>
        <v>15.3</v>
      </c>
      <c r="L159" s="768">
        <f>+K159-J159</f>
        <v>-12.7</v>
      </c>
      <c r="M159" s="586" t="s">
        <v>249</v>
      </c>
      <c r="N159" s="590">
        <v>350</v>
      </c>
      <c r="O159" s="1354" t="s">
        <v>750</v>
      </c>
      <c r="P159" s="1355"/>
    </row>
    <row r="160" spans="1:16" ht="28.5" customHeight="1" x14ac:dyDescent="0.2">
      <c r="A160" s="48"/>
      <c r="B160" s="119"/>
      <c r="C160" s="620"/>
      <c r="D160" s="718"/>
      <c r="E160" s="1261"/>
      <c r="F160" s="564"/>
      <c r="G160" s="36"/>
      <c r="H160" s="1315"/>
      <c r="I160" s="311"/>
      <c r="J160" s="128"/>
      <c r="K160" s="128"/>
      <c r="L160" s="128"/>
      <c r="M160" s="152" t="s">
        <v>97</v>
      </c>
      <c r="N160" s="307">
        <v>300</v>
      </c>
      <c r="O160" s="1354"/>
      <c r="P160" s="1355"/>
    </row>
    <row r="161" spans="1:16" ht="33" customHeight="1" x14ac:dyDescent="0.2">
      <c r="A161" s="48"/>
      <c r="B161" s="119"/>
      <c r="C161" s="602"/>
      <c r="D161" s="719"/>
      <c r="E161" s="1063"/>
      <c r="F161" s="247"/>
      <c r="G161" s="36"/>
      <c r="H161" s="1315"/>
      <c r="I161" s="37"/>
      <c r="J161" s="57"/>
      <c r="K161" s="57"/>
      <c r="L161" s="57"/>
      <c r="M161" s="227" t="s">
        <v>68</v>
      </c>
      <c r="N161" s="769" t="s">
        <v>751</v>
      </c>
      <c r="O161" s="1354"/>
      <c r="P161" s="1355"/>
    </row>
    <row r="162" spans="1:16" ht="14.25" customHeight="1" x14ac:dyDescent="0.2">
      <c r="A162" s="48"/>
      <c r="B162" s="119"/>
      <c r="C162" s="620"/>
      <c r="D162" s="230" t="s">
        <v>6</v>
      </c>
      <c r="E162" s="1062" t="s">
        <v>141</v>
      </c>
      <c r="F162" s="564"/>
      <c r="G162" s="36"/>
      <c r="H162" s="720"/>
      <c r="I162" s="421" t="s">
        <v>21</v>
      </c>
      <c r="J162" s="56">
        <v>537.29999999999995</v>
      </c>
      <c r="K162" s="604">
        <f>526.3+11+12.7</f>
        <v>550</v>
      </c>
      <c r="L162" s="604">
        <f>+K162-J162</f>
        <v>12.7</v>
      </c>
      <c r="M162" s="1262" t="s">
        <v>86</v>
      </c>
      <c r="N162" s="307">
        <v>18</v>
      </c>
      <c r="O162" s="1354" t="s">
        <v>752</v>
      </c>
      <c r="P162" s="1355"/>
    </row>
    <row r="163" spans="1:16" ht="13.5" customHeight="1" x14ac:dyDescent="0.2">
      <c r="A163" s="48"/>
      <c r="B163" s="119"/>
      <c r="C163" s="620"/>
      <c r="D163" s="718"/>
      <c r="E163" s="1221"/>
      <c r="F163" s="564"/>
      <c r="G163" s="36"/>
      <c r="H163" s="720"/>
      <c r="I163" s="311" t="s">
        <v>53</v>
      </c>
      <c r="J163" s="128">
        <f>11.8+13.8+10</f>
        <v>35.6</v>
      </c>
      <c r="K163" s="128">
        <f>11.8+13.8+10</f>
        <v>35.6</v>
      </c>
      <c r="L163" s="128"/>
      <c r="M163" s="1263"/>
      <c r="N163" s="721"/>
      <c r="O163" s="1354"/>
      <c r="P163" s="1355"/>
    </row>
    <row r="164" spans="1:16" ht="27.75" customHeight="1" x14ac:dyDescent="0.2">
      <c r="A164" s="48"/>
      <c r="B164" s="119"/>
      <c r="C164" s="620"/>
      <c r="D164" s="718"/>
      <c r="E164" s="1221"/>
      <c r="F164" s="564"/>
      <c r="G164" s="36"/>
      <c r="H164" s="720"/>
      <c r="I164" s="311"/>
      <c r="J164" s="128"/>
      <c r="K164" s="128"/>
      <c r="L164" s="128"/>
      <c r="M164" s="50" t="s">
        <v>83</v>
      </c>
      <c r="N164" s="315">
        <v>25</v>
      </c>
      <c r="O164" s="1354"/>
      <c r="P164" s="1355"/>
    </row>
    <row r="165" spans="1:16" ht="18.75" customHeight="1" x14ac:dyDescent="0.2">
      <c r="A165" s="48"/>
      <c r="B165" s="119"/>
      <c r="C165" s="620"/>
      <c r="D165" s="718"/>
      <c r="E165" s="1221"/>
      <c r="F165" s="49"/>
      <c r="G165" s="46"/>
      <c r="H165" s="720"/>
      <c r="I165" s="311"/>
      <c r="J165" s="128"/>
      <c r="K165" s="128"/>
      <c r="L165" s="128"/>
      <c r="M165" s="316" t="s">
        <v>40</v>
      </c>
      <c r="N165" s="319">
        <v>57</v>
      </c>
      <c r="O165" s="1354"/>
      <c r="P165" s="1355"/>
    </row>
    <row r="166" spans="1:16" ht="25.5" customHeight="1" x14ac:dyDescent="0.2">
      <c r="A166" s="48"/>
      <c r="B166" s="119"/>
      <c r="C166" s="620"/>
      <c r="D166" s="718"/>
      <c r="E166" s="1221"/>
      <c r="F166" s="49"/>
      <c r="G166" s="46"/>
      <c r="H166" s="720"/>
      <c r="I166" s="311"/>
      <c r="J166" s="128"/>
      <c r="K166" s="128"/>
      <c r="L166" s="128"/>
      <c r="M166" s="316" t="s">
        <v>218</v>
      </c>
      <c r="N166" s="319">
        <v>1</v>
      </c>
      <c r="O166" s="1354"/>
      <c r="P166" s="1355"/>
    </row>
    <row r="167" spans="1:16" ht="28.5" customHeight="1" x14ac:dyDescent="0.2">
      <c r="A167" s="48"/>
      <c r="B167" s="119"/>
      <c r="C167" s="620"/>
      <c r="D167" s="718"/>
      <c r="E167" s="558"/>
      <c r="F167" s="49"/>
      <c r="G167" s="46"/>
      <c r="H167" s="720"/>
      <c r="I167" s="311"/>
      <c r="J167" s="128"/>
      <c r="K167" s="128"/>
      <c r="L167" s="128"/>
      <c r="M167" s="320" t="s">
        <v>219</v>
      </c>
      <c r="N167" s="321">
        <v>7.5</v>
      </c>
      <c r="O167" s="1354"/>
      <c r="P167" s="1355"/>
    </row>
    <row r="168" spans="1:16" ht="42.75" customHeight="1" x14ac:dyDescent="0.2">
      <c r="A168" s="48"/>
      <c r="B168" s="119"/>
      <c r="C168" s="620"/>
      <c r="D168" s="718"/>
      <c r="E168" s="558"/>
      <c r="F168" s="49"/>
      <c r="G168" s="46"/>
      <c r="H168" s="720"/>
      <c r="I168" s="18"/>
      <c r="J168" s="128"/>
      <c r="K168" s="128"/>
      <c r="L168" s="128"/>
      <c r="M168" s="320" t="s">
        <v>136</v>
      </c>
      <c r="N168" s="315">
        <v>100</v>
      </c>
      <c r="O168" s="1354"/>
      <c r="P168" s="1355"/>
    </row>
    <row r="169" spans="1:16" ht="29.25" customHeight="1" x14ac:dyDescent="0.2">
      <c r="A169" s="48"/>
      <c r="B169" s="119"/>
      <c r="C169" s="620"/>
      <c r="D169" s="718"/>
      <c r="E169" s="558"/>
      <c r="F169" s="49"/>
      <c r="G169" s="46"/>
      <c r="H169" s="720"/>
      <c r="I169" s="311"/>
      <c r="J169" s="128"/>
      <c r="K169" s="128"/>
      <c r="L169" s="128"/>
      <c r="M169" s="320" t="s">
        <v>220</v>
      </c>
      <c r="N169" s="315">
        <v>50</v>
      </c>
    </row>
    <row r="170" spans="1:16" ht="30.75" customHeight="1" x14ac:dyDescent="0.2">
      <c r="A170" s="48"/>
      <c r="B170" s="119"/>
      <c r="C170" s="620"/>
      <c r="D170" s="719"/>
      <c r="E170" s="583"/>
      <c r="F170" s="422"/>
      <c r="G170" s="195"/>
      <c r="H170" s="722"/>
      <c r="I170" s="37"/>
      <c r="J170" s="57"/>
      <c r="K170" s="57"/>
      <c r="L170" s="57"/>
      <c r="M170" s="423" t="s">
        <v>221</v>
      </c>
      <c r="N170" s="723">
        <v>10</v>
      </c>
    </row>
    <row r="171" spans="1:16" ht="15.75" customHeight="1" thickBot="1" x14ac:dyDescent="0.25">
      <c r="A171" s="20"/>
      <c r="B171" s="571"/>
      <c r="C171" s="624"/>
      <c r="D171" s="715"/>
      <c r="E171" s="626"/>
      <c r="F171" s="627"/>
      <c r="G171" s="628"/>
      <c r="H171" s="629"/>
      <c r="I171" s="630" t="s">
        <v>5</v>
      </c>
      <c r="J171" s="93">
        <f>SUM(J159:J170)</f>
        <v>600.9</v>
      </c>
      <c r="K171" s="93">
        <f>SUM(K159:K170)</f>
        <v>600.9</v>
      </c>
      <c r="L171" s="93">
        <f>SUM(L159:L170)</f>
        <v>0</v>
      </c>
      <c r="M171" s="632"/>
      <c r="N171" s="647"/>
    </row>
    <row r="172" spans="1:16" ht="14.25" customHeight="1" thickBot="1" x14ac:dyDescent="0.25">
      <c r="A172" s="22" t="s">
        <v>4</v>
      </c>
      <c r="B172" s="5" t="s">
        <v>6</v>
      </c>
      <c r="C172" s="1249" t="s">
        <v>7</v>
      </c>
      <c r="D172" s="1249"/>
      <c r="E172" s="1249"/>
      <c r="F172" s="1249"/>
      <c r="G172" s="1249"/>
      <c r="H172" s="1249"/>
      <c r="I172" s="1249"/>
      <c r="J172" s="59">
        <f t="shared" ref="J172:L172" si="1">J171</f>
        <v>600.9</v>
      </c>
      <c r="K172" s="59">
        <f t="shared" si="1"/>
        <v>600.9</v>
      </c>
      <c r="L172" s="59">
        <f t="shared" si="1"/>
        <v>0</v>
      </c>
      <c r="M172" s="131"/>
      <c r="N172" s="116"/>
    </row>
    <row r="173" spans="1:16" ht="17.25" customHeight="1" thickBot="1" x14ac:dyDescent="0.25">
      <c r="A173" s="21" t="s">
        <v>4</v>
      </c>
      <c r="B173" s="5" t="s">
        <v>22</v>
      </c>
      <c r="C173" s="1250" t="s">
        <v>104</v>
      </c>
      <c r="D173" s="1251"/>
      <c r="E173" s="1251"/>
      <c r="F173" s="1251"/>
      <c r="G173" s="1251"/>
      <c r="H173" s="1251"/>
      <c r="I173" s="1251"/>
      <c r="J173" s="1251"/>
      <c r="K173" s="1316"/>
      <c r="L173" s="1316"/>
      <c r="M173" s="1316"/>
      <c r="N173" s="1317"/>
    </row>
    <row r="174" spans="1:16" ht="27.75" customHeight="1" x14ac:dyDescent="0.2">
      <c r="A174" s="23" t="s">
        <v>4</v>
      </c>
      <c r="B174" s="118" t="s">
        <v>22</v>
      </c>
      <c r="C174" s="724" t="s">
        <v>4</v>
      </c>
      <c r="D174" s="725"/>
      <c r="E174" s="726" t="s">
        <v>81</v>
      </c>
      <c r="F174" s="727"/>
      <c r="G174" s="728">
        <v>6</v>
      </c>
      <c r="H174" s="729"/>
      <c r="I174" s="730"/>
      <c r="J174" s="731"/>
      <c r="K174" s="731"/>
      <c r="L174" s="731"/>
      <c r="M174" s="732"/>
      <c r="N174" s="733"/>
    </row>
    <row r="175" spans="1:16" ht="14.25" customHeight="1" x14ac:dyDescent="0.2">
      <c r="A175" s="136"/>
      <c r="B175" s="132"/>
      <c r="C175" s="744"/>
      <c r="D175" s="734" t="s">
        <v>4</v>
      </c>
      <c r="E175" s="1308" t="s">
        <v>222</v>
      </c>
      <c r="F175" s="106" t="s">
        <v>43</v>
      </c>
      <c r="G175" s="322"/>
      <c r="H175" s="1310" t="s">
        <v>729</v>
      </c>
      <c r="I175" s="664" t="s">
        <v>21</v>
      </c>
      <c r="J175" s="202">
        <v>1211</v>
      </c>
      <c r="K175" s="202">
        <v>1211</v>
      </c>
      <c r="L175" s="735"/>
      <c r="M175" s="104"/>
      <c r="N175" s="736"/>
    </row>
    <row r="176" spans="1:16" ht="14.25" customHeight="1" x14ac:dyDescent="0.2">
      <c r="A176" s="136"/>
      <c r="B176" s="132"/>
      <c r="C176" s="744"/>
      <c r="D176" s="734"/>
      <c r="E176" s="1309"/>
      <c r="F176" s="106"/>
      <c r="G176" s="322"/>
      <c r="H176" s="1294"/>
      <c r="I176" s="664" t="s">
        <v>53</v>
      </c>
      <c r="J176" s="202">
        <v>725.7</v>
      </c>
      <c r="K176" s="202">
        <v>725.7</v>
      </c>
      <c r="L176" s="735"/>
      <c r="M176" s="146"/>
      <c r="N176" s="737"/>
    </row>
    <row r="177" spans="1:14" ht="11.25" customHeight="1" x14ac:dyDescent="0.2">
      <c r="A177" s="136"/>
      <c r="B177" s="132"/>
      <c r="C177" s="744"/>
      <c r="D177" s="734"/>
      <c r="E177" s="1309"/>
      <c r="F177" s="106"/>
      <c r="G177" s="322"/>
      <c r="H177" s="1294"/>
      <c r="I177" s="664"/>
      <c r="J177" s="202"/>
      <c r="K177" s="202"/>
      <c r="L177" s="202"/>
      <c r="M177" s="146"/>
      <c r="N177" s="737"/>
    </row>
    <row r="178" spans="1:14" ht="15" customHeight="1" x14ac:dyDescent="0.2">
      <c r="A178" s="136"/>
      <c r="B178" s="132"/>
      <c r="C178" s="744"/>
      <c r="D178" s="734"/>
      <c r="E178" s="328" t="s">
        <v>108</v>
      </c>
      <c r="F178" s="106"/>
      <c r="G178" s="322"/>
      <c r="H178" s="1294"/>
      <c r="I178" s="664"/>
      <c r="J178" s="738"/>
      <c r="K178" s="738"/>
      <c r="L178" s="738"/>
      <c r="M178" s="30" t="s">
        <v>223</v>
      </c>
      <c r="N178" s="739">
        <v>10</v>
      </c>
    </row>
    <row r="179" spans="1:14" ht="13.5" customHeight="1" x14ac:dyDescent="0.2">
      <c r="A179" s="136"/>
      <c r="B179" s="132"/>
      <c r="C179" s="744"/>
      <c r="D179" s="734"/>
      <c r="E179" s="1252" t="s">
        <v>224</v>
      </c>
      <c r="F179" s="106"/>
      <c r="G179" s="322"/>
      <c r="H179" s="676"/>
      <c r="I179" s="664"/>
      <c r="J179" s="202"/>
      <c r="K179" s="202"/>
      <c r="L179" s="202"/>
      <c r="M179" s="1254" t="s">
        <v>150</v>
      </c>
      <c r="N179" s="740"/>
    </row>
    <row r="180" spans="1:14" ht="13.5" customHeight="1" x14ac:dyDescent="0.2">
      <c r="A180" s="136"/>
      <c r="B180" s="132"/>
      <c r="C180" s="744"/>
      <c r="D180" s="734"/>
      <c r="E180" s="1311"/>
      <c r="F180" s="106"/>
      <c r="G180" s="322"/>
      <c r="H180" s="676"/>
      <c r="I180" s="664"/>
      <c r="J180" s="202"/>
      <c r="K180" s="202"/>
      <c r="L180" s="202"/>
      <c r="M180" s="1255"/>
      <c r="N180" s="741">
        <v>726</v>
      </c>
    </row>
    <row r="181" spans="1:14" ht="26.25" customHeight="1" x14ac:dyDescent="0.2">
      <c r="A181" s="136"/>
      <c r="B181" s="132"/>
      <c r="C181" s="744"/>
      <c r="D181" s="734"/>
      <c r="E181" s="334" t="s">
        <v>225</v>
      </c>
      <c r="F181" s="106"/>
      <c r="G181" s="322"/>
      <c r="H181" s="742"/>
      <c r="I181" s="664"/>
      <c r="J181" s="738"/>
      <c r="K181" s="738"/>
      <c r="L181" s="738"/>
      <c r="M181" s="30" t="s">
        <v>120</v>
      </c>
      <c r="N181" s="743">
        <v>10.3</v>
      </c>
    </row>
    <row r="182" spans="1:14" ht="24.75" customHeight="1" x14ac:dyDescent="0.2">
      <c r="A182" s="1061"/>
      <c r="B182" s="1003"/>
      <c r="C182" s="1301"/>
      <c r="D182" s="1302" t="s">
        <v>6</v>
      </c>
      <c r="E182" s="1304" t="s">
        <v>109</v>
      </c>
      <c r="F182" s="1164"/>
      <c r="G182" s="322"/>
      <c r="H182" s="1299" t="s">
        <v>730</v>
      </c>
      <c r="I182" s="236" t="s">
        <v>21</v>
      </c>
      <c r="J182" s="60">
        <v>2.1</v>
      </c>
      <c r="K182" s="60">
        <v>2.1</v>
      </c>
      <c r="L182" s="60"/>
      <c r="M182" s="585" t="s">
        <v>119</v>
      </c>
      <c r="N182" s="100">
        <v>1</v>
      </c>
    </row>
    <row r="183" spans="1:14" ht="26.25" customHeight="1" x14ac:dyDescent="0.2">
      <c r="A183" s="1061"/>
      <c r="B183" s="1003"/>
      <c r="C183" s="1301"/>
      <c r="D183" s="1312"/>
      <c r="E183" s="1313"/>
      <c r="F183" s="1165"/>
      <c r="G183" s="429"/>
      <c r="H183" s="1300"/>
      <c r="I183" s="140"/>
      <c r="J183" s="192"/>
      <c r="K183" s="192"/>
      <c r="L183" s="192"/>
      <c r="M183" s="557"/>
      <c r="N183" s="273"/>
    </row>
    <row r="184" spans="1:14" ht="12.75" customHeight="1" x14ac:dyDescent="0.2">
      <c r="A184" s="1061"/>
      <c r="B184" s="1003"/>
      <c r="C184" s="1301"/>
      <c r="D184" s="1302" t="s">
        <v>22</v>
      </c>
      <c r="E184" s="1304" t="s">
        <v>148</v>
      </c>
      <c r="F184" s="1164"/>
      <c r="G184" s="322"/>
      <c r="H184" s="1299" t="s">
        <v>730</v>
      </c>
      <c r="I184" s="236" t="s">
        <v>21</v>
      </c>
      <c r="J184" s="60">
        <v>24.9</v>
      </c>
      <c r="K184" s="60">
        <v>24.9</v>
      </c>
      <c r="L184" s="60"/>
      <c r="M184" s="556" t="s">
        <v>226</v>
      </c>
      <c r="N184" s="127">
        <v>1</v>
      </c>
    </row>
    <row r="185" spans="1:14" ht="40.5" customHeight="1" x14ac:dyDescent="0.2">
      <c r="A185" s="1061"/>
      <c r="B185" s="1003"/>
      <c r="C185" s="1301"/>
      <c r="D185" s="1303"/>
      <c r="E185" s="1305"/>
      <c r="F185" s="1306"/>
      <c r="G185" s="322"/>
      <c r="H185" s="1307"/>
      <c r="I185" s="664"/>
      <c r="J185" s="202"/>
      <c r="K185" s="202"/>
      <c r="L185" s="202"/>
      <c r="M185" s="556" t="s">
        <v>731</v>
      </c>
      <c r="N185" s="127">
        <v>1</v>
      </c>
    </row>
    <row r="186" spans="1:14" ht="15" customHeight="1" x14ac:dyDescent="0.2">
      <c r="A186" s="553"/>
      <c r="B186" s="554"/>
      <c r="C186" s="620"/>
      <c r="D186" s="603" t="s">
        <v>30</v>
      </c>
      <c r="E186" s="1192" t="s">
        <v>250</v>
      </c>
      <c r="F186" s="547"/>
      <c r="G186" s="245"/>
      <c r="H186" s="1293" t="s">
        <v>730</v>
      </c>
      <c r="I186" s="236" t="s">
        <v>21</v>
      </c>
      <c r="J186" s="60">
        <v>165</v>
      </c>
      <c r="K186" s="60">
        <v>165</v>
      </c>
      <c r="L186" s="60"/>
      <c r="M186" s="254" t="s">
        <v>227</v>
      </c>
      <c r="N186" s="745">
        <v>4</v>
      </c>
    </row>
    <row r="187" spans="1:14" ht="24" customHeight="1" x14ac:dyDescent="0.2">
      <c r="A187" s="553"/>
      <c r="B187" s="554"/>
      <c r="C187" s="620"/>
      <c r="D187" s="555"/>
      <c r="E187" s="1175"/>
      <c r="F187" s="548"/>
      <c r="G187" s="546"/>
      <c r="H187" s="1291"/>
      <c r="I187" s="664" t="s">
        <v>53</v>
      </c>
      <c r="J187" s="202">
        <v>35.1</v>
      </c>
      <c r="K187" s="202">
        <v>35.1</v>
      </c>
      <c r="L187" s="202"/>
      <c r="M187" s="589" t="s">
        <v>137</v>
      </c>
      <c r="N187" s="269">
        <v>3</v>
      </c>
    </row>
    <row r="188" spans="1:14" ht="26.25" customHeight="1" x14ac:dyDescent="0.2">
      <c r="A188" s="19"/>
      <c r="B188" s="559"/>
      <c r="C188" s="620"/>
      <c r="D188" s="555"/>
      <c r="E188" s="1175"/>
      <c r="F188" s="564"/>
      <c r="G188" s="546"/>
      <c r="H188" s="1294"/>
      <c r="I188" s="664"/>
      <c r="J188" s="128"/>
      <c r="K188" s="128"/>
      <c r="L188" s="128"/>
      <c r="M188" s="30" t="s">
        <v>138</v>
      </c>
      <c r="N188" s="284">
        <v>8</v>
      </c>
    </row>
    <row r="189" spans="1:14" ht="17.25" customHeight="1" x14ac:dyDescent="0.2">
      <c r="A189" s="19"/>
      <c r="B189" s="559"/>
      <c r="C189" s="620"/>
      <c r="D189" s="555"/>
      <c r="E189" s="1175"/>
      <c r="F189" s="564"/>
      <c r="G189" s="546"/>
      <c r="H189" s="605"/>
      <c r="I189" s="664"/>
      <c r="J189" s="128"/>
      <c r="K189" s="128"/>
      <c r="L189" s="128"/>
      <c r="M189" s="24" t="s">
        <v>139</v>
      </c>
      <c r="N189" s="746">
        <v>100</v>
      </c>
    </row>
    <row r="190" spans="1:14" ht="38.25" customHeight="1" x14ac:dyDescent="0.2">
      <c r="A190" s="19"/>
      <c r="B190" s="559"/>
      <c r="C190" s="747"/>
      <c r="D190" s="748"/>
      <c r="E190" s="1283"/>
      <c r="F190" s="196"/>
      <c r="G190" s="446"/>
      <c r="H190" s="701"/>
      <c r="I190" s="140"/>
      <c r="J190" s="192"/>
      <c r="K190" s="192"/>
      <c r="L190" s="192"/>
      <c r="M190" s="749" t="s">
        <v>228</v>
      </c>
      <c r="N190" s="750">
        <v>5</v>
      </c>
    </row>
    <row r="191" spans="1:14" ht="15.75" customHeight="1" thickBot="1" x14ac:dyDescent="0.25">
      <c r="A191" s="20"/>
      <c r="B191" s="571"/>
      <c r="C191" s="624"/>
      <c r="D191" s="715"/>
      <c r="E191" s="626"/>
      <c r="F191" s="627"/>
      <c r="G191" s="628"/>
      <c r="H191" s="629"/>
      <c r="I191" s="630" t="s">
        <v>5</v>
      </c>
      <c r="J191" s="93">
        <f>SUM(J175:J190)</f>
        <v>2163.8000000000002</v>
      </c>
      <c r="K191" s="93">
        <f>SUM(K175:K190)</f>
        <v>2163.8000000000002</v>
      </c>
      <c r="L191" s="93">
        <f>SUM(L175:L190)</f>
        <v>0</v>
      </c>
      <c r="M191" s="646"/>
      <c r="N191" s="647"/>
    </row>
    <row r="192" spans="1:14" ht="33" customHeight="1" x14ac:dyDescent="0.2">
      <c r="A192" s="23" t="s">
        <v>4</v>
      </c>
      <c r="B192" s="118" t="s">
        <v>22</v>
      </c>
      <c r="C192" s="724" t="s">
        <v>6</v>
      </c>
      <c r="D192" s="477"/>
      <c r="E192" s="253" t="s">
        <v>126</v>
      </c>
      <c r="F192" s="336"/>
      <c r="G192" s="568" t="s">
        <v>45</v>
      </c>
      <c r="H192" s="1295" t="s">
        <v>717</v>
      </c>
      <c r="I192" s="94" t="s">
        <v>21</v>
      </c>
      <c r="J192" s="68"/>
      <c r="K192" s="68"/>
      <c r="L192" s="68"/>
      <c r="M192" s="569"/>
      <c r="N192" s="339"/>
    </row>
    <row r="193" spans="1:14" ht="53.25" customHeight="1" x14ac:dyDescent="0.2">
      <c r="A193" s="136"/>
      <c r="B193" s="132"/>
      <c r="C193" s="744"/>
      <c r="D193" s="751" t="s">
        <v>4</v>
      </c>
      <c r="E193" s="139" t="s">
        <v>121</v>
      </c>
      <c r="F193" s="430"/>
      <c r="G193" s="546"/>
      <c r="H193" s="1296"/>
      <c r="I193" s="203" t="s">
        <v>21</v>
      </c>
      <c r="J193" s="642">
        <v>4</v>
      </c>
      <c r="K193" s="642">
        <v>4</v>
      </c>
      <c r="L193" s="642"/>
      <c r="M193" s="167" t="s">
        <v>117</v>
      </c>
      <c r="N193" s="342"/>
    </row>
    <row r="194" spans="1:14" ht="53.25" customHeight="1" x14ac:dyDescent="0.2">
      <c r="A194" s="136"/>
      <c r="B194" s="132"/>
      <c r="C194" s="744"/>
      <c r="D194" s="580" t="s">
        <v>6</v>
      </c>
      <c r="E194" s="582" t="s">
        <v>122</v>
      </c>
      <c r="F194" s="64"/>
      <c r="G194" s="546"/>
      <c r="H194" s="605"/>
      <c r="I194" s="664" t="s">
        <v>21</v>
      </c>
      <c r="J194" s="202">
        <v>3.6</v>
      </c>
      <c r="K194" s="202">
        <v>3.6</v>
      </c>
      <c r="L194" s="202"/>
      <c r="M194" s="556" t="s">
        <v>117</v>
      </c>
      <c r="N194" s="345">
        <v>1</v>
      </c>
    </row>
    <row r="195" spans="1:14" ht="53.25" customHeight="1" x14ac:dyDescent="0.2">
      <c r="A195" s="136"/>
      <c r="B195" s="132"/>
      <c r="C195" s="744"/>
      <c r="D195" s="751" t="s">
        <v>22</v>
      </c>
      <c r="E195" s="139" t="s">
        <v>229</v>
      </c>
      <c r="F195" s="430"/>
      <c r="G195" s="546"/>
      <c r="H195" s="605"/>
      <c r="I195" s="203" t="s">
        <v>21</v>
      </c>
      <c r="J195" s="642">
        <v>3</v>
      </c>
      <c r="K195" s="642">
        <v>3</v>
      </c>
      <c r="L195" s="642"/>
      <c r="M195" s="167" t="s">
        <v>117</v>
      </c>
      <c r="N195" s="342">
        <v>1</v>
      </c>
    </row>
    <row r="196" spans="1:14" ht="57" customHeight="1" x14ac:dyDescent="0.2">
      <c r="A196" s="136"/>
      <c r="B196" s="132"/>
      <c r="C196" s="744"/>
      <c r="D196" s="580" t="s">
        <v>30</v>
      </c>
      <c r="E196" s="582" t="s">
        <v>230</v>
      </c>
      <c r="F196" s="64"/>
      <c r="G196" s="546"/>
      <c r="H196" s="605"/>
      <c r="I196" s="664" t="s">
        <v>21</v>
      </c>
      <c r="J196" s="202">
        <v>3.2</v>
      </c>
      <c r="K196" s="202">
        <v>3.2</v>
      </c>
      <c r="L196" s="202"/>
      <c r="M196" s="556" t="s">
        <v>117</v>
      </c>
      <c r="N196" s="345"/>
    </row>
    <row r="197" spans="1:14" ht="51" x14ac:dyDescent="0.2">
      <c r="A197" s="136"/>
      <c r="B197" s="132"/>
      <c r="C197" s="744"/>
      <c r="D197" s="751" t="s">
        <v>31</v>
      </c>
      <c r="E197" s="139" t="s">
        <v>135</v>
      </c>
      <c r="F197" s="430"/>
      <c r="G197" s="546"/>
      <c r="H197" s="605"/>
      <c r="I197" s="203" t="s">
        <v>21</v>
      </c>
      <c r="J197" s="642">
        <v>4</v>
      </c>
      <c r="K197" s="642">
        <v>4</v>
      </c>
      <c r="L197" s="642"/>
      <c r="M197" s="167" t="s">
        <v>117</v>
      </c>
      <c r="N197" s="342"/>
    </row>
    <row r="198" spans="1:14" ht="51.75" customHeight="1" x14ac:dyDescent="0.2">
      <c r="A198" s="136"/>
      <c r="B198" s="132"/>
      <c r="C198" s="744"/>
      <c r="D198" s="751" t="s">
        <v>24</v>
      </c>
      <c r="E198" s="581" t="s">
        <v>231</v>
      </c>
      <c r="F198" s="196"/>
      <c r="G198" s="546"/>
      <c r="H198" s="605"/>
      <c r="I198" s="140" t="s">
        <v>21</v>
      </c>
      <c r="J198" s="192">
        <v>17.5</v>
      </c>
      <c r="K198" s="192">
        <v>17.5</v>
      </c>
      <c r="L198" s="192"/>
      <c r="M198" s="167" t="s">
        <v>117</v>
      </c>
      <c r="N198" s="433">
        <v>1</v>
      </c>
    </row>
    <row r="199" spans="1:14" ht="52.5" customHeight="1" x14ac:dyDescent="0.2">
      <c r="A199" s="136"/>
      <c r="B199" s="132"/>
      <c r="C199" s="744"/>
      <c r="D199" s="580" t="s">
        <v>32</v>
      </c>
      <c r="E199" s="581" t="s">
        <v>649</v>
      </c>
      <c r="F199" s="196"/>
      <c r="G199" s="576"/>
      <c r="H199" s="641"/>
      <c r="I199" s="140" t="s">
        <v>21</v>
      </c>
      <c r="J199" s="192">
        <v>3</v>
      </c>
      <c r="K199" s="192">
        <v>3</v>
      </c>
      <c r="L199" s="192">
        <f>K199-J199</f>
        <v>0</v>
      </c>
      <c r="M199" s="167" t="s">
        <v>117</v>
      </c>
      <c r="N199" s="433">
        <v>1</v>
      </c>
    </row>
    <row r="200" spans="1:14" ht="52.5" customHeight="1" x14ac:dyDescent="0.2">
      <c r="A200" s="136"/>
      <c r="B200" s="132"/>
      <c r="C200" s="744"/>
      <c r="D200" s="580" t="s">
        <v>25</v>
      </c>
      <c r="E200" s="581" t="s">
        <v>255</v>
      </c>
      <c r="F200" s="196"/>
      <c r="G200" s="576"/>
      <c r="H200" s="641"/>
      <c r="I200" s="140" t="s">
        <v>21</v>
      </c>
      <c r="J200" s="192">
        <v>11.3</v>
      </c>
      <c r="K200" s="192">
        <v>11.3</v>
      </c>
      <c r="L200" s="192">
        <f>K200-J200</f>
        <v>0</v>
      </c>
      <c r="M200" s="167" t="s">
        <v>117</v>
      </c>
      <c r="N200" s="433">
        <v>1</v>
      </c>
    </row>
    <row r="201" spans="1:14" ht="16.5" customHeight="1" thickBot="1" x14ac:dyDescent="0.25">
      <c r="A201" s="570"/>
      <c r="B201" s="133"/>
      <c r="C201" s="624"/>
      <c r="D201" s="625"/>
      <c r="E201" s="626"/>
      <c r="F201" s="627"/>
      <c r="G201" s="628"/>
      <c r="H201" s="629"/>
      <c r="I201" s="630" t="s">
        <v>5</v>
      </c>
      <c r="J201" s="93">
        <f>SUM(J193:J200)</f>
        <v>49.6</v>
      </c>
      <c r="K201" s="93">
        <f>SUM(K193:K200)</f>
        <v>49.6</v>
      </c>
      <c r="L201" s="93">
        <f>SUM(L193:L200)</f>
        <v>0</v>
      </c>
      <c r="M201" s="632"/>
      <c r="N201" s="647"/>
    </row>
    <row r="202" spans="1:14" ht="13.5" thickBot="1" x14ac:dyDescent="0.25">
      <c r="A202" s="21" t="s">
        <v>4</v>
      </c>
      <c r="B202" s="5" t="s">
        <v>22</v>
      </c>
      <c r="C202" s="1256" t="s">
        <v>7</v>
      </c>
      <c r="D202" s="1249"/>
      <c r="E202" s="1249"/>
      <c r="F202" s="1249"/>
      <c r="G202" s="1249"/>
      <c r="H202" s="1249"/>
      <c r="I202" s="1257"/>
      <c r="J202" s="59">
        <f>J201+J191</f>
        <v>2213.4</v>
      </c>
      <c r="K202" s="59">
        <f>K201+K191</f>
        <v>2213.4</v>
      </c>
      <c r="L202" s="59">
        <f>L201+L191</f>
        <v>0</v>
      </c>
      <c r="M202" s="131"/>
      <c r="N202" s="116"/>
    </row>
    <row r="203" spans="1:14" ht="15.75" customHeight="1" thickBot="1" x14ac:dyDescent="0.25">
      <c r="A203" s="21" t="s">
        <v>4</v>
      </c>
      <c r="B203" s="5" t="s">
        <v>30</v>
      </c>
      <c r="C203" s="1250" t="s">
        <v>39</v>
      </c>
      <c r="D203" s="1251"/>
      <c r="E203" s="1251"/>
      <c r="F203" s="1251"/>
      <c r="G203" s="1251"/>
      <c r="H203" s="1251"/>
      <c r="I203" s="1251"/>
      <c r="J203" s="584"/>
      <c r="K203" s="584"/>
      <c r="L203" s="584"/>
      <c r="M203" s="346"/>
      <c r="N203" s="117"/>
    </row>
    <row r="204" spans="1:14" s="34" customFormat="1" ht="19.5" customHeight="1" x14ac:dyDescent="0.2">
      <c r="A204" s="1057" t="s">
        <v>4</v>
      </c>
      <c r="B204" s="1059" t="s">
        <v>30</v>
      </c>
      <c r="C204" s="1037" t="s">
        <v>4</v>
      </c>
      <c r="D204" s="1297"/>
      <c r="E204" s="1039" t="s">
        <v>144</v>
      </c>
      <c r="F204" s="1055" t="s">
        <v>43</v>
      </c>
      <c r="G204" s="568" t="s">
        <v>23</v>
      </c>
      <c r="H204" s="1295" t="s">
        <v>732</v>
      </c>
      <c r="I204" s="107" t="s">
        <v>21</v>
      </c>
      <c r="J204" s="108">
        <v>21.9</v>
      </c>
      <c r="K204" s="108">
        <v>21.9</v>
      </c>
      <c r="L204" s="752"/>
      <c r="M204" s="753" t="s">
        <v>143</v>
      </c>
      <c r="N204" s="754"/>
    </row>
    <row r="205" spans="1:14" s="34" customFormat="1" ht="19.5" customHeight="1" x14ac:dyDescent="0.2">
      <c r="A205" s="1058"/>
      <c r="B205" s="1060"/>
      <c r="C205" s="1038"/>
      <c r="D205" s="1298"/>
      <c r="E205" s="1040"/>
      <c r="F205" s="1056"/>
      <c r="G205" s="546"/>
      <c r="H205" s="1291"/>
      <c r="I205" s="168" t="s">
        <v>53</v>
      </c>
      <c r="J205" s="169">
        <v>223.9</v>
      </c>
      <c r="K205" s="169">
        <v>223.9</v>
      </c>
      <c r="L205" s="169"/>
      <c r="M205" s="348" t="s">
        <v>143</v>
      </c>
      <c r="N205" s="259">
        <v>785</v>
      </c>
    </row>
    <row r="206" spans="1:14" s="34" customFormat="1" ht="18.75" customHeight="1" thickBot="1" x14ac:dyDescent="0.25">
      <c r="A206" s="153"/>
      <c r="B206" s="154"/>
      <c r="C206" s="157"/>
      <c r="D206" s="755"/>
      <c r="E206" s="155"/>
      <c r="F206" s="156"/>
      <c r="G206" s="142"/>
      <c r="H206" s="756"/>
      <c r="I206" s="35" t="s">
        <v>5</v>
      </c>
      <c r="J206" s="434">
        <f>SUM(J204:J205)</f>
        <v>245.8</v>
      </c>
      <c r="K206" s="434">
        <f>SUM(K204:K205)</f>
        <v>245.8</v>
      </c>
      <c r="L206" s="434">
        <f>SUM(L204:L205)</f>
        <v>0</v>
      </c>
      <c r="M206" s="120"/>
      <c r="N206" s="110"/>
    </row>
    <row r="207" spans="1:14" ht="12.75" customHeight="1" x14ac:dyDescent="0.2">
      <c r="A207" s="553" t="s">
        <v>4</v>
      </c>
      <c r="B207" s="554" t="s">
        <v>30</v>
      </c>
      <c r="C207" s="230" t="s">
        <v>6</v>
      </c>
      <c r="D207" s="555"/>
      <c r="E207" s="1261" t="s">
        <v>98</v>
      </c>
      <c r="F207" s="64" t="s">
        <v>43</v>
      </c>
      <c r="G207" s="546" t="s">
        <v>42</v>
      </c>
      <c r="H207" s="1291" t="s">
        <v>733</v>
      </c>
      <c r="I207" s="175" t="s">
        <v>53</v>
      </c>
      <c r="J207" s="128">
        <v>46.8</v>
      </c>
      <c r="K207" s="128">
        <v>46.8</v>
      </c>
      <c r="L207" s="128"/>
      <c r="M207" s="125" t="s">
        <v>78</v>
      </c>
      <c r="N207" s="757" t="s">
        <v>45</v>
      </c>
    </row>
    <row r="208" spans="1:14" ht="18" customHeight="1" x14ac:dyDescent="0.2">
      <c r="A208" s="19"/>
      <c r="B208" s="554"/>
      <c r="C208" s="44"/>
      <c r="D208" s="230"/>
      <c r="E208" s="1261"/>
      <c r="F208" s="64"/>
      <c r="G208" s="546"/>
      <c r="H208" s="1291"/>
      <c r="I208" s="174"/>
      <c r="J208" s="57"/>
      <c r="K208" s="57"/>
      <c r="L208" s="57"/>
      <c r="M208" s="703" t="s">
        <v>734</v>
      </c>
      <c r="N208" s="267"/>
    </row>
    <row r="209" spans="1:33" s="34" customFormat="1" ht="16.5" customHeight="1" thickBot="1" x14ac:dyDescent="0.25">
      <c r="A209" s="20"/>
      <c r="B209" s="41"/>
      <c r="C209" s="112"/>
      <c r="D209" s="758"/>
      <c r="E209" s="1290"/>
      <c r="F209" s="63"/>
      <c r="G209" s="183"/>
      <c r="H209" s="1292"/>
      <c r="I209" s="35" t="s">
        <v>5</v>
      </c>
      <c r="J209" s="434">
        <f>SUM(J207:J208)</f>
        <v>46.8</v>
      </c>
      <c r="K209" s="434">
        <f>SUM(K207:K208)</f>
        <v>46.8</v>
      </c>
      <c r="L209" s="434">
        <f>SUM(L207:L208)</f>
        <v>0</v>
      </c>
      <c r="M209" s="120"/>
      <c r="N209" s="759"/>
    </row>
    <row r="210" spans="1:33" ht="17.25" customHeight="1" x14ac:dyDescent="0.2">
      <c r="A210" s="553" t="s">
        <v>4</v>
      </c>
      <c r="B210" s="554" t="s">
        <v>30</v>
      </c>
      <c r="C210" s="230" t="s">
        <v>22</v>
      </c>
      <c r="D210" s="555"/>
      <c r="E210" s="1261" t="s">
        <v>251</v>
      </c>
      <c r="F210" s="64" t="s">
        <v>43</v>
      </c>
      <c r="G210" s="546" t="s">
        <v>42</v>
      </c>
      <c r="H210" s="1291" t="s">
        <v>735</v>
      </c>
      <c r="I210" s="175" t="s">
        <v>21</v>
      </c>
      <c r="J210" s="128">
        <v>20</v>
      </c>
      <c r="K210" s="128">
        <v>20</v>
      </c>
      <c r="L210" s="128"/>
      <c r="M210" s="125" t="s">
        <v>233</v>
      </c>
      <c r="N210" s="757" t="s">
        <v>234</v>
      </c>
    </row>
    <row r="211" spans="1:33" ht="21.75" customHeight="1" x14ac:dyDescent="0.2">
      <c r="A211" s="19"/>
      <c r="B211" s="554"/>
      <c r="C211" s="44"/>
      <c r="D211" s="230"/>
      <c r="E211" s="1261"/>
      <c r="F211" s="64"/>
      <c r="G211" s="546"/>
      <c r="H211" s="1291"/>
      <c r="I211" s="174"/>
      <c r="J211" s="57"/>
      <c r="K211" s="57"/>
      <c r="L211" s="57"/>
      <c r="M211" s="703"/>
      <c r="N211" s="267"/>
    </row>
    <row r="212" spans="1:33" s="34" customFormat="1" ht="17.25" customHeight="1" thickBot="1" x14ac:dyDescent="0.25">
      <c r="A212" s="20"/>
      <c r="B212" s="41"/>
      <c r="C212" s="112"/>
      <c r="D212" s="758"/>
      <c r="E212" s="1290"/>
      <c r="F212" s="63"/>
      <c r="G212" s="183"/>
      <c r="H212" s="1292"/>
      <c r="I212" s="35" t="s">
        <v>5</v>
      </c>
      <c r="J212" s="434">
        <f>SUM(J210:J211)</f>
        <v>20</v>
      </c>
      <c r="K212" s="434">
        <f>SUM(K210:K211)</f>
        <v>20</v>
      </c>
      <c r="L212" s="434">
        <f>SUM(L210:L211)</f>
        <v>0</v>
      </c>
      <c r="M212" s="120"/>
      <c r="N212" s="759"/>
    </row>
    <row r="213" spans="1:33" ht="13.5" thickBot="1" x14ac:dyDescent="0.25">
      <c r="A213" s="570" t="s">
        <v>4</v>
      </c>
      <c r="B213" s="133" t="s">
        <v>30</v>
      </c>
      <c r="C213" s="1140" t="s">
        <v>7</v>
      </c>
      <c r="D213" s="1141"/>
      <c r="E213" s="1141"/>
      <c r="F213" s="1141"/>
      <c r="G213" s="1141"/>
      <c r="H213" s="1141"/>
      <c r="I213" s="1141"/>
      <c r="J213" s="59">
        <f>J209+J206+J212</f>
        <v>312.60000000000002</v>
      </c>
      <c r="K213" s="59">
        <f>K209+K206+K212</f>
        <v>312.60000000000002</v>
      </c>
      <c r="L213" s="59">
        <f>L209+L206+L212</f>
        <v>0</v>
      </c>
      <c r="M213" s="131"/>
      <c r="N213" s="116"/>
    </row>
    <row r="214" spans="1:33" ht="14.25" customHeight="1" thickBot="1" x14ac:dyDescent="0.25">
      <c r="A214" s="22" t="s">
        <v>4</v>
      </c>
      <c r="B214" s="1142" t="s">
        <v>8</v>
      </c>
      <c r="C214" s="1143"/>
      <c r="D214" s="1143"/>
      <c r="E214" s="1143"/>
      <c r="F214" s="1143"/>
      <c r="G214" s="1143"/>
      <c r="H214" s="1143"/>
      <c r="I214" s="1143"/>
      <c r="J214" s="148">
        <f>J213+J202+J172+J156</f>
        <v>12709.7</v>
      </c>
      <c r="K214" s="148">
        <f>K213+K202+K172+K156</f>
        <v>12709.7</v>
      </c>
      <c r="L214" s="148">
        <f>L213+L202+L172+L156</f>
        <v>0</v>
      </c>
      <c r="M214" s="1144"/>
      <c r="N214" s="1146"/>
    </row>
    <row r="215" spans="1:33" ht="14.25" customHeight="1" thickBot="1" x14ac:dyDescent="0.25">
      <c r="A215" s="16" t="s">
        <v>32</v>
      </c>
      <c r="B215" s="1147" t="s">
        <v>51</v>
      </c>
      <c r="C215" s="1148"/>
      <c r="D215" s="1148"/>
      <c r="E215" s="1148"/>
      <c r="F215" s="1148"/>
      <c r="G215" s="1148"/>
      <c r="H215" s="1148"/>
      <c r="I215" s="1148"/>
      <c r="J215" s="149">
        <f t="shared" ref="J215:L215" si="2">SUM(J214)</f>
        <v>12709.7</v>
      </c>
      <c r="K215" s="149">
        <f t="shared" si="2"/>
        <v>12709.7</v>
      </c>
      <c r="L215" s="149">
        <f t="shared" si="2"/>
        <v>0</v>
      </c>
      <c r="M215" s="1149"/>
      <c r="N215" s="1150"/>
      <c r="O215" s="7"/>
      <c r="P215" s="7"/>
      <c r="Q215" s="7"/>
      <c r="R215" s="7"/>
      <c r="S215" s="7"/>
      <c r="T215" s="7"/>
      <c r="U215" s="7"/>
      <c r="V215" s="7"/>
      <c r="W215" s="7"/>
      <c r="X215" s="7"/>
      <c r="Y215" s="7"/>
      <c r="Z215" s="7"/>
      <c r="AA215" s="7"/>
      <c r="AB215" s="7"/>
      <c r="AC215" s="7"/>
      <c r="AD215" s="7"/>
      <c r="AE215" s="7"/>
      <c r="AF215" s="7"/>
      <c r="AG215" s="7"/>
    </row>
    <row r="216" spans="1:33" s="9" customFormat="1" ht="17.100000000000001" customHeight="1" x14ac:dyDescent="0.2">
      <c r="A216" s="1288" t="s">
        <v>736</v>
      </c>
      <c r="B216" s="1289"/>
      <c r="C216" s="1289"/>
      <c r="D216" s="1289"/>
      <c r="E216" s="1289"/>
      <c r="F216" s="1289"/>
      <c r="G216" s="1289"/>
      <c r="H216" s="1289"/>
      <c r="I216" s="1289"/>
      <c r="J216" s="1289"/>
      <c r="K216" s="1289"/>
      <c r="L216" s="1289"/>
      <c r="M216" s="1289"/>
      <c r="N216" s="760"/>
      <c r="O216" s="8"/>
      <c r="P216" s="8"/>
      <c r="Q216" s="8"/>
      <c r="R216" s="8"/>
      <c r="S216" s="8"/>
      <c r="T216" s="8"/>
      <c r="U216" s="8"/>
      <c r="V216" s="8"/>
      <c r="W216" s="8"/>
      <c r="X216" s="8"/>
      <c r="Y216" s="8"/>
      <c r="Z216" s="8"/>
      <c r="AA216" s="8"/>
      <c r="AB216" s="8"/>
      <c r="AC216" s="8"/>
      <c r="AD216" s="8"/>
      <c r="AE216" s="8"/>
      <c r="AF216" s="8"/>
      <c r="AG216" s="8"/>
    </row>
    <row r="217" spans="1:33" s="8" customFormat="1" ht="17.100000000000001" customHeight="1" x14ac:dyDescent="0.2">
      <c r="A217" s="760"/>
      <c r="B217" s="761"/>
      <c r="C217" s="761"/>
      <c r="D217" s="761"/>
      <c r="E217" s="761"/>
      <c r="F217" s="761"/>
      <c r="G217" s="761"/>
      <c r="H217" s="761"/>
      <c r="I217" s="761"/>
      <c r="J217" s="761"/>
      <c r="K217" s="761"/>
      <c r="L217" s="761"/>
      <c r="M217" s="761"/>
      <c r="N217" s="760"/>
    </row>
    <row r="218" spans="1:33" s="8" customFormat="1" ht="17.100000000000001" customHeight="1" x14ac:dyDescent="0.2">
      <c r="A218" s="760"/>
      <c r="B218" s="543"/>
      <c r="C218" s="543"/>
      <c r="D218" s="543"/>
      <c r="E218" s="543"/>
      <c r="F218" s="543"/>
      <c r="G218" s="543"/>
      <c r="H218" s="543"/>
      <c r="I218" s="543"/>
      <c r="J218" s="543"/>
      <c r="K218" s="543"/>
      <c r="L218" s="543"/>
      <c r="M218" s="543"/>
      <c r="N218" s="760"/>
    </row>
    <row r="219" spans="1:33" s="9" customFormat="1" ht="14.25" customHeight="1" thickBot="1" x14ac:dyDescent="0.25">
      <c r="A219" s="1151" t="s">
        <v>11</v>
      </c>
      <c r="B219" s="1151"/>
      <c r="C219" s="1151"/>
      <c r="D219" s="1151"/>
      <c r="E219" s="1151"/>
      <c r="F219" s="1151"/>
      <c r="G219" s="1151"/>
      <c r="H219" s="1151"/>
      <c r="I219" s="1151"/>
      <c r="J219" s="578"/>
      <c r="K219" s="578"/>
      <c r="L219" s="578"/>
      <c r="M219" s="13"/>
      <c r="N219" s="13"/>
      <c r="O219" s="8"/>
      <c r="P219" s="8"/>
      <c r="Q219" s="8"/>
      <c r="R219" s="8"/>
      <c r="S219" s="8"/>
      <c r="T219" s="8"/>
      <c r="U219" s="8"/>
      <c r="V219" s="8"/>
      <c r="W219" s="8"/>
      <c r="X219" s="8"/>
      <c r="Y219" s="8"/>
      <c r="Z219" s="8"/>
      <c r="AA219" s="8"/>
      <c r="AB219" s="8"/>
      <c r="AC219" s="8"/>
      <c r="AD219" s="8"/>
      <c r="AE219" s="8"/>
      <c r="AF219" s="8"/>
      <c r="AG219" s="8"/>
    </row>
    <row r="220" spans="1:33" ht="96" customHeight="1" thickBot="1" x14ac:dyDescent="0.25">
      <c r="A220" s="1285" t="s">
        <v>9</v>
      </c>
      <c r="B220" s="1286"/>
      <c r="C220" s="1286"/>
      <c r="D220" s="1286"/>
      <c r="E220" s="1286"/>
      <c r="F220" s="1286"/>
      <c r="G220" s="1286"/>
      <c r="H220" s="1286"/>
      <c r="I220" s="1287"/>
      <c r="J220" s="762" t="s">
        <v>687</v>
      </c>
      <c r="K220" s="762" t="s">
        <v>688</v>
      </c>
      <c r="L220" s="762" t="s">
        <v>689</v>
      </c>
      <c r="M220" s="2"/>
      <c r="N220" s="2"/>
      <c r="O220" s="7"/>
      <c r="P220" s="7"/>
      <c r="Q220" s="7"/>
      <c r="R220" s="7"/>
      <c r="S220" s="7"/>
      <c r="T220" s="7"/>
      <c r="U220" s="7"/>
      <c r="V220" s="7"/>
      <c r="W220" s="7"/>
      <c r="X220" s="7"/>
      <c r="Y220" s="7"/>
      <c r="Z220" s="7"/>
      <c r="AA220" s="7"/>
      <c r="AB220" s="7"/>
      <c r="AC220" s="7"/>
      <c r="AD220" s="7"/>
      <c r="AE220" s="7"/>
      <c r="AF220" s="7"/>
      <c r="AG220" s="7"/>
    </row>
    <row r="221" spans="1:33" ht="14.25" customHeight="1" x14ac:dyDescent="0.2">
      <c r="A221" s="1131" t="s">
        <v>12</v>
      </c>
      <c r="B221" s="1132"/>
      <c r="C221" s="1132"/>
      <c r="D221" s="1132"/>
      <c r="E221" s="1132"/>
      <c r="F221" s="1132"/>
      <c r="G221" s="1132"/>
      <c r="H221" s="1132"/>
      <c r="I221" s="1133"/>
      <c r="J221" s="170">
        <f>J222+J231+J232+J230</f>
        <v>11907.2</v>
      </c>
      <c r="K221" s="170">
        <f>K222+K231+K232+K230</f>
        <v>11907.2</v>
      </c>
      <c r="L221" s="170">
        <f>L222+L231+L232+L230</f>
        <v>0</v>
      </c>
      <c r="O221" s="7"/>
      <c r="P221" s="7"/>
      <c r="Q221" s="7"/>
      <c r="R221" s="7"/>
      <c r="S221" s="7"/>
      <c r="T221" s="7"/>
      <c r="U221" s="7"/>
      <c r="V221" s="7"/>
      <c r="W221" s="7"/>
      <c r="X221" s="7"/>
      <c r="Y221" s="7"/>
      <c r="Z221" s="7"/>
      <c r="AA221" s="7"/>
      <c r="AB221" s="7"/>
      <c r="AC221" s="7"/>
      <c r="AD221" s="7"/>
      <c r="AE221" s="7"/>
      <c r="AF221" s="7"/>
      <c r="AG221" s="7"/>
    </row>
    <row r="222" spans="1:33" ht="14.25" customHeight="1" x14ac:dyDescent="0.2">
      <c r="A222" s="1134" t="s">
        <v>71</v>
      </c>
      <c r="B222" s="1135"/>
      <c r="C222" s="1135"/>
      <c r="D222" s="1135"/>
      <c r="E222" s="1135"/>
      <c r="F222" s="1135"/>
      <c r="G222" s="1135"/>
      <c r="H222" s="1135"/>
      <c r="I222" s="1136"/>
      <c r="J222" s="51">
        <f>SUM(J223:J229)</f>
        <v>9101.6</v>
      </c>
      <c r="K222" s="51">
        <f>SUM(K223:K229)</f>
        <v>9101.6</v>
      </c>
      <c r="L222" s="51">
        <f>SUM(L223:L229)</f>
        <v>0</v>
      </c>
      <c r="M222" s="147"/>
      <c r="O222" s="7"/>
      <c r="P222" s="7"/>
      <c r="Q222" s="7"/>
      <c r="R222" s="7"/>
      <c r="S222" s="7"/>
      <c r="T222" s="7"/>
      <c r="U222" s="7"/>
      <c r="V222" s="7"/>
      <c r="W222" s="7"/>
      <c r="X222" s="7"/>
      <c r="Y222" s="7"/>
      <c r="Z222" s="7"/>
      <c r="AA222" s="7"/>
      <c r="AB222" s="7"/>
      <c r="AC222" s="7"/>
      <c r="AD222" s="7"/>
      <c r="AE222" s="7"/>
      <c r="AF222" s="7"/>
      <c r="AG222" s="7"/>
    </row>
    <row r="223" spans="1:33" ht="14.25" customHeight="1" x14ac:dyDescent="0.2">
      <c r="A223" s="1137" t="s">
        <v>16</v>
      </c>
      <c r="B223" s="1138"/>
      <c r="C223" s="1138"/>
      <c r="D223" s="1138"/>
      <c r="E223" s="1138"/>
      <c r="F223" s="1138"/>
      <c r="G223" s="1138"/>
      <c r="H223" s="1138"/>
      <c r="I223" s="1139"/>
      <c r="J223" s="57">
        <f>SUMIF(I11:I215,"SB",J11:J215)</f>
        <v>9056.6</v>
      </c>
      <c r="K223" s="57">
        <f>SUMIF(I11:I215,"SB",K11:K215)</f>
        <v>9056.6</v>
      </c>
      <c r="L223" s="57">
        <f>SUMIF(I11:I215,"SB",L11:L215)</f>
        <v>0</v>
      </c>
      <c r="M223" s="351"/>
      <c r="O223" s="7"/>
      <c r="P223" s="7"/>
      <c r="Q223" s="7"/>
      <c r="R223" s="7"/>
      <c r="S223" s="7"/>
      <c r="T223" s="7"/>
      <c r="U223" s="7"/>
      <c r="V223" s="7"/>
      <c r="W223" s="7"/>
      <c r="X223" s="7"/>
      <c r="Y223" s="7"/>
      <c r="Z223" s="7"/>
      <c r="AA223" s="7"/>
      <c r="AB223" s="7"/>
      <c r="AC223" s="7"/>
      <c r="AD223" s="7"/>
      <c r="AE223" s="7"/>
      <c r="AF223" s="7"/>
      <c r="AG223" s="7"/>
    </row>
    <row r="224" spans="1:33" ht="14.25" customHeight="1" x14ac:dyDescent="0.2">
      <c r="A224" s="1107" t="s">
        <v>17</v>
      </c>
      <c r="B224" s="1108"/>
      <c r="C224" s="1108"/>
      <c r="D224" s="1108"/>
      <c r="E224" s="1108"/>
      <c r="F224" s="1108"/>
      <c r="G224" s="1108"/>
      <c r="H224" s="1108"/>
      <c r="I224" s="1109"/>
      <c r="J224" s="70">
        <f>SUMIF(I12:I215,"SB(SP)",J12:J215)</f>
        <v>34.700000000000003</v>
      </c>
      <c r="K224" s="70">
        <f>SUMIF(I12:I215,"SB(SP)",K12:K215)</f>
        <v>34.700000000000003</v>
      </c>
      <c r="L224" s="70">
        <f>SUMIF(I12:I215,"SB(SP)",L12:L215)</f>
        <v>0</v>
      </c>
      <c r="M224" s="352"/>
    </row>
    <row r="225" spans="1:14" ht="12.75" customHeight="1" x14ac:dyDescent="0.2">
      <c r="A225" s="1107" t="s">
        <v>60</v>
      </c>
      <c r="B225" s="1108"/>
      <c r="C225" s="1108"/>
      <c r="D225" s="1108"/>
      <c r="E225" s="1108"/>
      <c r="F225" s="1108"/>
      <c r="G225" s="1108"/>
      <c r="H225" s="1108"/>
      <c r="I225" s="1109"/>
      <c r="J225" s="70">
        <f>SUMIF(I12:I215,"SB(VR)",J12:J215)</f>
        <v>0</v>
      </c>
      <c r="K225" s="70">
        <f>SUMIF(I12:I215,"SB(VR)",K12:K215)</f>
        <v>0</v>
      </c>
      <c r="L225" s="70">
        <f>SUMIF(I12:I215,"SB(VR)",L12:L215)</f>
        <v>0</v>
      </c>
      <c r="M225" s="353"/>
      <c r="N225" s="1"/>
    </row>
    <row r="226" spans="1:14" x14ac:dyDescent="0.2">
      <c r="A226" s="1107" t="s">
        <v>235</v>
      </c>
      <c r="B226" s="1108"/>
      <c r="C226" s="1108"/>
      <c r="D226" s="1108"/>
      <c r="E226" s="1108"/>
      <c r="F226" s="1108"/>
      <c r="G226" s="1108"/>
      <c r="H226" s="1108"/>
      <c r="I226" s="1109"/>
      <c r="J226" s="70">
        <f>SUMIF(I12:I215,"SB(P)",J12:J215)</f>
        <v>0</v>
      </c>
      <c r="K226" s="70">
        <f>SUMIF(I12:I215,"SB(P)",K12:K215)</f>
        <v>0</v>
      </c>
      <c r="L226" s="70">
        <f>SUMIF(I12:I215,"SB(P)",L12:L215)</f>
        <v>0</v>
      </c>
      <c r="M226" s="353"/>
      <c r="N226" s="1"/>
    </row>
    <row r="227" spans="1:14" x14ac:dyDescent="0.2">
      <c r="A227" s="1107" t="s">
        <v>75</v>
      </c>
      <c r="B227" s="1108"/>
      <c r="C227" s="1108"/>
      <c r="D227" s="1108"/>
      <c r="E227" s="1108"/>
      <c r="F227" s="1108"/>
      <c r="G227" s="1108"/>
      <c r="H227" s="1108"/>
      <c r="I227" s="1109"/>
      <c r="J227" s="70">
        <f>SUMIF(I13:I215,"SB(VB)",J13:J215)</f>
        <v>0.9</v>
      </c>
      <c r="K227" s="70">
        <f>SUMIF(I13:I215,"SB(VB)",K13:K215)</f>
        <v>0.9</v>
      </c>
      <c r="L227" s="70">
        <f>SUMIF(I13:I215,"SB(VB)",L13:L215)</f>
        <v>0</v>
      </c>
    </row>
    <row r="228" spans="1:14" x14ac:dyDescent="0.2">
      <c r="A228" s="1125" t="s">
        <v>236</v>
      </c>
      <c r="B228" s="1126"/>
      <c r="C228" s="1126"/>
      <c r="D228" s="1126"/>
      <c r="E228" s="1126"/>
      <c r="F228" s="1126"/>
      <c r="G228" s="1126"/>
      <c r="H228" s="1126"/>
      <c r="I228" s="1127"/>
      <c r="J228" s="70">
        <f>SUMIF(I12:I215,"SB(KPP)",J12:J215)</f>
        <v>0</v>
      </c>
      <c r="K228" s="70">
        <f>SUMIF(I12:I215,"SB(KPP)",K12:K215)</f>
        <v>0</v>
      </c>
      <c r="L228" s="70">
        <f>SUMIF(I12:I215,"SB(KPP)",L12:L215)</f>
        <v>0</v>
      </c>
      <c r="M228" s="32"/>
      <c r="N228" s="32"/>
    </row>
    <row r="229" spans="1:14" ht="14.25" customHeight="1" x14ac:dyDescent="0.2">
      <c r="A229" s="1122" t="s">
        <v>252</v>
      </c>
      <c r="B229" s="1123"/>
      <c r="C229" s="1123"/>
      <c r="D229" s="1123"/>
      <c r="E229" s="1123"/>
      <c r="F229" s="1123"/>
      <c r="G229" s="1123"/>
      <c r="H229" s="1123"/>
      <c r="I229" s="1124"/>
      <c r="J229" s="70">
        <f>SUMIF(I12:I213,"SB(ES)",J12:J213)</f>
        <v>9.4</v>
      </c>
      <c r="K229" s="70">
        <f>SUMIF(I12:I213,"SB(ES)",K12:K213)</f>
        <v>9.4</v>
      </c>
      <c r="L229" s="70">
        <f>SUMIF(I12:I213,"SB(ES)",L12:L213)</f>
        <v>0</v>
      </c>
    </row>
    <row r="230" spans="1:14" ht="14.25" customHeight="1" x14ac:dyDescent="0.2">
      <c r="A230" s="1113" t="s">
        <v>54</v>
      </c>
      <c r="B230" s="1114"/>
      <c r="C230" s="1114"/>
      <c r="D230" s="1114"/>
      <c r="E230" s="1114"/>
      <c r="F230" s="1114"/>
      <c r="G230" s="1114"/>
      <c r="H230" s="1114"/>
      <c r="I230" s="1115"/>
      <c r="J230" s="137">
        <f>SUMIF(I12:I209,"SB(L)",J12:J209)</f>
        <v>2801.2</v>
      </c>
      <c r="K230" s="137">
        <f>SUMIF(I12:I209,"SB(L)",K12:K209)</f>
        <v>2801.2</v>
      </c>
      <c r="L230" s="137">
        <f>SUMIF(I12:I209,"SB(L)",L12:L209)</f>
        <v>0</v>
      </c>
    </row>
    <row r="231" spans="1:14" x14ac:dyDescent="0.2">
      <c r="A231" s="1113" t="s">
        <v>72</v>
      </c>
      <c r="B231" s="1114"/>
      <c r="C231" s="1114"/>
      <c r="D231" s="1114"/>
      <c r="E231" s="1114"/>
      <c r="F231" s="1114"/>
      <c r="G231" s="1114"/>
      <c r="H231" s="1114"/>
      <c r="I231" s="1115"/>
      <c r="J231" s="53">
        <f>SUMIF(I16:I215,"SB(SPL)",J16:J215)</f>
        <v>4.4000000000000004</v>
      </c>
      <c r="K231" s="53">
        <f>SUMIF(I16:I215,"SB(SPL)",K16:K215)</f>
        <v>4.4000000000000004</v>
      </c>
      <c r="L231" s="53">
        <f>SUMIF(I16:I215,"SB(SPL)",L16:L215)</f>
        <v>0</v>
      </c>
    </row>
    <row r="232" spans="1:14" ht="12" customHeight="1" x14ac:dyDescent="0.2">
      <c r="A232" s="1113" t="s">
        <v>73</v>
      </c>
      <c r="B232" s="1114"/>
      <c r="C232" s="1114"/>
      <c r="D232" s="1114"/>
      <c r="E232" s="1114"/>
      <c r="F232" s="1114"/>
      <c r="G232" s="1114"/>
      <c r="H232" s="1114"/>
      <c r="I232" s="1115"/>
      <c r="J232" s="137">
        <f>SUMIF(I12:I215,"SB(VRL)",J12:J215)</f>
        <v>0</v>
      </c>
      <c r="K232" s="137">
        <f>SUMIF(I12:I215,"SB(VRL)",K12:K215)</f>
        <v>0</v>
      </c>
      <c r="L232" s="137">
        <f>SUMIF(I12:I215,"SB(VRL)",L12:L215)</f>
        <v>0</v>
      </c>
    </row>
    <row r="233" spans="1:14" x14ac:dyDescent="0.2">
      <c r="A233" s="1116" t="s">
        <v>13</v>
      </c>
      <c r="B233" s="1117"/>
      <c r="C233" s="1117"/>
      <c r="D233" s="1117"/>
      <c r="E233" s="1117"/>
      <c r="F233" s="1117"/>
      <c r="G233" s="1117"/>
      <c r="H233" s="1117"/>
      <c r="I233" s="1118"/>
      <c r="J233" s="355">
        <f t="shared" ref="J233:K233" si="3">SUM(J234:J237)</f>
        <v>802.5</v>
      </c>
      <c r="K233" s="355">
        <f t="shared" si="3"/>
        <v>802.5</v>
      </c>
      <c r="L233" s="355">
        <f t="shared" ref="L233" si="4">SUM(L234:L237)</f>
        <v>0</v>
      </c>
    </row>
    <row r="234" spans="1:14" x14ac:dyDescent="0.2">
      <c r="A234" s="1119" t="s">
        <v>102</v>
      </c>
      <c r="B234" s="1120"/>
      <c r="C234" s="1120"/>
      <c r="D234" s="1120"/>
      <c r="E234" s="1120"/>
      <c r="F234" s="1120"/>
      <c r="G234" s="1120"/>
      <c r="H234" s="1120"/>
      <c r="I234" s="1121"/>
      <c r="J234" s="70">
        <f>SUMIF(I15:I215,"KVJUD",J15:J215)</f>
        <v>0</v>
      </c>
      <c r="K234" s="70">
        <f>SUMIF(I15:I215,"KVJUD",K15:K215)</f>
        <v>0</v>
      </c>
      <c r="L234" s="70">
        <f>SUMIF(I15:I215,"KVJUD",L15:L215)</f>
        <v>0</v>
      </c>
    </row>
    <row r="235" spans="1:14" ht="13.5" customHeight="1" x14ac:dyDescent="0.2">
      <c r="A235" s="1107" t="s">
        <v>19</v>
      </c>
      <c r="B235" s="1108"/>
      <c r="C235" s="1108"/>
      <c r="D235" s="1108"/>
      <c r="E235" s="1108"/>
      <c r="F235" s="1108"/>
      <c r="G235" s="1108"/>
      <c r="H235" s="1108"/>
      <c r="I235" s="1109"/>
      <c r="J235" s="70">
        <f>SUMIF(I12:I215,"LRVB",J12:J215)</f>
        <v>65.099999999999994</v>
      </c>
      <c r="K235" s="70">
        <f>SUMIF(I12:I215,"LRVB",K12:K215)</f>
        <v>65.099999999999994</v>
      </c>
      <c r="L235" s="70">
        <f>SUMIF(I12:I215,"LRVB",L12:L215)</f>
        <v>0</v>
      </c>
    </row>
    <row r="236" spans="1:14" ht="14.25" customHeight="1" x14ac:dyDescent="0.2">
      <c r="A236" s="1122" t="s">
        <v>18</v>
      </c>
      <c r="B236" s="1123"/>
      <c r="C236" s="1123"/>
      <c r="D236" s="1123"/>
      <c r="E236" s="1123"/>
      <c r="F236" s="1123"/>
      <c r="G236" s="1123"/>
      <c r="H236" s="1123"/>
      <c r="I236" s="1124"/>
      <c r="J236" s="52">
        <f>SUMIF(I16:I213,"ES",J16:J213)</f>
        <v>737.4</v>
      </c>
      <c r="K236" s="52">
        <f>SUMIF(I16:I213,"ES",K16:K213)</f>
        <v>737.4</v>
      </c>
      <c r="L236" s="52">
        <f>SUMIF(I16:I213,"ES",L16:L213)</f>
        <v>0</v>
      </c>
    </row>
    <row r="237" spans="1:14" ht="15.75" customHeight="1" x14ac:dyDescent="0.2">
      <c r="A237" s="1107" t="s">
        <v>20</v>
      </c>
      <c r="B237" s="1108"/>
      <c r="C237" s="1108"/>
      <c r="D237" s="1108"/>
      <c r="E237" s="1108"/>
      <c r="F237" s="1108"/>
      <c r="G237" s="1108"/>
      <c r="H237" s="1108"/>
      <c r="I237" s="1109"/>
      <c r="J237" s="70">
        <f>SUMIF(I12:I215,"Kt",J12:J215)</f>
        <v>0</v>
      </c>
      <c r="K237" s="70">
        <f>SUMIF(I12:I215,"Kt",K12:K215)</f>
        <v>0</v>
      </c>
      <c r="L237" s="70">
        <f>SUMIF(I12:I215,"Kt",L12:L215)</f>
        <v>0</v>
      </c>
    </row>
    <row r="238" spans="1:14" ht="15" customHeight="1" thickBot="1" x14ac:dyDescent="0.25">
      <c r="A238" s="1110" t="s">
        <v>14</v>
      </c>
      <c r="B238" s="1111"/>
      <c r="C238" s="1111"/>
      <c r="D238" s="1111"/>
      <c r="E238" s="1111"/>
      <c r="F238" s="1111"/>
      <c r="G238" s="1111"/>
      <c r="H238" s="1111"/>
      <c r="I238" s="1112"/>
      <c r="J238" s="171">
        <f>SUM(J221,J233)</f>
        <v>12709.7</v>
      </c>
      <c r="K238" s="171">
        <f>SUM(K221,K233)</f>
        <v>12709.7</v>
      </c>
      <c r="L238" s="171">
        <f>SUM(L221,L233)</f>
        <v>0</v>
      </c>
      <c r="N238" s="3"/>
    </row>
    <row r="239" spans="1:14" x14ac:dyDescent="0.2">
      <c r="J239" s="8"/>
      <c r="K239" s="8"/>
      <c r="L239" s="8"/>
      <c r="M239" s="8"/>
      <c r="N239" s="7"/>
    </row>
    <row r="240" spans="1:14" x14ac:dyDescent="0.2">
      <c r="J240" s="435"/>
      <c r="K240" s="435"/>
      <c r="L240" s="435"/>
      <c r="M240" s="356"/>
      <c r="N240" s="7"/>
    </row>
    <row r="241" spans="5:33" x14ac:dyDescent="0.2">
      <c r="E241" s="14"/>
      <c r="G241" s="14" t="s">
        <v>737</v>
      </c>
      <c r="I241" s="14"/>
      <c r="J241" s="14"/>
      <c r="K241" s="14"/>
      <c r="L241" s="14"/>
      <c r="N241" s="8"/>
    </row>
    <row r="242" spans="5:33" x14ac:dyDescent="0.2">
      <c r="E242" s="15"/>
      <c r="F242" s="12"/>
      <c r="G242" s="4"/>
    </row>
    <row r="243" spans="5:33" s="4" customFormat="1" x14ac:dyDescent="0.2">
      <c r="F243" s="11"/>
      <c r="G243" s="14"/>
      <c r="H243" s="14"/>
      <c r="I243" s="15"/>
      <c r="J243" s="12"/>
      <c r="K243" s="12"/>
      <c r="L243" s="12"/>
      <c r="O243" s="3"/>
      <c r="P243" s="3"/>
      <c r="Q243" s="3"/>
      <c r="R243" s="3"/>
      <c r="S243" s="3"/>
      <c r="T243" s="3"/>
      <c r="U243" s="3"/>
      <c r="V243" s="3"/>
      <c r="W243" s="3"/>
      <c r="X243" s="3"/>
      <c r="Y243" s="3"/>
      <c r="Z243" s="3"/>
      <c r="AA243" s="3"/>
      <c r="AB243" s="3"/>
      <c r="AC243" s="3"/>
      <c r="AD243" s="3"/>
      <c r="AE243" s="3"/>
      <c r="AF243" s="3"/>
      <c r="AG243" s="3"/>
    </row>
    <row r="244" spans="5:33" s="4" customFormat="1" ht="12" customHeight="1" x14ac:dyDescent="0.2">
      <c r="F244" s="11"/>
      <c r="G244" s="14"/>
      <c r="H244" s="14"/>
      <c r="I244" s="15"/>
      <c r="J244" s="32"/>
      <c r="K244" s="32"/>
      <c r="L244" s="32"/>
      <c r="O244" s="3"/>
      <c r="P244" s="3"/>
      <c r="Q244" s="3"/>
      <c r="R244" s="3"/>
      <c r="S244" s="3"/>
      <c r="T244" s="3"/>
      <c r="U244" s="3"/>
      <c r="V244" s="3"/>
      <c r="W244" s="3"/>
      <c r="X244" s="3"/>
      <c r="Y244" s="3"/>
      <c r="Z244" s="3"/>
      <c r="AA244" s="3"/>
      <c r="AB244" s="3"/>
      <c r="AC244" s="3"/>
      <c r="AD244" s="3"/>
      <c r="AE244" s="3"/>
      <c r="AF244" s="3"/>
      <c r="AG244" s="3"/>
    </row>
  </sheetData>
  <mergeCells count="256">
    <mergeCell ref="O56:P57"/>
    <mergeCell ref="O58:P61"/>
    <mergeCell ref="O100:P101"/>
    <mergeCell ref="O102:P105"/>
    <mergeCell ref="O159:P161"/>
    <mergeCell ref="O162:P168"/>
    <mergeCell ref="M1:N1"/>
    <mergeCell ref="D4:M4"/>
    <mergeCell ref="A5:N5"/>
    <mergeCell ref="A6:N6"/>
    <mergeCell ref="M7:N7"/>
    <mergeCell ref="A8:A10"/>
    <mergeCell ref="B8:B10"/>
    <mergeCell ref="C8:C10"/>
    <mergeCell ref="D8:D10"/>
    <mergeCell ref="E8:E10"/>
    <mergeCell ref="A19:A23"/>
    <mergeCell ref="B19:B23"/>
    <mergeCell ref="C19:C23"/>
    <mergeCell ref="D19:D23"/>
    <mergeCell ref="E19:E23"/>
    <mergeCell ref="F19:F23"/>
    <mergeCell ref="G19:G23"/>
    <mergeCell ref="L8:L10"/>
    <mergeCell ref="M8:N8"/>
    <mergeCell ref="M9:M10"/>
    <mergeCell ref="A11:N11"/>
    <mergeCell ref="A12:N12"/>
    <mergeCell ref="B13:N13"/>
    <mergeCell ref="F8:F10"/>
    <mergeCell ref="G8:G10"/>
    <mergeCell ref="H8:H10"/>
    <mergeCell ref="I8:I10"/>
    <mergeCell ref="J8:J10"/>
    <mergeCell ref="K8:K10"/>
    <mergeCell ref="O19:P23"/>
    <mergeCell ref="M22:M23"/>
    <mergeCell ref="D24:D40"/>
    <mergeCell ref="E24:E27"/>
    <mergeCell ref="F24:F40"/>
    <mergeCell ref="O24:P27"/>
    <mergeCell ref="C14:N14"/>
    <mergeCell ref="E16:E18"/>
    <mergeCell ref="H16:H18"/>
    <mergeCell ref="O16:P18"/>
    <mergeCell ref="D41:D43"/>
    <mergeCell ref="E41:E43"/>
    <mergeCell ref="F41:F45"/>
    <mergeCell ref="H41:H43"/>
    <mergeCell ref="D44:D45"/>
    <mergeCell ref="E44:E45"/>
    <mergeCell ref="G44:G45"/>
    <mergeCell ref="H44:H45"/>
    <mergeCell ref="H19:H23"/>
    <mergeCell ref="D46:D47"/>
    <mergeCell ref="E46:E47"/>
    <mergeCell ref="F46:F47"/>
    <mergeCell ref="G46:G47"/>
    <mergeCell ref="H46:H47"/>
    <mergeCell ref="D48:D49"/>
    <mergeCell ref="E48:E49"/>
    <mergeCell ref="F48:F49"/>
    <mergeCell ref="H48:H49"/>
    <mergeCell ref="D50:D51"/>
    <mergeCell ref="E50:E51"/>
    <mergeCell ref="F50:F51"/>
    <mergeCell ref="G50:G51"/>
    <mergeCell ref="H50:H51"/>
    <mergeCell ref="D52:D53"/>
    <mergeCell ref="E52:E53"/>
    <mergeCell ref="F52:F53"/>
    <mergeCell ref="G52:G53"/>
    <mergeCell ref="H52:H53"/>
    <mergeCell ref="A58:A59"/>
    <mergeCell ref="B58:B59"/>
    <mergeCell ref="C58:C59"/>
    <mergeCell ref="D58:D59"/>
    <mergeCell ref="E58:E59"/>
    <mergeCell ref="H58:H59"/>
    <mergeCell ref="H55:H57"/>
    <mergeCell ref="A56:A57"/>
    <mergeCell ref="B56:B57"/>
    <mergeCell ref="C56:C57"/>
    <mergeCell ref="D56:D57"/>
    <mergeCell ref="E56:E57"/>
    <mergeCell ref="F56:F57"/>
    <mergeCell ref="G56:G57"/>
    <mergeCell ref="M76:M77"/>
    <mergeCell ref="E78:E81"/>
    <mergeCell ref="F78:F82"/>
    <mergeCell ref="H78:H82"/>
    <mergeCell ref="M81:M82"/>
    <mergeCell ref="E62:E63"/>
    <mergeCell ref="O62:P63"/>
    <mergeCell ref="O64:P64"/>
    <mergeCell ref="E68:E69"/>
    <mergeCell ref="H70:H71"/>
    <mergeCell ref="H72:H73"/>
    <mergeCell ref="E83:E84"/>
    <mergeCell ref="E85:E91"/>
    <mergeCell ref="A92:A94"/>
    <mergeCell ref="B92:B94"/>
    <mergeCell ref="C92:C94"/>
    <mergeCell ref="D92:D94"/>
    <mergeCell ref="E92:E94"/>
    <mergeCell ref="E76:E77"/>
    <mergeCell ref="H76:H77"/>
    <mergeCell ref="M98:M99"/>
    <mergeCell ref="A100:A101"/>
    <mergeCell ref="B100:B101"/>
    <mergeCell ref="C100:C101"/>
    <mergeCell ref="D100:D101"/>
    <mergeCell ref="E100:E101"/>
    <mergeCell ref="F100:F101"/>
    <mergeCell ref="G100:G101"/>
    <mergeCell ref="F92:F94"/>
    <mergeCell ref="G92:G94"/>
    <mergeCell ref="A98:A99"/>
    <mergeCell ref="B98:B99"/>
    <mergeCell ref="C98:C99"/>
    <mergeCell ref="D98:D99"/>
    <mergeCell ref="E98:E99"/>
    <mergeCell ref="F98:F99"/>
    <mergeCell ref="G98:G99"/>
    <mergeCell ref="E102:E105"/>
    <mergeCell ref="H102:H105"/>
    <mergeCell ref="E106:E107"/>
    <mergeCell ref="D108:D111"/>
    <mergeCell ref="A113:A115"/>
    <mergeCell ref="B113:B115"/>
    <mergeCell ref="C113:C115"/>
    <mergeCell ref="D113:D115"/>
    <mergeCell ref="E113:E115"/>
    <mergeCell ref="F113:F115"/>
    <mergeCell ref="G113:G115"/>
    <mergeCell ref="H113:H115"/>
    <mergeCell ref="A116:A118"/>
    <mergeCell ref="B116:B118"/>
    <mergeCell ref="C116:C118"/>
    <mergeCell ref="D116:D118"/>
    <mergeCell ref="E116:E118"/>
    <mergeCell ref="F116:F118"/>
    <mergeCell ref="G116:G118"/>
    <mergeCell ref="H116:H118"/>
    <mergeCell ref="M126:M128"/>
    <mergeCell ref="M116:M117"/>
    <mergeCell ref="E119:E120"/>
    <mergeCell ref="H119:H120"/>
    <mergeCell ref="M119:M120"/>
    <mergeCell ref="E121:E124"/>
    <mergeCell ref="F121:F124"/>
    <mergeCell ref="G121:G124"/>
    <mergeCell ref="H121:H124"/>
    <mergeCell ref="M122:M123"/>
    <mergeCell ref="D129:D132"/>
    <mergeCell ref="E129:E132"/>
    <mergeCell ref="F129:F132"/>
    <mergeCell ref="G129:G132"/>
    <mergeCell ref="H129:H132"/>
    <mergeCell ref="E133:E135"/>
    <mergeCell ref="F133:F135"/>
    <mergeCell ref="D125:D128"/>
    <mergeCell ref="E125:E128"/>
    <mergeCell ref="F125:F128"/>
    <mergeCell ref="G125:G128"/>
    <mergeCell ref="H125:H128"/>
    <mergeCell ref="M142:M143"/>
    <mergeCell ref="E144:E146"/>
    <mergeCell ref="E147:E148"/>
    <mergeCell ref="F147:F148"/>
    <mergeCell ref="M147:M148"/>
    <mergeCell ref="E150:E151"/>
    <mergeCell ref="H150:H151"/>
    <mergeCell ref="M150:M151"/>
    <mergeCell ref="M134:M135"/>
    <mergeCell ref="G135:G137"/>
    <mergeCell ref="H135:H137"/>
    <mergeCell ref="E136:E139"/>
    <mergeCell ref="F136:F139"/>
    <mergeCell ref="M137:M139"/>
    <mergeCell ref="G139:G142"/>
    <mergeCell ref="H139:H142"/>
    <mergeCell ref="E140:E143"/>
    <mergeCell ref="F140:F143"/>
    <mergeCell ref="H158:H161"/>
    <mergeCell ref="E159:E161"/>
    <mergeCell ref="E162:E166"/>
    <mergeCell ref="M162:M163"/>
    <mergeCell ref="C172:I172"/>
    <mergeCell ref="C173:N173"/>
    <mergeCell ref="E152:E154"/>
    <mergeCell ref="F152:F154"/>
    <mergeCell ref="G152:G154"/>
    <mergeCell ref="H152:H154"/>
    <mergeCell ref="C156:I156"/>
    <mergeCell ref="C157:N157"/>
    <mergeCell ref="E175:E177"/>
    <mergeCell ref="H175:H178"/>
    <mergeCell ref="E179:E180"/>
    <mergeCell ref="M179:M180"/>
    <mergeCell ref="A182:A183"/>
    <mergeCell ref="B182:B183"/>
    <mergeCell ref="C182:C183"/>
    <mergeCell ref="D182:D183"/>
    <mergeCell ref="E182:E183"/>
    <mergeCell ref="F182:F183"/>
    <mergeCell ref="A204:A205"/>
    <mergeCell ref="B204:B205"/>
    <mergeCell ref="C204:C205"/>
    <mergeCell ref="D204:D205"/>
    <mergeCell ref="E204:E205"/>
    <mergeCell ref="H182:H183"/>
    <mergeCell ref="A184:A185"/>
    <mergeCell ref="B184:B185"/>
    <mergeCell ref="C184:C185"/>
    <mergeCell ref="D184:D185"/>
    <mergeCell ref="E184:E185"/>
    <mergeCell ref="F184:F185"/>
    <mergeCell ref="H184:H185"/>
    <mergeCell ref="F204:F205"/>
    <mergeCell ref="H204:H205"/>
    <mergeCell ref="E207:E209"/>
    <mergeCell ref="H207:H209"/>
    <mergeCell ref="E210:E212"/>
    <mergeCell ref="H210:H212"/>
    <mergeCell ref="E186:E190"/>
    <mergeCell ref="H186:H188"/>
    <mergeCell ref="H192:H193"/>
    <mergeCell ref="C202:I202"/>
    <mergeCell ref="C203:I203"/>
    <mergeCell ref="A219:I219"/>
    <mergeCell ref="A220:I220"/>
    <mergeCell ref="A221:I221"/>
    <mergeCell ref="A222:I222"/>
    <mergeCell ref="A223:I223"/>
    <mergeCell ref="A224:I224"/>
    <mergeCell ref="C213:I213"/>
    <mergeCell ref="B214:I214"/>
    <mergeCell ref="M214:N214"/>
    <mergeCell ref="B215:I215"/>
    <mergeCell ref="M215:N215"/>
    <mergeCell ref="A216:M216"/>
    <mergeCell ref="A237:I237"/>
    <mergeCell ref="A238:I238"/>
    <mergeCell ref="A231:I231"/>
    <mergeCell ref="A232:I232"/>
    <mergeCell ref="A233:I233"/>
    <mergeCell ref="A234:I234"/>
    <mergeCell ref="A235:I235"/>
    <mergeCell ref="A236:I236"/>
    <mergeCell ref="A225:I225"/>
    <mergeCell ref="A226:I226"/>
    <mergeCell ref="A227:I227"/>
    <mergeCell ref="A228:I228"/>
    <mergeCell ref="A229:I229"/>
    <mergeCell ref="A230:I23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2</vt:i4>
      </vt:variant>
    </vt:vector>
  </HeadingPairs>
  <TitlesOfParts>
    <vt:vector size="6" baseType="lpstr">
      <vt:lpstr>Ataskaita</vt:lpstr>
      <vt:lpstr>Priemonių suvestinė</vt:lpstr>
      <vt:lpstr>SPIS</vt:lpstr>
      <vt:lpstr>MVP paskut.</vt:lpstr>
      <vt:lpstr>'Priemonių suvestinė'!Print_Area</vt:lpstr>
      <vt:lpstr>'Priemonių suvestinė'!Print_Titles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2020-03-02T06:31:59Z</cp:lastPrinted>
  <dcterms:created xsi:type="dcterms:W3CDTF">2007-07-27T10:32:34Z</dcterms:created>
  <dcterms:modified xsi:type="dcterms:W3CDTF">2020-03-02T06:33:40Z</dcterms:modified>
</cp:coreProperties>
</file>