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0-2022 SVP keitimas\2020-10-29 keitimas\SPRENDIMAS 2020-10-29 NR. T2-231\"/>
    </mc:Choice>
  </mc:AlternateContent>
  <bookViews>
    <workbookView xWindow="-120" yWindow="-120" windowWidth="24240" windowHeight="13140"/>
  </bookViews>
  <sheets>
    <sheet name="6 programa" sheetId="14" r:id="rId1"/>
    <sheet name="Lyginamasis variantas" sheetId="16" state="hidden" r:id="rId2"/>
    <sheet name="Lyginamasis išskleistas" sheetId="23" state="hidden" r:id="rId3"/>
    <sheet name="aiškinamoji lentelė " sheetId="5" state="hidden" r:id="rId4"/>
  </sheets>
  <definedNames>
    <definedName name="_xlnm.Print_Area" localSheetId="0">'6 programa'!$A$1:$M$260</definedName>
    <definedName name="_xlnm.Print_Area" localSheetId="3">'aiškinamoji lentelė '!$A$1:$O$262</definedName>
    <definedName name="_xlnm.Print_Area" localSheetId="2">'Lyginamasis išskleistas'!$A$1:$T$256</definedName>
    <definedName name="_xlnm.Print_Area" localSheetId="1">'Lyginamasis variantas'!$A$1:$T$269</definedName>
    <definedName name="_xlnm.Print_Titles" localSheetId="0">'6 programa'!$9:$11</definedName>
    <definedName name="_xlnm.Print_Titles" localSheetId="3">'aiškinamoji lentelė '!$6:$8</definedName>
    <definedName name="_xlnm.Print_Titles" localSheetId="1">'Lyginamasis variantas'!$6:$8</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8" i="14" l="1"/>
  <c r="H140" i="16" l="1"/>
  <c r="O264" i="16" l="1"/>
  <c r="L267" i="16"/>
  <c r="M267" i="16"/>
  <c r="N267" i="16"/>
  <c r="O266" i="16"/>
  <c r="O265" i="16"/>
  <c r="N251" i="16"/>
  <c r="O251" i="16"/>
  <c r="O261" i="16"/>
  <c r="O260" i="16"/>
  <c r="O259" i="16"/>
  <c r="O258" i="16"/>
  <c r="O257" i="16"/>
  <c r="O256" i="16"/>
  <c r="O255" i="16"/>
  <c r="O254" i="16"/>
  <c r="O253" i="16"/>
  <c r="O252" i="16"/>
  <c r="I27" i="14"/>
  <c r="H27" i="14"/>
  <c r="H16" i="14"/>
  <c r="G129" i="14" l="1"/>
  <c r="G176" i="14"/>
  <c r="H191" i="16"/>
  <c r="H202" i="16"/>
  <c r="N24" i="16"/>
  <c r="K24" i="16"/>
  <c r="K13" i="16"/>
  <c r="O48" i="16"/>
  <c r="L48" i="16"/>
  <c r="L47" i="16"/>
  <c r="H46" i="16" l="1"/>
  <c r="H14" i="16" l="1"/>
  <c r="G17" i="14"/>
  <c r="G16" i="14" l="1"/>
  <c r="H13" i="16"/>
  <c r="H38" i="16"/>
  <c r="H58" i="16" l="1"/>
  <c r="G19" i="14" l="1"/>
  <c r="H15" i="16"/>
  <c r="H27" i="16"/>
  <c r="I27" i="16" l="1"/>
  <c r="H81" i="16"/>
  <c r="H19" i="14" l="1"/>
  <c r="K15" i="16"/>
  <c r="K34" i="16"/>
  <c r="L39" i="16"/>
  <c r="K39" i="16"/>
  <c r="I46" i="16" l="1"/>
  <c r="H101" i="16" l="1"/>
  <c r="I101" i="16" s="1"/>
  <c r="G101" i="16"/>
  <c r="G27" i="14" l="1"/>
  <c r="H23" i="14"/>
  <c r="G23" i="14"/>
  <c r="H24" i="16" l="1"/>
  <c r="K33" i="16"/>
  <c r="K29" i="16"/>
  <c r="K20" i="16"/>
  <c r="H20" i="16"/>
  <c r="K28" i="16"/>
  <c r="H156" i="16" l="1"/>
  <c r="G26" i="14" l="1"/>
  <c r="H23" i="16"/>
  <c r="I39" i="16" l="1"/>
  <c r="H39" i="16"/>
  <c r="I19" i="14" l="1"/>
  <c r="O23" i="16"/>
  <c r="L23" i="16"/>
  <c r="N15" i="16"/>
  <c r="L20" i="16"/>
  <c r="I20" i="16"/>
  <c r="L33" i="16" l="1"/>
  <c r="L32" i="16"/>
  <c r="L31" i="16"/>
  <c r="K31" i="16"/>
  <c r="N30" i="16"/>
  <c r="O30" i="16" s="1"/>
  <c r="O29" i="16"/>
  <c r="N29" i="16"/>
  <c r="O26" i="16"/>
  <c r="L30" i="16"/>
  <c r="K30" i="16"/>
  <c r="L29" i="16"/>
  <c r="L28" i="16"/>
  <c r="I16" i="14" l="1"/>
  <c r="H28" i="14"/>
  <c r="H22" i="14"/>
  <c r="G203" i="14" l="1"/>
  <c r="G175" i="14"/>
  <c r="G28" i="14"/>
  <c r="G22" i="14"/>
  <c r="G18" i="14"/>
  <c r="K19" i="16"/>
  <c r="K25" i="16" l="1"/>
  <c r="H25" i="16"/>
  <c r="H19" i="16"/>
  <c r="N13" i="16" l="1"/>
  <c r="O13" i="16" s="1"/>
  <c r="H16" i="16"/>
  <c r="I16" i="16" s="1"/>
  <c r="L25" i="16"/>
  <c r="I23" i="16"/>
  <c r="I38" i="16" l="1"/>
  <c r="L37" i="16"/>
  <c r="J35" i="16"/>
  <c r="L35" i="16" s="1"/>
  <c r="G35" i="16"/>
  <c r="I35" i="16" s="1"/>
  <c r="J34" i="16"/>
  <c r="L34" i="16" s="1"/>
  <c r="I81" i="16"/>
  <c r="I76" i="16"/>
  <c r="L76" i="16"/>
  <c r="L75" i="16"/>
  <c r="L81" i="16"/>
  <c r="L68" i="16"/>
  <c r="I68" i="16"/>
  <c r="J66" i="16"/>
  <c r="L66" i="16" s="1"/>
  <c r="G66" i="16"/>
  <c r="I66" i="16" s="1"/>
  <c r="J65" i="16"/>
  <c r="L65" i="16" s="1"/>
  <c r="L63" i="16"/>
  <c r="J61" i="16"/>
  <c r="L61" i="16" s="1"/>
  <c r="J60" i="16"/>
  <c r="L60" i="16" s="1"/>
  <c r="I60" i="16"/>
  <c r="I58" i="16"/>
  <c r="O56" i="16"/>
  <c r="J56" i="16"/>
  <c r="L56" i="16" s="1"/>
  <c r="O51" i="16"/>
  <c r="J51" i="16"/>
  <c r="L51" i="16" s="1"/>
  <c r="J45" i="16"/>
  <c r="L45" i="16" s="1"/>
  <c r="G45" i="16"/>
  <c r="I45" i="16" s="1"/>
  <c r="I44" i="16"/>
  <c r="G43" i="16"/>
  <c r="I43" i="16" s="1"/>
  <c r="J217" i="16" l="1"/>
  <c r="K217" i="16"/>
  <c r="L217" i="16"/>
  <c r="M217" i="16"/>
  <c r="N217" i="16"/>
  <c r="O217" i="16"/>
  <c r="H218" i="16"/>
  <c r="L242" i="16"/>
  <c r="O242" i="16"/>
  <c r="H240" i="16"/>
  <c r="I240" i="16" s="1"/>
  <c r="I202" i="16"/>
  <c r="H190" i="16"/>
  <c r="H195" i="16"/>
  <c r="G195" i="16"/>
  <c r="G140" i="16"/>
  <c r="I140" i="16" s="1"/>
  <c r="I187" i="16" s="1"/>
  <c r="L187" i="16"/>
  <c r="M187" i="16"/>
  <c r="N187" i="16"/>
  <c r="O187" i="16"/>
  <c r="I156" i="16"/>
  <c r="H145" i="16"/>
  <c r="H125" i="16"/>
  <c r="I125" i="16" s="1"/>
  <c r="H217" i="16" l="1"/>
  <c r="I195" i="16"/>
  <c r="I191" i="16"/>
  <c r="G13" i="16" l="1"/>
  <c r="I13" i="16" s="1"/>
  <c r="G14" i="16"/>
  <c r="I14" i="16" s="1"/>
  <c r="G15" i="16"/>
  <c r="I15" i="16" s="1"/>
  <c r="G19" i="16"/>
  <c r="I19" i="16" s="1"/>
  <c r="G22" i="16"/>
  <c r="J13" i="16"/>
  <c r="L13" i="16" s="1"/>
  <c r="J15" i="16"/>
  <c r="L15" i="16" s="1"/>
  <c r="J19" i="16"/>
  <c r="L19" i="16" s="1"/>
  <c r="J22" i="16"/>
  <c r="J24" i="16"/>
  <c r="L24" i="16" s="1"/>
  <c r="M24" i="16"/>
  <c r="O24" i="16" s="1"/>
  <c r="J142" i="16"/>
  <c r="J187" i="16" s="1"/>
  <c r="G142" i="16"/>
  <c r="G187" i="16" s="1"/>
  <c r="L137" i="16" l="1"/>
  <c r="J137" i="16"/>
  <c r="G190" i="16"/>
  <c r="M218" i="16"/>
  <c r="M220" i="16"/>
  <c r="J220" i="16"/>
  <c r="J218" i="16"/>
  <c r="G220" i="16"/>
  <c r="G222" i="16"/>
  <c r="G218" i="16"/>
  <c r="J242" i="16" l="1"/>
  <c r="G217" i="16"/>
  <c r="I190" i="16"/>
  <c r="I217" i="16" s="1"/>
  <c r="G242" i="16"/>
  <c r="I218" i="16"/>
  <c r="I242" i="16" s="1"/>
  <c r="H176" i="23"/>
  <c r="G176" i="23"/>
  <c r="N206" i="23"/>
  <c r="M206" i="23"/>
  <c r="K206" i="23"/>
  <c r="J206" i="23"/>
  <c r="K209" i="23"/>
  <c r="J209" i="23"/>
  <c r="N204" i="23"/>
  <c r="M204" i="23"/>
  <c r="J204" i="23"/>
  <c r="K204" i="23"/>
  <c r="H206" i="23"/>
  <c r="G206" i="23"/>
  <c r="G209" i="23"/>
  <c r="H209" i="23"/>
  <c r="H204" i="23"/>
  <c r="G204" i="23"/>
  <c r="G47" i="23" l="1"/>
  <c r="I138" i="5" l="1"/>
  <c r="I164" i="5"/>
  <c r="J47" i="5" l="1"/>
  <c r="I47" i="5"/>
  <c r="H47" i="23"/>
  <c r="I21" i="5" l="1"/>
  <c r="I203" i="14" l="1"/>
  <c r="N218" i="16"/>
  <c r="J23" i="5"/>
  <c r="K23" i="5"/>
  <c r="I208" i="14" l="1"/>
  <c r="I205" i="14"/>
  <c r="H205" i="14"/>
  <c r="H203" i="14"/>
  <c r="G207" i="14"/>
  <c r="G205" i="14"/>
  <c r="H222" i="16"/>
  <c r="K218" i="16"/>
  <c r="I229" i="5"/>
  <c r="I22" i="5"/>
  <c r="J21" i="5"/>
  <c r="L244" i="23" l="1"/>
  <c r="L258" i="16"/>
  <c r="K220" i="16" l="1"/>
  <c r="K242" i="16" s="1"/>
  <c r="N220" i="16"/>
  <c r="H220" i="16"/>
  <c r="H242" i="16" s="1"/>
  <c r="K142" i="16"/>
  <c r="K187" i="16" s="1"/>
  <c r="H142" i="16"/>
  <c r="H141" i="16"/>
  <c r="N137" i="16"/>
  <c r="M15" i="16"/>
  <c r="K22" i="16"/>
  <c r="H22" i="16"/>
  <c r="H21" i="16"/>
  <c r="O252" i="23"/>
  <c r="N252" i="23"/>
  <c r="M252" i="23"/>
  <c r="L252" i="23"/>
  <c r="K252" i="23"/>
  <c r="J252" i="23"/>
  <c r="I252" i="23"/>
  <c r="O251" i="23"/>
  <c r="N251" i="23"/>
  <c r="M251" i="23"/>
  <c r="L251" i="23"/>
  <c r="I251" i="23"/>
  <c r="N250" i="23"/>
  <c r="M250" i="23"/>
  <c r="L250" i="23"/>
  <c r="K250" i="23"/>
  <c r="J250" i="23"/>
  <c r="I250" i="23"/>
  <c r="H250" i="23"/>
  <c r="G250" i="23"/>
  <c r="O249" i="23"/>
  <c r="N247" i="23"/>
  <c r="M247" i="23"/>
  <c r="L247" i="23"/>
  <c r="K247" i="23"/>
  <c r="J247" i="23"/>
  <c r="O246" i="23"/>
  <c r="N246" i="23"/>
  <c r="M246" i="23"/>
  <c r="L246" i="23"/>
  <c r="K246" i="23"/>
  <c r="J246" i="23"/>
  <c r="I246" i="23"/>
  <c r="H246" i="23"/>
  <c r="G246" i="23"/>
  <c r="O245" i="23"/>
  <c r="N245" i="23"/>
  <c r="M245" i="23"/>
  <c r="L245" i="23"/>
  <c r="K245" i="23"/>
  <c r="J245" i="23"/>
  <c r="I245" i="23"/>
  <c r="H245" i="23"/>
  <c r="G245" i="23"/>
  <c r="O244" i="23"/>
  <c r="N244" i="23"/>
  <c r="M244" i="23"/>
  <c r="K244" i="23"/>
  <c r="J244" i="23"/>
  <c r="I244" i="23"/>
  <c r="H244" i="23"/>
  <c r="G244" i="23"/>
  <c r="O243" i="23"/>
  <c r="N243" i="23"/>
  <c r="M243" i="23"/>
  <c r="L243" i="23"/>
  <c r="K243" i="23"/>
  <c r="J243" i="23"/>
  <c r="I243" i="23"/>
  <c r="H243" i="23"/>
  <c r="G243" i="23"/>
  <c r="O242" i="23"/>
  <c r="O241" i="23"/>
  <c r="N241" i="23"/>
  <c r="M241" i="23"/>
  <c r="L241" i="23"/>
  <c r="K241" i="23"/>
  <c r="J241" i="23"/>
  <c r="I241" i="23"/>
  <c r="H241" i="23"/>
  <c r="G241" i="23"/>
  <c r="O240" i="23"/>
  <c r="N240" i="23"/>
  <c r="M240" i="23"/>
  <c r="N239" i="23"/>
  <c r="M239" i="23"/>
  <c r="K239" i="23"/>
  <c r="J239" i="23"/>
  <c r="H239" i="23"/>
  <c r="G239" i="23"/>
  <c r="N238" i="23"/>
  <c r="M238" i="23"/>
  <c r="K238" i="23"/>
  <c r="J238" i="23"/>
  <c r="M228" i="23"/>
  <c r="M229" i="23" s="1"/>
  <c r="M230" i="23" s="1"/>
  <c r="M231" i="23" s="1"/>
  <c r="K228" i="23"/>
  <c r="J228" i="23"/>
  <c r="O238" i="23"/>
  <c r="O239" i="23"/>
  <c r="I228" i="23"/>
  <c r="M249" i="23"/>
  <c r="H228" i="23"/>
  <c r="G228" i="23"/>
  <c r="N203" i="23"/>
  <c r="M203" i="23"/>
  <c r="K203" i="23"/>
  <c r="J203" i="23"/>
  <c r="H203" i="23"/>
  <c r="G203" i="23"/>
  <c r="I203" i="23"/>
  <c r="N173" i="23"/>
  <c r="N174" i="23" s="1"/>
  <c r="M173" i="23"/>
  <c r="M174" i="23" s="1"/>
  <c r="K173" i="23"/>
  <c r="K174" i="23" s="1"/>
  <c r="J173" i="23"/>
  <c r="J174" i="23" s="1"/>
  <c r="I147" i="23"/>
  <c r="I144" i="23"/>
  <c r="I143" i="23"/>
  <c r="I142" i="23"/>
  <c r="I137" i="23"/>
  <c r="I132" i="23"/>
  <c r="I131" i="23"/>
  <c r="H126" i="23"/>
  <c r="H173" i="23" s="1"/>
  <c r="H174" i="23" s="1"/>
  <c r="G126" i="23"/>
  <c r="G173" i="23" s="1"/>
  <c r="G174" i="23" s="1"/>
  <c r="O123" i="23"/>
  <c r="O124" i="23" s="1"/>
  <c r="L249" i="23"/>
  <c r="I249" i="23"/>
  <c r="L242" i="23"/>
  <c r="L240" i="23"/>
  <c r="I240" i="23"/>
  <c r="I123" i="23"/>
  <c r="I124" i="23" s="1"/>
  <c r="H25" i="23"/>
  <c r="H252" i="23" s="1"/>
  <c r="G25" i="23"/>
  <c r="G252" i="23" s="1"/>
  <c r="K24" i="23"/>
  <c r="K251" i="23" s="1"/>
  <c r="J24" i="23"/>
  <c r="J251" i="23" s="1"/>
  <c r="H24" i="23"/>
  <c r="H251" i="23" s="1"/>
  <c r="G24" i="23"/>
  <c r="G251" i="23" s="1"/>
  <c r="K22" i="23"/>
  <c r="K249" i="23" s="1"/>
  <c r="J22" i="23"/>
  <c r="J249" i="23" s="1"/>
  <c r="H22" i="23"/>
  <c r="H249" i="23" s="1"/>
  <c r="G22" i="23"/>
  <c r="G249" i="23" s="1"/>
  <c r="K19" i="23"/>
  <c r="K123" i="23" s="1"/>
  <c r="K124" i="23" s="1"/>
  <c r="J19" i="23"/>
  <c r="J240" i="23" s="1"/>
  <c r="H19" i="23"/>
  <c r="H240" i="23" s="1"/>
  <c r="G19" i="23"/>
  <c r="G240" i="23" s="1"/>
  <c r="N16" i="23"/>
  <c r="N242" i="23" s="1"/>
  <c r="M16" i="23"/>
  <c r="M123" i="23" s="1"/>
  <c r="M124" i="23" s="1"/>
  <c r="K16" i="23"/>
  <c r="K242" i="23" s="1"/>
  <c r="J16" i="23"/>
  <c r="J242" i="23" s="1"/>
  <c r="H16" i="23"/>
  <c r="H242" i="23" s="1"/>
  <c r="G16" i="23"/>
  <c r="G242" i="23" s="1"/>
  <c r="H14" i="23"/>
  <c r="H247" i="23" s="1"/>
  <c r="G14" i="23"/>
  <c r="G247" i="23" s="1"/>
  <c r="H13" i="23"/>
  <c r="H238" i="23" s="1"/>
  <c r="G13" i="23"/>
  <c r="J57" i="5"/>
  <c r="H25" i="14"/>
  <c r="G25" i="14"/>
  <c r="I54" i="5"/>
  <c r="J56" i="5"/>
  <c r="I57" i="5"/>
  <c r="J51" i="5"/>
  <c r="G24" i="14"/>
  <c r="J52" i="5"/>
  <c r="I42" i="5"/>
  <c r="J42" i="5"/>
  <c r="J44" i="5"/>
  <c r="I44" i="5"/>
  <c r="I37" i="5"/>
  <c r="I38" i="5"/>
  <c r="M137" i="16" l="1"/>
  <c r="O15" i="16"/>
  <c r="O137" i="16" s="1"/>
  <c r="H187" i="16"/>
  <c r="H137" i="16"/>
  <c r="K137" i="16"/>
  <c r="H229" i="23"/>
  <c r="G229" i="23"/>
  <c r="I229" i="23"/>
  <c r="L238" i="23"/>
  <c r="I173" i="23"/>
  <c r="I174" i="23" s="1"/>
  <c r="L239" i="23"/>
  <c r="N123" i="23"/>
  <c r="N124" i="23" s="1"/>
  <c r="L228" i="23"/>
  <c r="L229" i="23" s="1"/>
  <c r="I238" i="23"/>
  <c r="I239" i="23"/>
  <c r="L173" i="23"/>
  <c r="L174" i="23" s="1"/>
  <c r="O228" i="23"/>
  <c r="O229" i="23" s="1"/>
  <c r="O230" i="23" s="1"/>
  <c r="O231" i="23" s="1"/>
  <c r="J229" i="23"/>
  <c r="G123" i="23"/>
  <c r="G124" i="23" s="1"/>
  <c r="I247" i="23"/>
  <c r="N249" i="23"/>
  <c r="N248" i="23" s="1"/>
  <c r="N228" i="23"/>
  <c r="N229" i="23" s="1"/>
  <c r="K229" i="23"/>
  <c r="K230" i="23" s="1"/>
  <c r="K231" i="23" s="1"/>
  <c r="M248" i="23"/>
  <c r="O237" i="23"/>
  <c r="G248" i="23"/>
  <c r="H237" i="23"/>
  <c r="H236" i="23" s="1"/>
  <c r="I248" i="23"/>
  <c r="H248" i="23"/>
  <c r="L248" i="23"/>
  <c r="N237" i="23"/>
  <c r="N236" i="23" s="1"/>
  <c r="K248" i="23"/>
  <c r="J237" i="23"/>
  <c r="J236" i="23" s="1"/>
  <c r="J248" i="23"/>
  <c r="J123" i="23"/>
  <c r="J124" i="23" s="1"/>
  <c r="G238" i="23"/>
  <c r="G237" i="23" s="1"/>
  <c r="G236" i="23" s="1"/>
  <c r="H123" i="23"/>
  <c r="H124" i="23" s="1"/>
  <c r="H230" i="23" s="1"/>
  <c r="H231" i="23" s="1"/>
  <c r="L123" i="23"/>
  <c r="L124" i="23" s="1"/>
  <c r="K240" i="23"/>
  <c r="K237" i="23" s="1"/>
  <c r="K236" i="23" s="1"/>
  <c r="I242" i="23"/>
  <c r="M242" i="23"/>
  <c r="M237" i="23" s="1"/>
  <c r="M236" i="23" s="1"/>
  <c r="J33" i="5"/>
  <c r="J36" i="5"/>
  <c r="I36" i="5"/>
  <c r="I34" i="5"/>
  <c r="J26" i="5"/>
  <c r="J25" i="5"/>
  <c r="I24" i="5"/>
  <c r="I30" i="5"/>
  <c r="I26" i="5"/>
  <c r="I230" i="23" l="1"/>
  <c r="I231" i="23" s="1"/>
  <c r="G230" i="23"/>
  <c r="G231" i="23" s="1"/>
  <c r="O247" i="23" s="1"/>
  <c r="O236" i="23" s="1"/>
  <c r="L237" i="23"/>
  <c r="L236" i="23" s="1"/>
  <c r="L253" i="23" s="1"/>
  <c r="K253" i="23"/>
  <c r="J230" i="23"/>
  <c r="J231" i="23" s="1"/>
  <c r="N230" i="23"/>
  <c r="N231" i="23" s="1"/>
  <c r="L230" i="23"/>
  <c r="L231" i="23" s="1"/>
  <c r="I237" i="23"/>
  <c r="I236" i="23" s="1"/>
  <c r="I253" i="23" s="1"/>
  <c r="M253" i="23"/>
  <c r="G253" i="23"/>
  <c r="H253" i="23"/>
  <c r="J253" i="23"/>
  <c r="N253" i="23"/>
  <c r="O250" i="23" l="1"/>
  <c r="O248" i="23" s="1"/>
  <c r="O253" i="23" s="1"/>
  <c r="H177" i="14"/>
  <c r="H130" i="14"/>
  <c r="G130" i="14"/>
  <c r="L188" i="16"/>
  <c r="I150" i="5" l="1"/>
  <c r="J233" i="5" l="1"/>
  <c r="K233" i="5"/>
  <c r="K237" i="5" s="1"/>
  <c r="I233" i="5"/>
  <c r="J237" i="5"/>
  <c r="I211" i="5"/>
  <c r="I174" i="5" l="1"/>
  <c r="I182" i="5"/>
  <c r="I139" i="5"/>
  <c r="I161" i="5"/>
  <c r="I145" i="5" l="1"/>
  <c r="I185" i="5" s="1"/>
  <c r="K251" i="5" l="1"/>
  <c r="I243" i="14" l="1"/>
  <c r="H243" i="14"/>
  <c r="G243" i="14"/>
  <c r="I241" i="14"/>
  <c r="H241" i="14"/>
  <c r="G241" i="14"/>
  <c r="J258" i="16"/>
  <c r="K258" i="16"/>
  <c r="M258" i="16"/>
  <c r="N258" i="16"/>
  <c r="J251" i="5"/>
  <c r="K253" i="5"/>
  <c r="J253" i="5"/>
  <c r="I253" i="5"/>
  <c r="N256" i="16"/>
  <c r="M256" i="16"/>
  <c r="L256" i="16"/>
  <c r="K256" i="16"/>
  <c r="J256" i="16"/>
  <c r="H256" i="16"/>
  <c r="G256" i="16"/>
  <c r="I258" i="16"/>
  <c r="H258" i="16"/>
  <c r="G258" i="16"/>
  <c r="H259" i="16"/>
  <c r="I256" i="16" l="1"/>
  <c r="L243" i="16"/>
  <c r="I48" i="5" l="1"/>
  <c r="I188" i="16" l="1"/>
  <c r="I189" i="5" l="1"/>
  <c r="I111" i="5" l="1"/>
  <c r="I19" i="5" l="1"/>
  <c r="I41" i="5"/>
  <c r="I91" i="5"/>
  <c r="I251" i="5" s="1"/>
  <c r="I108" i="5"/>
  <c r="I115" i="5"/>
  <c r="I186" i="5"/>
  <c r="I213" i="5"/>
  <c r="I217" i="5"/>
  <c r="I237" i="5" s="1"/>
  <c r="I218" i="5"/>
  <c r="I249" i="5"/>
  <c r="I250" i="5"/>
  <c r="I252" i="5"/>
  <c r="I254" i="5"/>
  <c r="I255" i="5"/>
  <c r="I256" i="5"/>
  <c r="I258" i="5"/>
  <c r="I259" i="5"/>
  <c r="I260" i="5"/>
  <c r="I261" i="5"/>
  <c r="I248" i="5" l="1"/>
  <c r="I247" i="5"/>
  <c r="I238" i="5"/>
  <c r="I257" i="5"/>
  <c r="I133" i="5"/>
  <c r="I134" i="5" s="1"/>
  <c r="I264" i="16"/>
  <c r="I263" i="16"/>
  <c r="I260" i="16"/>
  <c r="I259" i="16"/>
  <c r="I257" i="16"/>
  <c r="I255" i="16"/>
  <c r="I254" i="16"/>
  <c r="H254" i="16"/>
  <c r="I253" i="16"/>
  <c r="I246" i="5" l="1"/>
  <c r="I245" i="5" s="1"/>
  <c r="I262" i="5" s="1"/>
  <c r="I239" i="5"/>
  <c r="I240" i="5" s="1"/>
  <c r="O263" i="16" l="1"/>
  <c r="L266" i="16"/>
  <c r="L264" i="16"/>
  <c r="L263" i="16"/>
  <c r="L261" i="16"/>
  <c r="L260" i="16"/>
  <c r="L259" i="16"/>
  <c r="L257" i="16"/>
  <c r="L255" i="16"/>
  <c r="L254" i="16"/>
  <c r="L252" i="16"/>
  <c r="L253" i="16"/>
  <c r="L251" i="16" l="1"/>
  <c r="L250" i="16" s="1"/>
  <c r="K133" i="5" l="1"/>
  <c r="O243" i="16" l="1"/>
  <c r="O138" i="16"/>
  <c r="O244" i="16" l="1"/>
  <c r="O245" i="16" s="1"/>
  <c r="N266" i="16"/>
  <c r="N265" i="16"/>
  <c r="N264" i="16"/>
  <c r="N261" i="16"/>
  <c r="N260" i="16"/>
  <c r="N259" i="16"/>
  <c r="N257" i="16"/>
  <c r="N255" i="16"/>
  <c r="N254" i="16"/>
  <c r="N253" i="16"/>
  <c r="N252" i="16"/>
  <c r="K266" i="16"/>
  <c r="K264" i="16"/>
  <c r="K263" i="16"/>
  <c r="K261" i="16"/>
  <c r="K260" i="16"/>
  <c r="K259" i="16"/>
  <c r="K257" i="16"/>
  <c r="K255" i="16"/>
  <c r="K254" i="16"/>
  <c r="K253" i="16"/>
  <c r="K252" i="16"/>
  <c r="H264" i="16"/>
  <c r="H263" i="16"/>
  <c r="H260" i="16"/>
  <c r="H257" i="16"/>
  <c r="H255" i="16"/>
  <c r="H253" i="16"/>
  <c r="N223" i="16"/>
  <c r="N242" i="16" s="1"/>
  <c r="N188" i="16"/>
  <c r="N138" i="16"/>
  <c r="K188" i="16"/>
  <c r="K138" i="16"/>
  <c r="H188" i="16"/>
  <c r="H266" i="16"/>
  <c r="H265" i="16"/>
  <c r="H261" i="16"/>
  <c r="H252" i="16"/>
  <c r="J188" i="16"/>
  <c r="J252" i="16"/>
  <c r="J253" i="16"/>
  <c r="J254" i="16"/>
  <c r="J255" i="16"/>
  <c r="J257" i="16"/>
  <c r="J259" i="16"/>
  <c r="J260" i="16"/>
  <c r="J261" i="16"/>
  <c r="J263" i="16"/>
  <c r="J264" i="16"/>
  <c r="J265" i="16"/>
  <c r="J266" i="16"/>
  <c r="M266" i="16"/>
  <c r="M265" i="16"/>
  <c r="M264" i="16"/>
  <c r="G264" i="16"/>
  <c r="G263" i="16"/>
  <c r="M261" i="16"/>
  <c r="M260" i="16"/>
  <c r="G260" i="16"/>
  <c r="M259" i="16"/>
  <c r="G259" i="16"/>
  <c r="M257" i="16"/>
  <c r="G257" i="16"/>
  <c r="M255" i="16"/>
  <c r="G255" i="16"/>
  <c r="M254" i="16"/>
  <c r="G254" i="16"/>
  <c r="M253" i="16"/>
  <c r="G253" i="16"/>
  <c r="M252" i="16"/>
  <c r="M223" i="16"/>
  <c r="M242" i="16" s="1"/>
  <c r="M188" i="16"/>
  <c r="G188" i="16"/>
  <c r="M138" i="16"/>
  <c r="G25" i="16"/>
  <c r="G24" i="16"/>
  <c r="I24" i="16" s="1"/>
  <c r="I265" i="16" s="1"/>
  <c r="G266" i="16" l="1"/>
  <c r="I25" i="16"/>
  <c r="G265" i="16"/>
  <c r="G137" i="16"/>
  <c r="L138" i="16"/>
  <c r="L244" i="16" s="1"/>
  <c r="L245" i="16" s="1"/>
  <c r="L265" i="16"/>
  <c r="L262" i="16" s="1"/>
  <c r="G243" i="16"/>
  <c r="I243" i="16"/>
  <c r="G261" i="16"/>
  <c r="I261" i="16"/>
  <c r="M263" i="16"/>
  <c r="M262" i="16" s="1"/>
  <c r="M243" i="16"/>
  <c r="M244" i="16" s="1"/>
  <c r="M245" i="16" s="1"/>
  <c r="J138" i="16"/>
  <c r="H138" i="16"/>
  <c r="H251" i="16"/>
  <c r="J251" i="16"/>
  <c r="J250" i="16" s="1"/>
  <c r="K265" i="16"/>
  <c r="N263" i="16"/>
  <c r="H243" i="16"/>
  <c r="J243" i="16"/>
  <c r="J262" i="16"/>
  <c r="N243" i="16"/>
  <c r="N244" i="16" s="1"/>
  <c r="N245" i="16" s="1"/>
  <c r="K243" i="16"/>
  <c r="K244" i="16" s="1"/>
  <c r="K245" i="16" s="1"/>
  <c r="M251" i="16"/>
  <c r="M250" i="16" s="1"/>
  <c r="G252" i="16"/>
  <c r="G251" i="16" s="1"/>
  <c r="G262" i="16" l="1"/>
  <c r="I137" i="16"/>
  <c r="I138" i="16" s="1"/>
  <c r="I244" i="16" s="1"/>
  <c r="I245" i="16" s="1"/>
  <c r="I266" i="16"/>
  <c r="I262" i="16" s="1"/>
  <c r="I252" i="16"/>
  <c r="I251" i="16" s="1"/>
  <c r="I250" i="16" s="1"/>
  <c r="G250" i="16"/>
  <c r="G267" i="16" s="1"/>
  <c r="J244" i="16"/>
  <c r="J245" i="16" s="1"/>
  <c r="G138" i="16"/>
  <c r="H244" i="16"/>
  <c r="J267" i="16"/>
  <c r="I267" i="16" l="1"/>
  <c r="G244" i="16"/>
  <c r="G245" i="16" s="1"/>
  <c r="H245" i="16"/>
  <c r="K262" i="16"/>
  <c r="N262" i="16"/>
  <c r="N250" i="16"/>
  <c r="H250" i="16"/>
  <c r="H262" i="16"/>
  <c r="K251" i="16"/>
  <c r="K250" i="16" s="1"/>
  <c r="O250" i="16" l="1"/>
  <c r="O262" i="16"/>
  <c r="O267" i="16" s="1"/>
  <c r="K267" i="16"/>
  <c r="H267" i="16"/>
  <c r="I242" i="14" l="1"/>
  <c r="H242" i="14"/>
  <c r="G242" i="14"/>
  <c r="K252" i="5"/>
  <c r="J252" i="5"/>
  <c r="G125" i="14" l="1"/>
  <c r="H248" i="14" l="1"/>
  <c r="G248" i="14"/>
  <c r="I251" i="14"/>
  <c r="H251" i="14"/>
  <c r="G251" i="14"/>
  <c r="I250" i="14"/>
  <c r="H250" i="14"/>
  <c r="G250" i="14"/>
  <c r="I249" i="14"/>
  <c r="H249" i="14"/>
  <c r="G249" i="14"/>
  <c r="I246" i="14"/>
  <c r="H246" i="14"/>
  <c r="G246" i="14"/>
  <c r="I245" i="14"/>
  <c r="H245" i="14"/>
  <c r="G245" i="14"/>
  <c r="I244" i="14"/>
  <c r="H244" i="14"/>
  <c r="G244" i="14"/>
  <c r="G247" i="14" l="1"/>
  <c r="H247" i="14"/>
  <c r="I240" i="14"/>
  <c r="H240" i="14"/>
  <c r="G240" i="14"/>
  <c r="I239" i="14"/>
  <c r="H239" i="14"/>
  <c r="G239" i="14"/>
  <c r="H238" i="14"/>
  <c r="G238" i="14"/>
  <c r="I237" i="14"/>
  <c r="H237" i="14"/>
  <c r="G237" i="14"/>
  <c r="H236" i="14" l="1"/>
  <c r="G236" i="14"/>
  <c r="I238" i="14" l="1"/>
  <c r="I236" i="14" s="1"/>
  <c r="G227" i="14" l="1"/>
  <c r="H227" i="14"/>
  <c r="I227" i="14" l="1"/>
  <c r="I248" i="14"/>
  <c r="I247" i="14" s="1"/>
  <c r="G202" i="14"/>
  <c r="G228" i="14" s="1"/>
  <c r="H202" i="14"/>
  <c r="I202" i="14"/>
  <c r="I172" i="14" l="1"/>
  <c r="I173" i="14" s="1"/>
  <c r="H172" i="14"/>
  <c r="H173" i="14" s="1"/>
  <c r="H125" i="14"/>
  <c r="I125" i="14"/>
  <c r="I126" i="14" s="1"/>
  <c r="G172" i="14" l="1"/>
  <c r="G173" i="14" s="1"/>
  <c r="G235" i="14"/>
  <c r="I228" i="14"/>
  <c r="H228" i="14"/>
  <c r="G126" i="14"/>
  <c r="I235" i="14"/>
  <c r="I252" i="14" s="1"/>
  <c r="H126" i="14"/>
  <c r="H235" i="14"/>
  <c r="G252" i="14" l="1"/>
  <c r="H252" i="14"/>
  <c r="I229" i="14"/>
  <c r="I230" i="14" s="1"/>
  <c r="G229" i="14"/>
  <c r="G230" i="14" s="1"/>
  <c r="H229" i="14"/>
  <c r="H230" i="14" s="1"/>
  <c r="J133" i="5" l="1"/>
  <c r="J255" i="5" l="1"/>
  <c r="K261" i="5" l="1"/>
  <c r="J261" i="5"/>
  <c r="K260" i="5"/>
  <c r="J260" i="5"/>
  <c r="K259" i="5"/>
  <c r="J259" i="5"/>
  <c r="K258" i="5"/>
  <c r="J258" i="5"/>
  <c r="K256" i="5"/>
  <c r="J256" i="5"/>
  <c r="K254" i="5"/>
  <c r="J254" i="5"/>
  <c r="K250" i="5"/>
  <c r="J250" i="5"/>
  <c r="K249" i="5"/>
  <c r="J249" i="5"/>
  <c r="K248" i="5"/>
  <c r="J248" i="5"/>
  <c r="J213" i="5"/>
  <c r="K213" i="5"/>
  <c r="J257" i="5" l="1"/>
  <c r="K257" i="5"/>
  <c r="K255" i="5" l="1"/>
  <c r="K134" i="5" l="1"/>
  <c r="J238" i="5" l="1"/>
  <c r="K238" i="5"/>
  <c r="K138" i="5" l="1"/>
  <c r="K247" i="5" s="1"/>
  <c r="K246" i="5" s="1"/>
  <c r="J138" i="5"/>
  <c r="J185" i="5" l="1"/>
  <c r="J186" i="5" s="1"/>
  <c r="J247" i="5"/>
  <c r="J246" i="5" s="1"/>
  <c r="K185" i="5"/>
  <c r="K186" i="5" s="1"/>
  <c r="K239" i="5" l="1"/>
  <c r="J134" i="5"/>
  <c r="J239" i="5" l="1"/>
  <c r="J240" i="5" s="1"/>
  <c r="J245" i="5" l="1"/>
  <c r="J262" i="5" s="1"/>
  <c r="K240" i="5" l="1"/>
  <c r="K245" i="5" l="1"/>
  <c r="K262" i="5" s="1"/>
</calcChain>
</file>

<file path=xl/comments1.xml><?xml version="1.0" encoding="utf-8"?>
<comments xmlns="http://schemas.openxmlformats.org/spreadsheetml/2006/main">
  <authors>
    <author>Audra Cepiene</author>
    <author>Indrė Butenienė</author>
  </authors>
  <commentList>
    <comment ref="E17" authorId="0" shapeId="0">
      <text>
        <r>
          <rPr>
            <sz val="9"/>
            <color indexed="81"/>
            <rFont val="Tahoma"/>
            <family val="2"/>
            <charset val="186"/>
          </rPr>
          <t>P1, 3.6. Miesto susisiekimo sistemos tobulinimas užtikrinant didesnį gatvių tinklo pralaidumą;</t>
        </r>
      </text>
    </comment>
    <comment ref="E29"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E3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E42"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K42"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E44"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E45"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D47" authorId="0" shapeId="0">
      <text>
        <r>
          <rPr>
            <sz val="9"/>
            <color indexed="81"/>
            <rFont val="Tahoma"/>
            <family val="2"/>
            <charset val="186"/>
          </rPr>
          <t>SM programa 06.2.1-TID-R-511 pr.Vietinių kelių vystymas</t>
        </r>
      </text>
    </comment>
    <comment ref="E47"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49"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E51" authorId="1" shapeId="0">
      <text>
        <r>
          <rPr>
            <sz val="9"/>
            <color indexed="81"/>
            <rFont val="Tahoma"/>
            <family val="2"/>
            <charset val="186"/>
          </rPr>
          <t>P1, 1.1.2. Parengtas ir įgyvendintas žvyruotų kelių asfaltavimo priemonių planas siekiant asfaltuoti ne mažiau kaip 10 km žvyruotų kelių, vnt</t>
        </r>
      </text>
    </comment>
    <comment ref="E54"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D60"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E60" authorId="1" shapeId="0">
      <text>
        <r>
          <rPr>
            <sz val="9"/>
            <color indexed="81"/>
            <rFont val="Tahoma"/>
            <family val="2"/>
            <charset val="186"/>
          </rPr>
          <t>P1, 1.1.2. Parengtas ir įgyvendintas žvyruotų kelių asfaltavimo priemonių planas siekiant asfaltuoti ne mažiau kaip 10 km žvyruotų kelių, vnt</t>
        </r>
      </text>
    </comment>
    <comment ref="J60" authorId="0" shapeId="0">
      <text>
        <r>
          <rPr>
            <b/>
            <sz val="9"/>
            <color indexed="81"/>
            <rFont val="Tahoma"/>
            <family val="2"/>
            <charset val="186"/>
          </rPr>
          <t>Sodų bendrijo:</t>
        </r>
        <r>
          <rPr>
            <sz val="9"/>
            <color indexed="81"/>
            <rFont val="Tahoma"/>
            <family val="2"/>
            <charset val="186"/>
          </rPr>
          <t xml:space="preserve">
Aušrinės g. (Sodininkų bendrija "Aušra");
Baltijos 13-oji g. (Sodininkų bendrija "Baltija");
Tylos g. (Sodininkų bendrija "Diana I");
Dianos g. (Sodininkų bendrija "Diana II");
Baltijos 1-oji g. (Sodininkų bendrija "Baltija");
Inkaro 1-oji g. (Sodininkų bendrija "Inkaras");
Sąrašas pagal atliktą gatvių reitingavimą, tarybos aprašas tvirtintas taryboje spalio 24 d.
</t>
        </r>
      </text>
    </comment>
    <comment ref="D63"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J65" authorId="0" shapeId="0">
      <text>
        <r>
          <rPr>
            <sz val="9"/>
            <color indexed="81"/>
            <rFont val="Tahoma"/>
            <family val="2"/>
            <charset val="186"/>
          </rPr>
          <t>Poreikis paaiškės po pasiūlymų tekimo ir gatvių atrankos. Naujas konkursas bus skelbiamas 2022 m.</t>
        </r>
      </text>
    </comment>
    <comment ref="E71" authorId="0" shapeId="0">
      <text>
        <r>
          <rPr>
            <b/>
            <sz val="9"/>
            <color indexed="81"/>
            <rFont val="Tahoma"/>
            <family val="2"/>
            <charset val="186"/>
          </rPr>
          <t>P (KSP) 2.1.2.8</t>
        </r>
        <r>
          <rPr>
            <sz val="9"/>
            <color indexed="81"/>
            <rFont val="Tahoma"/>
            <family val="2"/>
            <charset val="186"/>
          </rPr>
          <t xml:space="preserve">
Centrinėje miesto dalyje suformuoti pėsčiųjų takų, zonų ir gatvių tinklą </t>
        </r>
      </text>
    </comment>
    <comment ref="E73"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81"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K101" authorId="0" shapeId="0">
      <text>
        <r>
          <rPr>
            <sz val="9"/>
            <color indexed="81"/>
            <rFont val="Tahoma"/>
            <family val="2"/>
            <charset val="186"/>
          </rPr>
          <t xml:space="preserve">44 875 kv.m
Hektaras (ha) – ploto matavimo vienetas, lygus 10 000 m² </t>
        </r>
      </text>
    </comment>
    <comment ref="K102" authorId="0" shapeId="0">
      <text>
        <r>
          <rPr>
            <sz val="9"/>
            <color indexed="81"/>
            <rFont val="Tahoma"/>
            <family val="2"/>
            <charset val="186"/>
          </rPr>
          <t xml:space="preserve">12960 kv.m
Hektaras (ha) – ploto matavimo vienetas, lygus 10 000 m² 
</t>
        </r>
      </text>
    </comment>
    <comment ref="K104" authorId="0" shapeId="0">
      <text>
        <r>
          <rPr>
            <b/>
            <sz val="9"/>
            <color indexed="81"/>
            <rFont val="Tahoma"/>
            <family val="2"/>
            <charset val="186"/>
          </rPr>
          <t xml:space="preserve">17800 kv.m </t>
        </r>
        <r>
          <rPr>
            <sz val="9"/>
            <color indexed="81"/>
            <rFont val="Tahoma"/>
            <family val="2"/>
            <charset val="186"/>
          </rPr>
          <t xml:space="preserve">
</t>
        </r>
      </text>
    </comment>
    <comment ref="K106" authorId="0" shapeId="0">
      <text>
        <r>
          <rPr>
            <b/>
            <sz val="9"/>
            <color indexed="81"/>
            <rFont val="Tahoma"/>
            <family val="2"/>
            <charset val="186"/>
          </rPr>
          <t>12000 kv.m</t>
        </r>
        <r>
          <rPr>
            <sz val="9"/>
            <color indexed="81"/>
            <rFont val="Tahoma"/>
            <family val="2"/>
            <charset val="186"/>
          </rPr>
          <t xml:space="preserve">
</t>
        </r>
      </text>
    </comment>
    <comment ref="K109"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L109"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M109"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D117" authorId="0" shapeId="0">
      <text>
        <r>
          <rPr>
            <sz val="9"/>
            <color indexed="81"/>
            <rFont val="Tahoma"/>
            <family val="2"/>
            <charset val="186"/>
          </rPr>
          <t>parkavimo vietų subraižymas, žaliųjų vejų ir skverų sutvarkymas</t>
        </r>
      </text>
    </comment>
    <comment ref="E128"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33"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J136"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K139" authorId="0" shapeId="0">
      <text>
        <r>
          <rPr>
            <b/>
            <sz val="9"/>
            <color indexed="81"/>
            <rFont val="Tahoma"/>
            <family val="2"/>
            <charset val="186"/>
          </rPr>
          <t>Kompensuojamos lengvatos renginiams:</t>
        </r>
        <r>
          <rPr>
            <sz val="9"/>
            <color indexed="81"/>
            <rFont val="Tahoma"/>
            <family val="2"/>
            <charset val="186"/>
          </rPr>
          <t xml:space="preserve">
1. Lietuvos valstybės atkūrimo dienos ir Klaipėdos šviesų festivalio metu, 2020 m. vasario 14–16 d.;
2. Dieną be automobilio, 2020 m. rugsėjo 22 d.;
2</t>
        </r>
        <r>
          <rPr>
            <b/>
            <sz val="9"/>
            <color indexed="81"/>
            <rFont val="Tahoma"/>
            <family val="2"/>
            <charset val="186"/>
          </rPr>
          <t>020 dėl COVID-19 nevyks renginiai:</t>
        </r>
        <r>
          <rPr>
            <sz val="9"/>
            <color indexed="81"/>
            <rFont val="Tahoma"/>
            <family val="2"/>
            <charset val="186"/>
          </rPr>
          <t xml:space="preserve">
1. Jūros šventės metu, 2020 m. liepos 24–26 d.; 
2. Lietuvos vakarų krašto dainų šventės metu, 2020 m. birželio 13–14 d.;
3. Tarptautinio festivalio „Europiada“ metu, 2020 m. rugpjūčio 5–9 d.;
4. Pasaulio salės futbolo čempionato metu, 2020 m. rugpjūčio 29 d.–spalio 5 d.
</t>
        </r>
      </text>
    </comment>
    <comment ref="E147"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55"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J155"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E159"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K160"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L161" authorId="0" shapeId="0">
      <text>
        <r>
          <rPr>
            <b/>
            <sz val="9"/>
            <color indexed="81"/>
            <rFont val="Tahoma"/>
            <family val="2"/>
            <charset val="186"/>
          </rPr>
          <t xml:space="preserve">Įrengta švieslenčių 13 stotelių: 
2019-2020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K162"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K163" authorId="0" shapeId="0">
      <text>
        <r>
          <rPr>
            <sz val="9"/>
            <color indexed="81"/>
            <rFont val="Tahoma"/>
            <family val="2"/>
            <charset val="186"/>
          </rPr>
          <t xml:space="preserve">2020-2021 m.
 Smiltelės g. 
(Minijos; Šiaurės ir pietų kryptis) </t>
        </r>
      </text>
    </comment>
    <comment ref="E167"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text>
    </comment>
    <comment ref="E168" authorId="1"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175" authorId="1" shapeId="0">
      <text>
        <r>
          <rPr>
            <sz val="9"/>
            <color indexed="81"/>
            <rFont val="Tahoma"/>
            <family val="2"/>
            <charset val="186"/>
          </rPr>
          <t>P2, Klaipėdos miesto darnaus judumo planas (2018-09-13, T2-185),</t>
        </r>
      </text>
    </comment>
    <comment ref="E17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80" authorId="0" shapeId="0">
      <text>
        <r>
          <rPr>
            <sz val="9"/>
            <color indexed="81"/>
            <rFont val="Tahoma"/>
            <family val="2"/>
            <charset val="186"/>
          </rPr>
          <t xml:space="preserve">Įrengta 5 vnt. šviesoforų, buvo ekploatuojami 66 šviesoforai
</t>
        </r>
      </text>
    </comment>
    <comment ref="K185" authorId="0" shapeId="0">
      <text>
        <r>
          <rPr>
            <b/>
            <sz val="9"/>
            <color indexed="81"/>
            <rFont val="Tahoma"/>
            <family val="2"/>
            <charset val="186"/>
          </rPr>
          <t>2020 m. planuojama projektuoti 7 perėjas:</t>
        </r>
        <r>
          <rPr>
            <sz val="9"/>
            <color indexed="81"/>
            <rFont val="Tahoma"/>
            <family val="2"/>
            <charset val="186"/>
          </rPr>
          <t xml:space="preserve">
1. Šviesoforinė perėja Liepų g. (Nr. LM1251) (prie Klaipėdos valstybinės kolegijos) 
2. Šviesoforinės perėjos Taikos pr. (Nr. LM0911) ties Nr. 5 ir ties Debreceno g. 
3. Šviesoforinė perėja Baltijos pr. (Nr. LM0450) ties Nr. 103 
4. Šviesoforinė perėja Dubysos g.  (Nr. LM0940) ties Nr. 31
5. Šviesoforinės perėjos K. Donelaičio g.-S. Daukanto g. sankryžoje (Nr. LM1490; Nr. LM1480)
6.  Šviesoforinė perėja  Šilutės pl. (Nr. LM0907) ties Svajonės g.
</t>
        </r>
      </text>
    </comment>
    <comment ref="E200"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09"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E210"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11"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212"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14"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E215"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E216" authorId="0" shapeId="0">
      <text>
        <r>
          <rPr>
            <sz val="9"/>
            <color indexed="81"/>
            <rFont val="Tahoma"/>
            <family val="2"/>
            <charset val="186"/>
          </rPr>
          <t>P (KSP) 2.1.2.5. Sudaryti sąlygas naujų ekologiškų viešojo transporto rūšių atsiradimui</t>
        </r>
      </text>
    </comment>
    <comment ref="E217" authorId="0" shapeId="0">
      <text>
        <r>
          <rPr>
            <sz val="9"/>
            <color indexed="81"/>
            <rFont val="Tahoma"/>
            <family val="2"/>
            <charset val="186"/>
          </rPr>
          <t>P 2.1.2.5. Sudaryti sąlygas naujų ekologiškų viešojo transporto rūšių atsiradimui;
P2 Klaipėdos miesto darnaus judumo planas (2018-09-13, T2-185);</t>
        </r>
      </text>
    </comment>
    <comment ref="E220" authorId="0" shapeId="0">
      <text>
        <r>
          <rPr>
            <sz val="9"/>
            <color indexed="81"/>
            <rFont val="Tahoma"/>
            <family val="2"/>
            <charset val="186"/>
          </rPr>
          <t>P 2.1.2.5. Sudaryti sąlygas naujų ekologiškų viešojo transporto rūšių atsiradimui;
P2 Klaipėdos miesto darnaus judumo planas (2018-09-13, T2-185);</t>
        </r>
      </text>
    </comment>
    <comment ref="E223" authorId="0" shapeId="0">
      <text>
        <r>
          <rPr>
            <b/>
            <sz val="9"/>
            <color indexed="81"/>
            <rFont val="Tahoma"/>
            <family val="2"/>
            <charset val="186"/>
          </rPr>
          <t xml:space="preserve">P KSP </t>
        </r>
        <r>
          <rPr>
            <sz val="9"/>
            <color indexed="81"/>
            <rFont val="Tahoma"/>
            <family val="2"/>
            <charset val="186"/>
          </rPr>
          <t>2.1.2.5. Sudaryti sąlygas naujų ekologiškų viešojo transporto rūšių atsiradimui
KEPS 6.1.5. Sukurti Klaipėdos regione elektriniam transportui pritaikytą infrastruktūrą</t>
        </r>
      </text>
    </comment>
    <comment ref="K223"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K224" authorId="0" shapeId="0">
      <text>
        <r>
          <rPr>
            <sz val="9"/>
            <color indexed="81"/>
            <rFont val="Tahoma"/>
            <family val="2"/>
            <charset val="186"/>
          </rPr>
          <t xml:space="preserve">Pagal ES projektą 2019-10 įrengtos 3 stotelės, 6 prieigos ir priežiūros paslauga. Elektrą apmoką savivaldybė už 5 prieigas
</t>
        </r>
        <r>
          <rPr>
            <b/>
            <sz val="9"/>
            <color indexed="81"/>
            <rFont val="Tahoma"/>
            <family val="2"/>
            <charset val="186"/>
          </rPr>
          <t>2020 m. 3 stotelės, 5 prieigos:</t>
        </r>
        <r>
          <rPr>
            <sz val="9"/>
            <color indexed="81"/>
            <rFont val="Tahoma"/>
            <family val="2"/>
            <charset val="186"/>
          </rPr>
          <t xml:space="preserve">
Taikos pr. 80 (2 vnt.);
Jūrininkų pr. 16 (2 vnt.)
S. Neries g. 16A (1 vnt.)
Savivaldybė 5 metus po stotelių įrengimo turi užtikrinti nemokamą elektromobilių įkrovimo paslaugų teikimą. Elektros išlaidos suplanuotos 7 programoje.
</t>
        </r>
      </text>
    </comment>
    <comment ref="L224" authorId="0" shapeId="0">
      <text>
        <r>
          <rPr>
            <sz val="9"/>
            <color indexed="81"/>
            <rFont val="Tahoma"/>
            <family val="2"/>
            <charset val="186"/>
          </rPr>
          <t xml:space="preserve">Pagal ES projektą 2019-10 įrengtos 3 stotelės, 6 prieigos ir priežiūros paslauga. Elektrą apmoką savivaldybė už 5 prieigas
</t>
        </r>
        <r>
          <rPr>
            <b/>
            <sz val="9"/>
            <color indexed="81"/>
            <rFont val="Tahoma"/>
            <family val="2"/>
            <charset val="186"/>
          </rPr>
          <t>2020 m. 3 stotelės, 5 prieigos:</t>
        </r>
        <r>
          <rPr>
            <sz val="9"/>
            <color indexed="81"/>
            <rFont val="Tahoma"/>
            <family val="2"/>
            <charset val="186"/>
          </rPr>
          <t xml:space="preserve">
Taikos pr. 80 (2 vnt.);
Jūrininkų pr. 16 (2 vnt.)
S. Neries g. 16A (1 vnt.)
Savivaldybė 5 metus po stotelių įrengimo turi užtikrinti nemokamą elektromobilių įkrovimo paslaugų teikimą. Elektros išlaidos suplanuotos 7 programoje.
</t>
        </r>
      </text>
    </comment>
    <comment ref="E225"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K225" authorId="0" shapeId="0">
      <text>
        <r>
          <rPr>
            <b/>
            <sz val="9"/>
            <color indexed="81"/>
            <rFont val="Tahoma"/>
            <family val="2"/>
            <charset val="186"/>
          </rPr>
          <t>Įrenginiai;</t>
        </r>
        <r>
          <rPr>
            <sz val="9"/>
            <color indexed="81"/>
            <rFont val="Tahoma"/>
            <family val="2"/>
            <charset val="186"/>
          </rPr>
          <t xml:space="preserve"> Dviračių saugyklos:
Malūninkų g. 1
Dviračių skaičiuokliai:
prie p.c. Akropolis
prie "Atgimimo" stotelės
</t>
        </r>
      </text>
    </comment>
    <comment ref="G238" authorId="0" shapeId="0">
      <text>
        <r>
          <rPr>
            <b/>
            <sz val="9"/>
            <color indexed="81"/>
            <rFont val="Tahoma"/>
            <family val="2"/>
            <charset val="186"/>
          </rPr>
          <t>1900</t>
        </r>
      </text>
    </comment>
  </commentList>
</comments>
</file>

<file path=xl/comments2.xml><?xml version="1.0" encoding="utf-8"?>
<comments xmlns="http://schemas.openxmlformats.org/spreadsheetml/2006/main">
  <authors>
    <author>Audra Cepiene</author>
    <author>Rima Alisauskaite</author>
    <author>Indrė Butenienė</author>
  </authors>
  <commentList>
    <comment ref="E14" authorId="0" shapeId="0">
      <text>
        <r>
          <rPr>
            <sz val="9"/>
            <color indexed="81"/>
            <rFont val="Tahoma"/>
            <family val="2"/>
            <charset val="186"/>
          </rPr>
          <t>P1, 3.6. Miesto susisiekimo sistemos tobulinimas užtikrinant didesnį gatvių tinklo pralaidumą;</t>
        </r>
      </text>
    </comment>
    <comment ref="E26"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E3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F38" authorId="1" shapeId="0">
      <text>
        <r>
          <rPr>
            <b/>
            <sz val="9"/>
            <color indexed="81"/>
            <rFont val="Tahoma"/>
            <family val="2"/>
            <charset val="186"/>
          </rPr>
          <t>Rima Alisauskaite:</t>
        </r>
        <r>
          <rPr>
            <sz val="9"/>
            <color indexed="81"/>
            <rFont val="Tahoma"/>
            <family val="2"/>
            <charset val="186"/>
          </rPr>
          <t xml:space="preserve">
ŽP</t>
        </r>
      </text>
    </comment>
    <comment ref="E49"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Q49"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E51"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E52"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D54" authorId="0" shapeId="0">
      <text>
        <r>
          <rPr>
            <sz val="9"/>
            <color indexed="81"/>
            <rFont val="Tahoma"/>
            <family val="2"/>
            <charset val="186"/>
          </rPr>
          <t>SM programa 06.2.1-TID-R-511 pr.Vietinių kelių vystymas</t>
        </r>
      </text>
    </comment>
    <comment ref="E54"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56"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E60" authorId="2" shapeId="0">
      <text>
        <r>
          <rPr>
            <sz val="9"/>
            <color indexed="81"/>
            <rFont val="Tahoma"/>
            <family val="2"/>
            <charset val="186"/>
          </rPr>
          <t>P1, 1.1.2. Parengtas ir įgyvendintas žvyruotų kelių asfaltavimo priemonių planas siekiant asfaltuoti ne mažiau kaip 10 km žvyruotų kelių, vnt</t>
        </r>
      </text>
    </comment>
    <comment ref="E63"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D72"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E72" authorId="2" shapeId="0">
      <text>
        <r>
          <rPr>
            <sz val="9"/>
            <color indexed="81"/>
            <rFont val="Tahoma"/>
            <family val="2"/>
            <charset val="186"/>
          </rPr>
          <t>P1, 1.1.2. Parengtas ir įgyvendintas žvyruotų kelių asfaltavimo priemonių planas siekiant asfaltuoti ne mažiau kaip 10 km žvyruotų kelių, vnt</t>
        </r>
      </text>
    </comment>
    <comment ref="P73" authorId="0" shapeId="0">
      <text>
        <r>
          <rPr>
            <b/>
            <sz val="9"/>
            <color indexed="81"/>
            <rFont val="Tahoma"/>
            <family val="2"/>
            <charset val="186"/>
          </rPr>
          <t>LRV 2020-03-04 nutarimas Nr. 185</t>
        </r>
        <r>
          <rPr>
            <sz val="9"/>
            <color indexed="81"/>
            <rFont val="Tahoma"/>
            <family val="2"/>
            <charset val="186"/>
          </rPr>
          <t xml:space="preserve">
2.3.12. punktas,</t>
        </r>
        <r>
          <rPr>
            <b/>
            <i/>
            <sz val="9"/>
            <color indexed="81"/>
            <rFont val="Tahoma"/>
            <family val="2"/>
            <charset val="186"/>
          </rPr>
          <t xml:space="preserve"> lėšas skirti kapitališkai remontuoti</t>
        </r>
        <r>
          <rPr>
            <sz val="9"/>
            <color indexed="81"/>
            <rFont val="Tahoma"/>
            <family val="2"/>
            <charset val="186"/>
          </rPr>
          <t xml:space="preserve">:
1. Klaipėdos Aušrinės gatvei (Nr. LM1937), esančiai sodininkų bendrijos „Aušra“ teritorijoje;
2. Baltijos 1-ajai gatvei (Nr. LM1900);
3. Baltijos 13-ajai gatvei (Nr. LM1910, esančioms sodininkų bendrijos „Baltija“ teritorijoje;
4. Dianos gatvei (Nr. LM1743), esančiai sodininkų bendrijos „Diana“ teritorijoje;
5. Inkaro 1-ajai gatvei (Nr. LM1912), esančiai sodininkų bendrijos „Inkaras“ teritorijoje
</t>
        </r>
      </text>
    </comment>
    <comment ref="D75"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P77" authorId="0" shapeId="0">
      <text>
        <r>
          <rPr>
            <sz val="9"/>
            <color indexed="81"/>
            <rFont val="Tahoma"/>
            <family val="2"/>
            <charset val="186"/>
          </rPr>
          <t>Poreikis paaiškės po pasiūlymų tekimo ir gatvių atrankos. Naujas konkursas bus skelbiamas 2022 m.</t>
        </r>
      </text>
    </comment>
    <comment ref="E83" authorId="0" shapeId="0">
      <text>
        <r>
          <rPr>
            <b/>
            <sz val="9"/>
            <color indexed="81"/>
            <rFont val="Tahoma"/>
            <family val="2"/>
            <charset val="186"/>
          </rPr>
          <t>P (KSP) 2.1.2.8</t>
        </r>
        <r>
          <rPr>
            <sz val="9"/>
            <color indexed="81"/>
            <rFont val="Tahoma"/>
            <family val="2"/>
            <charset val="186"/>
          </rPr>
          <t xml:space="preserve">
Centrinėje miesto dalyje suformuoti pėsčiųjų takų, zonų ir gatvių tinklą </t>
        </r>
      </text>
    </comment>
    <comment ref="E8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93"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Q113" authorId="0" shapeId="0">
      <text>
        <r>
          <rPr>
            <sz val="9"/>
            <color indexed="81"/>
            <rFont val="Tahoma"/>
            <family val="2"/>
            <charset val="186"/>
          </rPr>
          <t xml:space="preserve">44 875 kv.m
Hektaras (ha) – ploto matavimo vienetas, lygus 10 000 m² </t>
        </r>
      </text>
    </comment>
    <comment ref="Q114" authorId="0" shapeId="0">
      <text>
        <r>
          <rPr>
            <sz val="9"/>
            <color indexed="81"/>
            <rFont val="Tahoma"/>
            <family val="2"/>
            <charset val="186"/>
          </rPr>
          <t xml:space="preserve">12960 kv.m
Hektaras (ha) – ploto matavimo vienetas, lygus 10 000 m² 
</t>
        </r>
      </text>
    </comment>
    <comment ref="Q116" authorId="0" shapeId="0">
      <text>
        <r>
          <rPr>
            <b/>
            <sz val="9"/>
            <color indexed="81"/>
            <rFont val="Tahoma"/>
            <family val="2"/>
            <charset val="186"/>
          </rPr>
          <t xml:space="preserve">17800 kv.m </t>
        </r>
        <r>
          <rPr>
            <sz val="9"/>
            <color indexed="81"/>
            <rFont val="Tahoma"/>
            <family val="2"/>
            <charset val="186"/>
          </rPr>
          <t xml:space="preserve">
</t>
        </r>
      </text>
    </comment>
    <comment ref="Q118" authorId="0" shapeId="0">
      <text>
        <r>
          <rPr>
            <b/>
            <sz val="9"/>
            <color indexed="81"/>
            <rFont val="Tahoma"/>
            <family val="2"/>
            <charset val="186"/>
          </rPr>
          <t>12000 kv.m</t>
        </r>
        <r>
          <rPr>
            <sz val="9"/>
            <color indexed="81"/>
            <rFont val="Tahoma"/>
            <family val="2"/>
            <charset val="186"/>
          </rPr>
          <t xml:space="preserve">
</t>
        </r>
      </text>
    </comment>
    <comment ref="Q121"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R121"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S121"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D129" authorId="0" shapeId="0">
      <text>
        <r>
          <rPr>
            <sz val="9"/>
            <color indexed="81"/>
            <rFont val="Tahoma"/>
            <family val="2"/>
            <charset val="186"/>
          </rPr>
          <t>parkavimo vietų subraižymas, žaliųjų vejų ir skverų sutvarkymas</t>
        </r>
      </text>
    </comment>
    <comment ref="E140"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45"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P148"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P150" authorId="0" shapeId="0">
      <text>
        <r>
          <rPr>
            <b/>
            <sz val="9"/>
            <color indexed="81"/>
            <rFont val="Tahoma"/>
            <family val="2"/>
            <charset val="186"/>
          </rPr>
          <t>socialinės grupės</t>
        </r>
        <r>
          <rPr>
            <sz val="9"/>
            <color indexed="81"/>
            <rFont val="Tahoma"/>
            <family val="2"/>
            <charset val="186"/>
          </rPr>
          <t xml:space="preserve"> 
1. senjorai 80+ viso ~180 000
2. senjorai 70-79 viso ~1 000 000, papildomai nuo dabar mokamų 400 000
3. Senjorai 63-69 (išėjus į pensiją) viso 500 000,  papildomai nuo dabar mokamų 300 000  </t>
        </r>
      </text>
    </comment>
    <comment ref="Q151" authorId="0" shapeId="0">
      <text>
        <r>
          <rPr>
            <b/>
            <sz val="9"/>
            <color indexed="81"/>
            <rFont val="Tahoma"/>
            <family val="2"/>
            <charset val="186"/>
          </rPr>
          <t>Kompensuojamos lengvatos renginiams:</t>
        </r>
        <r>
          <rPr>
            <sz val="9"/>
            <color indexed="81"/>
            <rFont val="Tahoma"/>
            <family val="2"/>
            <charset val="186"/>
          </rPr>
          <t xml:space="preserve">
1. Lietuvos valstybės atkūrimo dienos ir Klaipėdos šviesų festivalio metu, 2020 m. vasario 14–16 d.;
2. Dieną be automobilio, 2020 m. rugsėjo 22 d.;
2</t>
        </r>
        <r>
          <rPr>
            <b/>
            <sz val="9"/>
            <color indexed="81"/>
            <rFont val="Tahoma"/>
            <family val="2"/>
            <charset val="186"/>
          </rPr>
          <t>020 dėl COVID-19 nevyks renginiai:</t>
        </r>
        <r>
          <rPr>
            <sz val="9"/>
            <color indexed="81"/>
            <rFont val="Tahoma"/>
            <family val="2"/>
            <charset val="186"/>
          </rPr>
          <t xml:space="preserve">
1. Jūros šventės metu, 2020 m. liepos 24–26 d.; 
2. Lietuvos vakarų krašto dainų šventės metu, 2020 m. birželio 13–14 d.;
3. Tarptautinio festivalio „Europiada“ metu, 2020 m. rugpjūčio 5–9 d.;
4. Pasaulio salės futbolo čempionato metu, 2020 m. rugpjūčio 29 d.–spalio 5 d.
</t>
        </r>
      </text>
    </comment>
    <comment ref="E160"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69"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70"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P170"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E17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Q175"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R176" authorId="0" shapeId="0">
      <text>
        <r>
          <rPr>
            <b/>
            <sz val="9"/>
            <color indexed="81"/>
            <rFont val="Tahoma"/>
            <family val="2"/>
            <charset val="186"/>
          </rPr>
          <t xml:space="preserve">Įrengta švieslenčių 13 stotelių: 
2019-2020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Q177"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Q178" authorId="0" shapeId="0">
      <text>
        <r>
          <rPr>
            <sz val="9"/>
            <color indexed="81"/>
            <rFont val="Tahoma"/>
            <family val="2"/>
            <charset val="186"/>
          </rPr>
          <t xml:space="preserve">2020-2021 m.
 Smiltelės g. 
(Minijos; Šiaurės ir pietų kryptis) </t>
        </r>
      </text>
    </comment>
    <comment ref="E182"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text>
    </comment>
    <comment ref="E183" authorId="2"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190" authorId="2" shapeId="0">
      <text>
        <r>
          <rPr>
            <sz val="9"/>
            <color indexed="81"/>
            <rFont val="Tahoma"/>
            <family val="2"/>
            <charset val="186"/>
          </rPr>
          <t>P2, Klaipėdos miesto darnaus judumo planas (2018-09-13, T2-185),</t>
        </r>
      </text>
    </comment>
    <comment ref="E194"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Q195" authorId="0" shapeId="0">
      <text>
        <r>
          <rPr>
            <sz val="9"/>
            <color indexed="81"/>
            <rFont val="Tahoma"/>
            <family val="2"/>
            <charset val="186"/>
          </rPr>
          <t xml:space="preserve">Įrengta 5 vnt. šviesoforų, buvo ekploatuojami 66 šviesoforai
</t>
        </r>
      </text>
    </comment>
    <comment ref="Q200" authorId="0" shapeId="0">
      <text>
        <r>
          <rPr>
            <b/>
            <sz val="9"/>
            <color indexed="81"/>
            <rFont val="Tahoma"/>
            <family val="2"/>
            <charset val="186"/>
          </rPr>
          <t>2020 m. planuojama projektuoti 7 perėjas:</t>
        </r>
        <r>
          <rPr>
            <sz val="9"/>
            <color indexed="81"/>
            <rFont val="Tahoma"/>
            <family val="2"/>
            <charset val="186"/>
          </rPr>
          <t xml:space="preserve">
1. Šviesoforinė perėja Liepų g. (Nr. LM1251) (prie Klaipėdos valstybinės kolegijos) 
2. Šviesoforinės perėjos Taikos pr. (Nr. LM0911) ties Nr. 5 ir ties Debreceno g. 
3. Šviesoforinė perėja Baltijos pr. (Nr. LM0450) ties Nr. 103 
4. Šviesoforinė perėja Dubysos g.  (Nr. LM0940) ties Nr. 31
5. Šviesoforinės perėjos K. Donelaičio g.-S. Daukanto g. sankryžoje (Nr. LM1490; Nr. LM1480)
6.  Šviesoforinė perėja  Šilutės pl. (Nr. LM0907) ties Svajonės g.
</t>
        </r>
      </text>
    </comment>
    <comment ref="E215"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24"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E225"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26"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227"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29"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E230"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E231" authorId="0" shapeId="0">
      <text>
        <r>
          <rPr>
            <sz val="9"/>
            <color indexed="81"/>
            <rFont val="Tahoma"/>
            <family val="2"/>
            <charset val="186"/>
          </rPr>
          <t>P (KSP) 2.1.2.5. Sudaryti sąlygas naujų ekologiškų viešojo transporto rūšių atsiradimui</t>
        </r>
      </text>
    </comment>
    <comment ref="E232" authorId="0" shapeId="0">
      <text>
        <r>
          <rPr>
            <sz val="9"/>
            <color indexed="81"/>
            <rFont val="Tahoma"/>
            <family val="2"/>
            <charset val="186"/>
          </rPr>
          <t>P 2.1.2.5. Sudaryti sąlygas naujų ekologiškų viešojo transporto rūšių atsiradimui;
P2 Klaipėdos miesto darnaus judumo planas (2018-09-13, T2-185);</t>
        </r>
      </text>
    </comment>
    <comment ref="E235" authorId="0" shapeId="0">
      <text>
        <r>
          <rPr>
            <sz val="9"/>
            <color indexed="81"/>
            <rFont val="Tahoma"/>
            <family val="2"/>
            <charset val="186"/>
          </rPr>
          <t>P 2.1.2.5. Sudaryti sąlygas naujų ekologiškų viešojo transporto rūšių atsiradimui;
P2 Klaipėdos miesto darnaus judumo planas (2018-09-13, T2-185);</t>
        </r>
      </text>
    </comment>
    <comment ref="E238" authorId="0" shapeId="0">
      <text>
        <r>
          <rPr>
            <b/>
            <sz val="9"/>
            <color indexed="81"/>
            <rFont val="Tahoma"/>
            <family val="2"/>
            <charset val="186"/>
          </rPr>
          <t xml:space="preserve">P KSP </t>
        </r>
        <r>
          <rPr>
            <sz val="9"/>
            <color indexed="81"/>
            <rFont val="Tahoma"/>
            <family val="2"/>
            <charset val="186"/>
          </rPr>
          <t>2.1.2.5. Sudaryti sąlygas naujų ekologiškų viešojo transporto rūšių atsiradimui
KEPS 6.1.5. Sukurti Klaipėdos regione elektriniam transportui pritaikytą infrastruktūrą</t>
        </r>
      </text>
    </comment>
    <comment ref="Q238"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Q239" authorId="0" shapeId="0">
      <text>
        <r>
          <rPr>
            <sz val="9"/>
            <color indexed="81"/>
            <rFont val="Tahoma"/>
            <family val="2"/>
            <charset val="186"/>
          </rPr>
          <t xml:space="preserve">Pagal ES projektą 2019-10 įrengtos 3 stotelės, 6 prieigos ir priežiūros paslauga. Elektrą apmoką savivaldybė.
</t>
        </r>
        <r>
          <rPr>
            <b/>
            <sz val="9"/>
            <color indexed="81"/>
            <rFont val="Tahoma"/>
            <family val="2"/>
            <charset val="186"/>
          </rPr>
          <t>2020 m. 3 stotelės, 6 prieigos:</t>
        </r>
        <r>
          <rPr>
            <sz val="9"/>
            <color indexed="81"/>
            <rFont val="Tahoma"/>
            <family val="2"/>
            <charset val="186"/>
          </rPr>
          <t xml:space="preserve">
Taikos pr. 80 (2 vnt.);
Jūrininkų pr. 16 (2 vnt.)
S. Neries g. 16A (2 vnt.)
Savivaldybė 5 metus po stotelių įrengimo turi užtikrinti nemokamą elektromobilių įkrovimo paslaugų teikimą. Elektros išlaidos suplanuotos 7 programoje.
</t>
        </r>
      </text>
    </comment>
    <comment ref="E24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Q240" authorId="0" shapeId="0">
      <text>
        <r>
          <rPr>
            <b/>
            <sz val="9"/>
            <color indexed="81"/>
            <rFont val="Tahoma"/>
            <family val="2"/>
            <charset val="186"/>
          </rPr>
          <t>Įrenginiai;</t>
        </r>
        <r>
          <rPr>
            <sz val="9"/>
            <color indexed="81"/>
            <rFont val="Tahoma"/>
            <family val="2"/>
            <charset val="186"/>
          </rPr>
          <t xml:space="preserve"> Dviračių saugyklos:
Malūninkų g. 1
Dviračių skaičiuokliai:
prie p.c. Akropolis
prie "Atgimimo" stotelės
</t>
        </r>
      </text>
    </comment>
    <comment ref="G251" authorId="0" shapeId="0">
      <text>
        <r>
          <rPr>
            <b/>
            <sz val="9"/>
            <color indexed="81"/>
            <rFont val="Tahoma"/>
            <family val="2"/>
            <charset val="186"/>
          </rPr>
          <t>15233,7 biudžetas</t>
        </r>
        <r>
          <rPr>
            <sz val="9"/>
            <color indexed="81"/>
            <rFont val="Tahoma"/>
            <family val="2"/>
            <charset val="186"/>
          </rPr>
          <t xml:space="preserve">
</t>
        </r>
      </text>
    </comment>
    <comment ref="H251" authorId="0" shapeId="0">
      <text>
        <r>
          <rPr>
            <b/>
            <sz val="9"/>
            <color indexed="81"/>
            <rFont val="Tahoma"/>
            <family val="2"/>
            <charset val="186"/>
          </rPr>
          <t xml:space="preserve">24364,5
</t>
        </r>
        <r>
          <rPr>
            <sz val="9"/>
            <color indexed="81"/>
            <rFont val="Tahoma"/>
            <family val="2"/>
            <charset val="186"/>
          </rPr>
          <t xml:space="preserve">
</t>
        </r>
      </text>
    </comment>
    <comment ref="G253" authorId="0" shapeId="0">
      <text>
        <r>
          <rPr>
            <b/>
            <sz val="9"/>
            <color indexed="81"/>
            <rFont val="Tahoma"/>
            <family val="2"/>
            <charset val="186"/>
          </rPr>
          <t>1900</t>
        </r>
      </text>
    </comment>
    <comment ref="H253" authorId="0" shapeId="0">
      <text>
        <r>
          <rPr>
            <b/>
            <sz val="9"/>
            <color indexed="81"/>
            <rFont val="Tahoma"/>
            <family val="2"/>
            <charset val="186"/>
          </rPr>
          <t>1900</t>
        </r>
      </text>
    </comment>
  </commentList>
</comments>
</file>

<file path=xl/comments3.xml><?xml version="1.0" encoding="utf-8"?>
<comments xmlns="http://schemas.openxmlformats.org/spreadsheetml/2006/main">
  <authors>
    <author>Audra Cepiene</author>
    <author>Indrė Butenienė</author>
  </authors>
  <commentList>
    <comment ref="E14" authorId="0" shapeId="0">
      <text>
        <r>
          <rPr>
            <sz val="9"/>
            <color indexed="81"/>
            <rFont val="Tahoma"/>
            <family val="2"/>
            <charset val="186"/>
          </rPr>
          <t>P1, 3.6. Miesto susisiekimo sistemos tobulinimas užtikrinant didesnį gatvių tinklo pralaidumą;</t>
        </r>
      </text>
    </comment>
    <comment ref="E26"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E31"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E40"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Q40"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E42"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E43"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D45" authorId="0" shapeId="0">
      <text>
        <r>
          <rPr>
            <sz val="9"/>
            <color indexed="81"/>
            <rFont val="Tahoma"/>
            <family val="2"/>
            <charset val="186"/>
          </rPr>
          <t>SM programa 06.2.1-TID-R-511 pr.Vietinių kelių vystymas</t>
        </r>
      </text>
    </comment>
    <comment ref="E45"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47"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G47" authorId="0" shapeId="0">
      <text>
        <r>
          <rPr>
            <b/>
            <sz val="9"/>
            <color indexed="81"/>
            <rFont val="Tahoma"/>
            <family val="2"/>
            <charset val="186"/>
          </rPr>
          <t>uždėta 2020-06-05</t>
        </r>
        <r>
          <rPr>
            <sz val="9"/>
            <color indexed="81"/>
            <rFont val="Tahoma"/>
            <family val="2"/>
            <charset val="186"/>
          </rPr>
          <t xml:space="preserve">
</t>
        </r>
      </text>
    </comment>
    <comment ref="H47" authorId="0" shapeId="0">
      <text>
        <r>
          <rPr>
            <b/>
            <sz val="9"/>
            <color indexed="81"/>
            <rFont val="Tahoma"/>
            <family val="2"/>
            <charset val="186"/>
          </rPr>
          <t>uždėta 2020-06-05</t>
        </r>
        <r>
          <rPr>
            <sz val="9"/>
            <color indexed="81"/>
            <rFont val="Tahoma"/>
            <family val="2"/>
            <charset val="186"/>
          </rPr>
          <t xml:space="preserve">
</t>
        </r>
      </text>
    </comment>
    <comment ref="E49" authorId="1" shapeId="0">
      <text>
        <r>
          <rPr>
            <sz val="9"/>
            <color indexed="81"/>
            <rFont val="Tahoma"/>
            <family val="2"/>
            <charset val="186"/>
          </rPr>
          <t>P1, 1.1.2. Parengtas ir įgyvendintas žvyruotų kelių asfaltavimo priemonių planas siekiant asfaltuoti ne mažiau kaip 10 km žvyruotų kelių, vnt</t>
        </r>
      </text>
    </comment>
    <comment ref="E52"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D58"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E58" authorId="1" shapeId="0">
      <text>
        <r>
          <rPr>
            <sz val="9"/>
            <color indexed="81"/>
            <rFont val="Tahoma"/>
            <family val="2"/>
            <charset val="186"/>
          </rPr>
          <t>P1, 1.1.2. Parengtas ir įgyvendintas žvyruotų kelių asfaltavimo priemonių planas siekiant asfaltuoti ne mažiau kaip 10 km žvyruotų kelių, vnt</t>
        </r>
      </text>
    </comment>
    <comment ref="P59" authorId="0" shapeId="0">
      <text>
        <r>
          <rPr>
            <b/>
            <sz val="9"/>
            <color indexed="81"/>
            <rFont val="Tahoma"/>
            <family val="2"/>
            <charset val="186"/>
          </rPr>
          <t>LRV 2020-03-04 nutarimas Nr. 185</t>
        </r>
        <r>
          <rPr>
            <sz val="9"/>
            <color indexed="81"/>
            <rFont val="Tahoma"/>
            <family val="2"/>
            <charset val="186"/>
          </rPr>
          <t xml:space="preserve">
2.3.12. punktas,</t>
        </r>
        <r>
          <rPr>
            <b/>
            <i/>
            <sz val="9"/>
            <color indexed="81"/>
            <rFont val="Tahoma"/>
            <family val="2"/>
            <charset val="186"/>
          </rPr>
          <t xml:space="preserve"> lėšas skirti kapitališkai remontuoti</t>
        </r>
        <r>
          <rPr>
            <sz val="9"/>
            <color indexed="81"/>
            <rFont val="Tahoma"/>
            <family val="2"/>
            <charset val="186"/>
          </rPr>
          <t xml:space="preserve">:
1. Klaipėdos Aušrinės gatvei (Nr. LM1937), esančiai sodininkų bendrijos „Aušra“ teritorijoje;
2. Baltijos 1-ajai gatvei (Nr. LM1900);
3. Baltijos 13-ajai gatvei (Nr. LM1910, esančioms sodininkų bendrijos „Baltija“ teritorijoje;
4. Dianos gatvei (Nr. LM1743), esančiai sodininkų bendrijos „Diana“ teritorijoje;
5. Inkaro 1-ajai gatvei (Nr. LM1912), esančiai sodininkų bendrijos „Inkaras“ teritorijoje
</t>
        </r>
      </text>
    </comment>
    <comment ref="D61"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P63" authorId="0" shapeId="0">
      <text>
        <r>
          <rPr>
            <sz val="9"/>
            <color indexed="81"/>
            <rFont val="Tahoma"/>
            <family val="2"/>
            <charset val="186"/>
          </rPr>
          <t>Poreikis paaiškės po pasiūlymų tekimo ir gatvių atrankos. Naujas konkursas bus skelbiamas 2022 m.</t>
        </r>
      </text>
    </comment>
    <comment ref="E69" authorId="0" shapeId="0">
      <text>
        <r>
          <rPr>
            <b/>
            <sz val="9"/>
            <color indexed="81"/>
            <rFont val="Tahoma"/>
            <family val="2"/>
            <charset val="186"/>
          </rPr>
          <t>P (KSP) 2.1.2.8</t>
        </r>
        <r>
          <rPr>
            <sz val="9"/>
            <color indexed="81"/>
            <rFont val="Tahoma"/>
            <family val="2"/>
            <charset val="186"/>
          </rPr>
          <t xml:space="preserve">
Centrinėje miesto dalyje suformuoti pėsčiųjų takų, zonų ir gatvių tinklą </t>
        </r>
      </text>
    </comment>
    <comment ref="E7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79"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Q99" authorId="0" shapeId="0">
      <text>
        <r>
          <rPr>
            <sz val="9"/>
            <color indexed="81"/>
            <rFont val="Tahoma"/>
            <family val="2"/>
            <charset val="186"/>
          </rPr>
          <t xml:space="preserve">44 875 kv.m
Hektaras (ha) – ploto matavimo vienetas, lygus 10 000 m² </t>
        </r>
      </text>
    </comment>
    <comment ref="Q100" authorId="0" shapeId="0">
      <text>
        <r>
          <rPr>
            <sz val="9"/>
            <color indexed="81"/>
            <rFont val="Tahoma"/>
            <family val="2"/>
            <charset val="186"/>
          </rPr>
          <t xml:space="preserve">12960 kv.m
Hektaras (ha) – ploto matavimo vienetas, lygus 10 000 m² 
</t>
        </r>
      </text>
    </comment>
    <comment ref="Q102" authorId="0" shapeId="0">
      <text>
        <r>
          <rPr>
            <b/>
            <sz val="9"/>
            <color indexed="81"/>
            <rFont val="Tahoma"/>
            <family val="2"/>
            <charset val="186"/>
          </rPr>
          <t xml:space="preserve">17800 kv.m </t>
        </r>
        <r>
          <rPr>
            <sz val="9"/>
            <color indexed="81"/>
            <rFont val="Tahoma"/>
            <family val="2"/>
            <charset val="186"/>
          </rPr>
          <t xml:space="preserve">
</t>
        </r>
      </text>
    </comment>
    <comment ref="Q104" authorId="0" shapeId="0">
      <text>
        <r>
          <rPr>
            <b/>
            <sz val="9"/>
            <color indexed="81"/>
            <rFont val="Tahoma"/>
            <family val="2"/>
            <charset val="186"/>
          </rPr>
          <t>12000 kv.m</t>
        </r>
        <r>
          <rPr>
            <sz val="9"/>
            <color indexed="81"/>
            <rFont val="Tahoma"/>
            <family val="2"/>
            <charset val="186"/>
          </rPr>
          <t xml:space="preserve">
</t>
        </r>
      </text>
    </comment>
    <comment ref="Q107"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R107"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S107"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D115" authorId="0" shapeId="0">
      <text>
        <r>
          <rPr>
            <sz val="9"/>
            <color indexed="81"/>
            <rFont val="Tahoma"/>
            <family val="2"/>
            <charset val="186"/>
          </rPr>
          <t>parkavimo vietų subraižymas, žaliųjų vejų ir skverų sutvarkymas</t>
        </r>
      </text>
    </comment>
    <comment ref="E12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31"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P134"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P136" authorId="0" shapeId="0">
      <text>
        <r>
          <rPr>
            <b/>
            <sz val="9"/>
            <color indexed="81"/>
            <rFont val="Tahoma"/>
            <family val="2"/>
            <charset val="186"/>
          </rPr>
          <t>socialinės grupės</t>
        </r>
        <r>
          <rPr>
            <sz val="9"/>
            <color indexed="81"/>
            <rFont val="Tahoma"/>
            <family val="2"/>
            <charset val="186"/>
          </rPr>
          <t xml:space="preserve"> 
1. senjorai 80+ viso ~180 000
2. senjorai 70-79 viso ~1 000 000, papildomai nuo dabar mokamų 400 000
3. Senjorai 63-69 (išėjus į pensiją) viso 500 000,  papildomai nuo dabar mokamų 300 000  </t>
        </r>
      </text>
    </comment>
    <comment ref="Q137" authorId="0" shapeId="0">
      <text>
        <r>
          <rPr>
            <b/>
            <sz val="9"/>
            <color indexed="81"/>
            <rFont val="Tahoma"/>
            <family val="2"/>
            <charset val="186"/>
          </rPr>
          <t>Kompensuojamos lengvatos renginiams:</t>
        </r>
        <r>
          <rPr>
            <sz val="9"/>
            <color indexed="81"/>
            <rFont val="Tahoma"/>
            <family val="2"/>
            <charset val="186"/>
          </rPr>
          <t xml:space="preserve">
1. Lietuvos valstybės atkūrimo dienos ir Klaipėdos šviesų festivalio metu, 2020 m. vasario 14–16 d.;
2. Dieną be automobilio, 2020 m. rugsėjo 22 d.;
2</t>
        </r>
        <r>
          <rPr>
            <b/>
            <sz val="9"/>
            <color indexed="81"/>
            <rFont val="Tahoma"/>
            <family val="2"/>
            <charset val="186"/>
          </rPr>
          <t>020 dėl COVID-19 nevyks renginiai:</t>
        </r>
        <r>
          <rPr>
            <sz val="9"/>
            <color indexed="81"/>
            <rFont val="Tahoma"/>
            <family val="2"/>
            <charset val="186"/>
          </rPr>
          <t xml:space="preserve">
1. Jūros šventės metu, 2020 m. liepos 24–26 d.; 
2. Lietuvos vakarų krašto dainų šventės metu, 2020 m. birželio 13–14 d.;
3. Tarptautinio festivalio „Europiada“ metu, 2020 m. rugpjūčio 5–9 d.;
4. Pasaulio salės futbolo čempionato metu, 2020 m. rugpjūčio 29 d.–spalio 5 d.
</t>
        </r>
      </text>
    </comment>
    <comment ref="E147"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55"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56"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P156"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E160"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Q161"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R162" authorId="0" shapeId="0">
      <text>
        <r>
          <rPr>
            <b/>
            <sz val="9"/>
            <color indexed="81"/>
            <rFont val="Tahoma"/>
            <family val="2"/>
            <charset val="186"/>
          </rPr>
          <t xml:space="preserve">Įrengta švieslenčių 13 stotelių: 
2019-2020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Q163"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Q164" authorId="0" shapeId="0">
      <text>
        <r>
          <rPr>
            <sz val="9"/>
            <color indexed="81"/>
            <rFont val="Tahoma"/>
            <family val="2"/>
            <charset val="186"/>
          </rPr>
          <t xml:space="preserve">2020-2021 m.
 Smiltelės g. 
(Minijos; Šiaurės ir pietų kryptis) </t>
        </r>
      </text>
    </comment>
    <comment ref="E168"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text>
    </comment>
    <comment ref="E169" authorId="1"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176" authorId="1" shapeId="0">
      <text>
        <r>
          <rPr>
            <sz val="9"/>
            <color indexed="81"/>
            <rFont val="Tahoma"/>
            <family val="2"/>
            <charset val="186"/>
          </rPr>
          <t>P2, Klaipėdos miesto darnaus judumo planas (2018-09-13, T2-185),</t>
        </r>
      </text>
    </comment>
    <comment ref="E180"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Q181" authorId="0" shapeId="0">
      <text>
        <r>
          <rPr>
            <sz val="9"/>
            <color indexed="81"/>
            <rFont val="Tahoma"/>
            <family val="2"/>
            <charset val="186"/>
          </rPr>
          <t xml:space="preserve">Įrengta 5 vnt. šviesoforų, buvo ekploatuojami 66 šviesoforai
</t>
        </r>
      </text>
    </comment>
    <comment ref="Q186" authorId="0" shapeId="0">
      <text>
        <r>
          <rPr>
            <b/>
            <sz val="9"/>
            <color indexed="81"/>
            <rFont val="Tahoma"/>
            <family val="2"/>
            <charset val="186"/>
          </rPr>
          <t>2020 m. planuojama projektuoti 7 perėjas:</t>
        </r>
        <r>
          <rPr>
            <sz val="9"/>
            <color indexed="81"/>
            <rFont val="Tahoma"/>
            <family val="2"/>
            <charset val="186"/>
          </rPr>
          <t xml:space="preserve">
1. Šviesoforinė perėja Liepų g. (Nr. LM1251) (prie Klaipėdos valstybinės kolegijos) 
2. Šviesoforinės perėjos Taikos pr. (Nr. LM0911) ties Nr. 5 ir ties Debreceno g. 
3. Šviesoforinė perėja Baltijos pr. (Nr. LM0450) ties Nr. 103 
4. Šviesoforinė perėja Dubysos g.  (Nr. LM0940) ties Nr. 31
5. Šviesoforinės perėjos K. Donelaičio g.-S. Daukanto g. sankryžoje (Nr. LM1490; Nr. LM1480)
6.  Šviesoforinė perėja  Šilutės pl. (Nr. LM0907) ties Svajonės g.
</t>
        </r>
      </text>
    </comment>
    <comment ref="E20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10"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E21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12"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213"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15"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E216"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E217" authorId="0" shapeId="0">
      <text>
        <r>
          <rPr>
            <sz val="9"/>
            <color indexed="81"/>
            <rFont val="Tahoma"/>
            <family val="2"/>
            <charset val="186"/>
          </rPr>
          <t>P (KSP) 2.1.2.5. Sudaryti sąlygas naujų ekologiškų viešojo transporto rūšių atsiradimui</t>
        </r>
      </text>
    </comment>
    <comment ref="E218" authorId="0" shapeId="0">
      <text>
        <r>
          <rPr>
            <sz val="9"/>
            <color indexed="81"/>
            <rFont val="Tahoma"/>
            <family val="2"/>
            <charset val="186"/>
          </rPr>
          <t>P 2.1.2.5. Sudaryti sąlygas naujų ekologiškų viešojo transporto rūšių atsiradimui;
P2 Klaipėdos miesto darnaus judumo planas (2018-09-13, T2-185);</t>
        </r>
      </text>
    </comment>
    <comment ref="E221" authorId="0" shapeId="0">
      <text>
        <r>
          <rPr>
            <sz val="9"/>
            <color indexed="81"/>
            <rFont val="Tahoma"/>
            <family val="2"/>
            <charset val="186"/>
          </rPr>
          <t>P 2.1.2.5. Sudaryti sąlygas naujų ekologiškų viešojo transporto rūšių atsiradimui;
P2 Klaipėdos miesto darnaus judumo planas (2018-09-13, T2-185);</t>
        </r>
      </text>
    </comment>
    <comment ref="E224" authorId="0" shapeId="0">
      <text>
        <r>
          <rPr>
            <b/>
            <sz val="9"/>
            <color indexed="81"/>
            <rFont val="Tahoma"/>
            <family val="2"/>
            <charset val="186"/>
          </rPr>
          <t xml:space="preserve">P KSP </t>
        </r>
        <r>
          <rPr>
            <sz val="9"/>
            <color indexed="81"/>
            <rFont val="Tahoma"/>
            <family val="2"/>
            <charset val="186"/>
          </rPr>
          <t>2.1.2.5. Sudaryti sąlygas naujų ekologiškų viešojo transporto rūšių atsiradimui
KEPS 6.1.5. Sukurti Klaipėdos regione elektriniam transportui pritaikytą infrastruktūrą</t>
        </r>
      </text>
    </comment>
    <comment ref="Q224"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Q225" authorId="0" shapeId="0">
      <text>
        <r>
          <rPr>
            <sz val="9"/>
            <color indexed="81"/>
            <rFont val="Tahoma"/>
            <family val="2"/>
            <charset val="186"/>
          </rPr>
          <t xml:space="preserve">Pagal ES projektą 2019-10 įrengtos 3 stotelės, 6 prieigos ir priežiūros paslauga. Elektrą apmoką savivaldybė.
</t>
        </r>
        <r>
          <rPr>
            <b/>
            <sz val="9"/>
            <color indexed="81"/>
            <rFont val="Tahoma"/>
            <family val="2"/>
            <charset val="186"/>
          </rPr>
          <t>2020 m. 3 stotelės, 6 prieigos:</t>
        </r>
        <r>
          <rPr>
            <sz val="9"/>
            <color indexed="81"/>
            <rFont val="Tahoma"/>
            <family val="2"/>
            <charset val="186"/>
          </rPr>
          <t xml:space="preserve">
Taikos pr. 80 (2 vnt.);
Jūrininkų pr. 16 (2 vnt.)
S. Neries g. 16A (2 vnt.)
Savivaldybė 5 metus po stotelių įrengimo turi užtikrinti nemokamą elektromobilių įkrovimo paslaugų teikimą. Elektros išlaidos suplanuotos 7 programoje.
</t>
        </r>
      </text>
    </comment>
    <comment ref="E226"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Q226" authorId="0" shapeId="0">
      <text>
        <r>
          <rPr>
            <b/>
            <sz val="9"/>
            <color indexed="81"/>
            <rFont val="Tahoma"/>
            <family val="2"/>
            <charset val="186"/>
          </rPr>
          <t>Įrenginiai;</t>
        </r>
        <r>
          <rPr>
            <sz val="9"/>
            <color indexed="81"/>
            <rFont val="Tahoma"/>
            <family val="2"/>
            <charset val="186"/>
          </rPr>
          <t xml:space="preserve"> Dviračių saugyklos:
Malūninkų g. 1
Dviračių skaičiuokliai:
prie p.c. Akropolis
prie "Atgimimo" stotelės
</t>
        </r>
      </text>
    </comment>
    <comment ref="G237" authorId="0" shapeId="0">
      <text>
        <r>
          <rPr>
            <b/>
            <sz val="9"/>
            <color indexed="81"/>
            <rFont val="Tahoma"/>
            <family val="2"/>
            <charset val="186"/>
          </rPr>
          <t>15233,7 biudžetas</t>
        </r>
        <r>
          <rPr>
            <sz val="9"/>
            <color indexed="81"/>
            <rFont val="Tahoma"/>
            <family val="2"/>
            <charset val="186"/>
          </rPr>
          <t xml:space="preserve">
</t>
        </r>
      </text>
    </comment>
    <comment ref="H237" authorId="0" shapeId="0">
      <text>
        <r>
          <rPr>
            <b/>
            <sz val="9"/>
            <color indexed="81"/>
            <rFont val="Tahoma"/>
            <family val="2"/>
            <charset val="186"/>
          </rPr>
          <t xml:space="preserve">24364,5
</t>
        </r>
      </text>
    </comment>
    <comment ref="G239" authorId="0" shapeId="0">
      <text>
        <r>
          <rPr>
            <b/>
            <sz val="9"/>
            <color indexed="81"/>
            <rFont val="Tahoma"/>
            <family val="2"/>
            <charset val="186"/>
          </rPr>
          <t>1900</t>
        </r>
      </text>
    </comment>
    <comment ref="H239" authorId="0" shapeId="0">
      <text>
        <r>
          <rPr>
            <b/>
            <sz val="9"/>
            <color indexed="81"/>
            <rFont val="Tahoma"/>
            <family val="2"/>
            <charset val="186"/>
          </rPr>
          <t>1900</t>
        </r>
      </text>
    </comment>
  </commentList>
</comments>
</file>

<file path=xl/comments4.xml><?xml version="1.0" encoding="utf-8"?>
<comments xmlns="http://schemas.openxmlformats.org/spreadsheetml/2006/main">
  <authors>
    <author>Audra Cepiene</author>
    <author>Indrė Butenienė</author>
  </authors>
  <commentList>
    <comment ref="F1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t>
        </r>
      </text>
    </comment>
    <comment ref="F15"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L15" authorId="0" shapeId="0">
      <text>
        <r>
          <rPr>
            <sz val="9"/>
            <color indexed="81"/>
            <rFont val="Tahoma"/>
            <family val="2"/>
            <charset val="186"/>
          </rPr>
          <t xml:space="preserve">Techn. projekto </t>
        </r>
        <r>
          <rPr>
            <b/>
            <sz val="9"/>
            <color indexed="81"/>
            <rFont val="Tahoma"/>
            <family val="2"/>
            <charset val="186"/>
          </rPr>
          <t xml:space="preserve">kaina 534 tūkst. eur </t>
        </r>
        <r>
          <rPr>
            <sz val="8"/>
            <color indexed="81"/>
            <rFont val="Tahoma"/>
            <family val="2"/>
            <charset val="186"/>
          </rPr>
          <t xml:space="preserve">(Geologinių, topografinių (geodezinių) tyrinėjimo dokumentų parengimas; Techninis projektas; Investicinis projektas; Detaliojo plano koregavimas) </t>
        </r>
        <r>
          <rPr>
            <b/>
            <sz val="8"/>
            <color indexed="81"/>
            <rFont val="Tahoma"/>
            <family val="2"/>
            <charset val="186"/>
          </rPr>
          <t>10 tūkst. eur ekspertizė</t>
        </r>
      </text>
    </comment>
    <comment ref="I18" authorId="0" shapeId="0">
      <text>
        <r>
          <rPr>
            <b/>
            <sz val="9"/>
            <color indexed="81"/>
            <rFont val="Tahoma"/>
            <family val="2"/>
            <charset val="186"/>
          </rPr>
          <t>2020-2022 VIP gauta</t>
        </r>
        <r>
          <rPr>
            <sz val="9"/>
            <color indexed="81"/>
            <rFont val="Tahoma"/>
            <family val="2"/>
            <charset val="186"/>
          </rPr>
          <t xml:space="preserve">
</t>
        </r>
      </text>
    </comment>
    <comment ref="I21" authorId="0" shapeId="0">
      <text>
        <r>
          <rPr>
            <sz val="9"/>
            <color indexed="81"/>
            <rFont val="Tahoma"/>
            <family val="2"/>
            <charset val="186"/>
          </rPr>
          <t xml:space="preserve">MVP pakeitimas
</t>
        </r>
      </text>
    </comment>
    <comment ref="F2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H29" authorId="0" shapeId="0">
      <text>
        <r>
          <rPr>
            <b/>
            <sz val="9"/>
            <color indexed="81"/>
            <rFont val="Tahoma"/>
            <family val="2"/>
            <charset val="186"/>
          </rPr>
          <t>ŽP</t>
        </r>
        <r>
          <rPr>
            <sz val="9"/>
            <color indexed="81"/>
            <rFont val="Tahoma"/>
            <family val="2"/>
            <charset val="186"/>
          </rPr>
          <t xml:space="preserve">
</t>
        </r>
      </text>
    </comment>
    <comment ref="F37"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M37"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F42"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L42" authorId="0" shapeId="0">
      <text>
        <r>
          <rPr>
            <b/>
            <sz val="9"/>
            <color indexed="81"/>
            <rFont val="Tahoma"/>
            <family val="2"/>
            <charset val="186"/>
          </rPr>
          <t>Į senamiesčio grindinio atnaujinimo projektą įtraukta priemonė "</t>
        </r>
        <r>
          <rPr>
            <sz val="9"/>
            <color indexed="81"/>
            <rFont val="Tahoma"/>
            <family val="2"/>
            <charset val="186"/>
          </rPr>
          <t>Tomo ir Pylimo g. rekonstravimas", iš viso bus tvarkomos 8 gatvės:
Žvejų g., Teatro g., Sukilėlių g., Daržų g. (nuo Pilies g. iki Aukštosios g.), Aukštoji g. (nuo Daržų g. iki Didžiosios Vandens g.), Didžioji Vandens g. (nuo Aukštosios g. iki Tiltų g.), Vežėjų g. (nuo Turgaus g. iki Daržų g.), Tomo ir Pylimo g.</t>
        </r>
      </text>
    </comment>
    <comment ref="F43"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2.1.2.8</t>
        </r>
        <r>
          <rPr>
            <sz val="9"/>
            <color indexed="81"/>
            <rFont val="Tahoma"/>
            <family val="2"/>
            <charset val="186"/>
          </rPr>
          <t xml:space="preserve"> Centrinėje miesto dalyje suformuoti pėsčiųjų takų, zonų ir gatvių tinklą </t>
        </r>
      </text>
    </comment>
    <comment ref="E45" authorId="0" shapeId="0">
      <text>
        <r>
          <rPr>
            <sz val="9"/>
            <color indexed="81"/>
            <rFont val="Tahoma"/>
            <family val="2"/>
            <charset val="186"/>
          </rPr>
          <t>SM programa 06.2.1-TID-R-511 pr.Vietinių kelių vystymas</t>
        </r>
      </text>
    </comment>
    <comment ref="F45"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L45" authorId="0" shapeId="0">
      <text>
        <r>
          <rPr>
            <sz val="9"/>
            <color indexed="81"/>
            <rFont val="Tahoma"/>
            <family val="2"/>
            <charset val="186"/>
          </rPr>
          <t xml:space="preserve"> Šios gatvės buvo sudėtinė projekto "Senamiesčio grindinio atnaujinimas ir universalaus dizaino pritaikymas", dalis, tačiau, esant situacijai, kai Bastionų g. tiesimui skirtas ES lėšas reikalinga panaudoti kitoms gatvėms tiesti, siūloma Teatro ir Sukilėlių gatves išskirti į atskirą investicinį projektą ir teikti paraišką dėl ES lėšų gavimo. </t>
        </r>
      </text>
    </comment>
    <comment ref="F47"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I47" authorId="0" shapeId="0">
      <text>
        <r>
          <rPr>
            <b/>
            <sz val="9"/>
            <color indexed="81"/>
            <rFont val="Tahoma"/>
            <family val="2"/>
            <charset val="186"/>
          </rPr>
          <t>uždėta 2020-06-05</t>
        </r>
        <r>
          <rPr>
            <sz val="9"/>
            <color indexed="81"/>
            <rFont val="Tahoma"/>
            <family val="2"/>
            <charset val="186"/>
          </rPr>
          <t xml:space="preserve">
17,9 tūkst eur nuimta Lipkių keliui įrengti, MVP pakeitimas, sprendime nesimato</t>
        </r>
      </text>
    </comment>
    <comment ref="J47" authorId="0" shapeId="0">
      <text>
        <r>
          <rPr>
            <b/>
            <sz val="9"/>
            <color indexed="81"/>
            <rFont val="Tahoma"/>
            <family val="2"/>
            <charset val="186"/>
          </rPr>
          <t>17,9 pridėta be sprendimo dėl MVP pakeitimo 2020-06-08</t>
        </r>
        <r>
          <rPr>
            <sz val="9"/>
            <color indexed="81"/>
            <rFont val="Tahoma"/>
            <family val="2"/>
            <charset val="186"/>
          </rPr>
          <t xml:space="preserve">
</t>
        </r>
      </text>
    </comment>
    <comment ref="L47" authorId="0" shapeId="0">
      <text>
        <r>
          <rPr>
            <sz val="9"/>
            <color indexed="81"/>
            <rFont val="Tahoma"/>
            <family val="2"/>
            <charset val="186"/>
          </rPr>
          <t>Rekonstrukcija vykdoma kartu su LAKD (jie vykdo viešuosius pirkimus ir pasirašo sutartis)., vertė padidinta +400 dėl kapitalinių remonto darbų ir įgyvendinimo laikotarpis sutrumpintas iki 2021 metų (buvo iki 2022m.).</t>
        </r>
      </text>
    </comment>
    <comment ref="H48" authorId="0" shapeId="0">
      <text>
        <r>
          <rPr>
            <b/>
            <sz val="9"/>
            <color indexed="81"/>
            <rFont val="Tahoma"/>
            <family val="2"/>
            <charset val="186"/>
          </rPr>
          <t>ŽP</t>
        </r>
        <r>
          <rPr>
            <sz val="9"/>
            <color indexed="81"/>
            <rFont val="Tahoma"/>
            <family val="2"/>
            <charset val="186"/>
          </rPr>
          <t xml:space="preserve">
</t>
        </r>
      </text>
    </comment>
    <comment ref="F51" authorId="1" shapeId="0">
      <text>
        <r>
          <rPr>
            <sz val="9"/>
            <color indexed="81"/>
            <rFont val="Tahoma"/>
            <family val="2"/>
            <charset val="186"/>
          </rPr>
          <t>P1, 1.1.2. Parengtas ir įgyvendintas žvyruotų kelių asfaltavimo priemonių planas siekiant asfaltuoti ne mažiau kaip 10 km žvyruotų kelių, vnt</t>
        </r>
      </text>
    </comment>
    <comment ref="F54"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H59" authorId="0" shapeId="0">
      <text>
        <r>
          <rPr>
            <sz val="9"/>
            <color indexed="81"/>
            <rFont val="Tahoma"/>
            <family val="2"/>
            <charset val="186"/>
          </rPr>
          <t>Gyventojų lėšos</t>
        </r>
      </text>
    </comment>
    <comment ref="E63"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F63" authorId="1" shapeId="0">
      <text>
        <r>
          <rPr>
            <sz val="9"/>
            <color indexed="81"/>
            <rFont val="Tahoma"/>
            <family val="2"/>
            <charset val="186"/>
          </rPr>
          <t>P1, 1.1.2. Parengtas ir įgyvendintas žvyruotų kelių asfaltavimo priemonių planas siekiant asfaltuoti ne mažiau kaip 10 km žvyruotų kelių, vnt</t>
        </r>
      </text>
    </comment>
    <comment ref="L63" authorId="0" shapeId="0">
      <text>
        <r>
          <rPr>
            <b/>
            <sz val="9"/>
            <color indexed="81"/>
            <rFont val="Tahoma"/>
            <family val="2"/>
            <charset val="186"/>
          </rPr>
          <t>Sodų bendrijo:</t>
        </r>
        <r>
          <rPr>
            <sz val="9"/>
            <color indexed="81"/>
            <rFont val="Tahoma"/>
            <family val="2"/>
            <charset val="186"/>
          </rPr>
          <t xml:space="preserve">
Aušrinės g. (Sodininkų bendrija "Aušra");
Baltijos 13-oji g. (Sodininkų bendrija "Baltija");
Tylos g. (Sodininkų bendrija "Diana I");
Dianos g. (Sodininkų bendrija "Diana II");
Baltijos 1-oji g. (Sodininkų bendrija "Baltija");
Inkaro 1-oji g. (Sodininkų bendrija "Inkaras");
Sąrašas pagal atliktą gatvių reitingavimą, tarybos aprašas tvirtintas taryboje spalio 24 d.
</t>
        </r>
      </text>
    </comment>
    <comment ref="E66"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L68" authorId="0" shapeId="0">
      <text>
        <r>
          <rPr>
            <sz val="9"/>
            <color indexed="81"/>
            <rFont val="Tahoma"/>
            <family val="2"/>
            <charset val="186"/>
          </rPr>
          <t>Poreikis paaiškės po pasiūlymų tekimo ir gatvių atrankos. Naujas konkursas bus skelbiamas 2022 m.</t>
        </r>
      </text>
    </comment>
    <comment ref="K71" authorId="0" shapeId="0">
      <text>
        <r>
          <rPr>
            <b/>
            <sz val="9"/>
            <color indexed="81"/>
            <rFont val="Tahoma"/>
            <family val="2"/>
            <charset val="186"/>
          </rPr>
          <t>pirminis SVP</t>
        </r>
      </text>
    </comment>
    <comment ref="L71" authorId="0" shapeId="0">
      <text>
        <r>
          <rPr>
            <sz val="9"/>
            <color indexed="81"/>
            <rFont val="Tahoma"/>
            <family val="2"/>
            <charset val="186"/>
          </rPr>
          <t xml:space="preserve">Paupių bendruomenės pastaba, pradinis SVP
</t>
        </r>
      </text>
    </comment>
    <comment ref="F74"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7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L76" authorId="0" shapeId="0">
      <text>
        <r>
          <rPr>
            <sz val="9"/>
            <color indexed="81"/>
            <rFont val="Tahoma"/>
            <family val="2"/>
            <charset val="186"/>
          </rPr>
          <t>darbai nebus vykdomi dėl per didelės projekto finansinės vertės.</t>
        </r>
      </text>
    </comment>
    <comment ref="L78" authorId="0" shapeId="0">
      <text>
        <r>
          <rPr>
            <sz val="9"/>
            <color indexed="81"/>
            <rFont val="Tahoma"/>
            <family val="2"/>
            <charset val="186"/>
          </rPr>
          <t>Savivaldybė LR Aplinkos ministerijai buvo pateikusi siūlymus susijusius su Pajūrio juostos žemyninės dalies specialiojo plano (SP) koregavimu. Dėl  SP grafinės dalies ir vieno iš sprendinių, kuriame vietoje nurodyto privažiavimo prie jūros palei Klaipėdos miesto ir rajono savivaldybių ribą paprašyta pakeisti į žvejų ir žvejybos įmonių naudojamą privažiavimą prie jūros arčiau Girulių.  Taip pat paprašyta sprendinį, kuriame nurodomos vietos galimoms žvejų prieplaukoms papildyti Klaipėdos miesto rekreaciniu ruožu. Į prašymus dėl SP papildymo naujais sprendiniais buvo atsižvelgta ir patvirtinta 2019-06-28 LR Žemės ūkio ministro įsakymu Nr.3D-392. Norint gauti ES paramą, savivaldybė teisėtais pagrindais turi valdyti iškrovimo vietą, kurioje numatoma atlikti investicijas, t. y. žemė turi priklausyti savivaldybei. Būtina atlikti žemės perdavimo  naudotis savivaldybei procedūras ( arba sudaryti panaudos sutartį, arba nustatyti servitutą).Kol nebus atliktos šios procedūros, nėra galimybės organizuoti projektavimo darbus.</t>
        </r>
      </text>
    </comment>
    <comment ref="F8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H84"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I105" authorId="0" shapeId="0">
      <text>
        <r>
          <rPr>
            <sz val="9"/>
            <color indexed="81"/>
            <rFont val="Tahoma"/>
            <family val="2"/>
            <charset val="186"/>
          </rPr>
          <t xml:space="preserve">perkelta į šviesoforus
</t>
        </r>
      </text>
    </comment>
    <comment ref="M105" authorId="0" shapeId="0">
      <text>
        <r>
          <rPr>
            <sz val="9"/>
            <color indexed="81"/>
            <rFont val="Tahoma"/>
            <family val="2"/>
            <charset val="186"/>
          </rPr>
          <t xml:space="preserve">44 875 kv.m
Hektaras (ha) – ploto matavimo vienetas, lygus 10 000 m² </t>
        </r>
      </text>
    </comment>
    <comment ref="M106" authorId="0" shapeId="0">
      <text>
        <r>
          <rPr>
            <sz val="9"/>
            <color indexed="81"/>
            <rFont val="Tahoma"/>
            <family val="2"/>
            <charset val="186"/>
          </rPr>
          <t xml:space="preserve">12960 kv.m
Hektaras (ha) – ploto matavimo vienetas, lygus 10 000 m² 
</t>
        </r>
      </text>
    </comment>
    <comment ref="L107" authorId="0" shapeId="0">
      <text>
        <r>
          <rPr>
            <sz val="9"/>
            <color indexed="81"/>
            <rFont val="Tahoma"/>
            <family val="2"/>
            <charset val="186"/>
          </rPr>
          <t>Pasirašyta sutartis senamiesčio dangų pritaikymo neįgaliesiems pritaikymo darbams. Darbai bus pradėti spalio pradžioje. Vyksta paruošiamieji darbai (derinami leidimai, perkamos medžiagos).
Priežiūros darbai vykdomi pagal poreikį.
Senamiesčio dangų pirtaikymas neįgaliesiems pagal parengtą aprašą (2018-09-18  UAB "Klaipėdos projektas" sutartis Nr. J9-1944)</t>
        </r>
      </text>
    </comment>
    <comment ref="L108" authorId="0" shapeId="0">
      <text>
        <r>
          <rPr>
            <sz val="9"/>
            <color indexed="81"/>
            <rFont val="Tahoma"/>
            <family val="2"/>
            <charset val="186"/>
          </rPr>
          <t xml:space="preserve">kasmet susidaro apie nuo 131-140 kiemų
</t>
        </r>
      </text>
    </comment>
    <comment ref="M108" authorId="0" shapeId="0">
      <text>
        <r>
          <rPr>
            <b/>
            <sz val="9"/>
            <color indexed="81"/>
            <rFont val="Tahoma"/>
            <family val="2"/>
            <charset val="186"/>
          </rPr>
          <t>Audra Cepiene:</t>
        </r>
        <r>
          <rPr>
            <sz val="9"/>
            <color indexed="81"/>
            <rFont val="Tahoma"/>
            <family val="2"/>
            <charset val="186"/>
          </rPr>
          <t xml:space="preserve">
17800 kv.m </t>
        </r>
      </text>
    </comment>
    <comment ref="M111" authorId="0" shapeId="0">
      <text>
        <r>
          <rPr>
            <b/>
            <sz val="9"/>
            <color indexed="81"/>
            <rFont val="Tahoma"/>
            <family val="2"/>
            <charset val="186"/>
          </rPr>
          <t>12000 kv.m</t>
        </r>
        <r>
          <rPr>
            <sz val="9"/>
            <color indexed="81"/>
            <rFont val="Tahoma"/>
            <family val="2"/>
            <charset val="186"/>
          </rPr>
          <t xml:space="preserve">
</t>
        </r>
      </text>
    </comment>
    <comment ref="L112" authorId="0" shapeId="0">
      <text>
        <r>
          <rPr>
            <b/>
            <sz val="9"/>
            <color indexed="81"/>
            <rFont val="Tahoma"/>
            <family val="2"/>
            <charset val="186"/>
          </rPr>
          <t xml:space="preserve">2019 m. </t>
        </r>
        <r>
          <rPr>
            <sz val="9"/>
            <color indexed="81"/>
            <rFont val="Tahoma"/>
            <family val="2"/>
            <charset val="186"/>
          </rPr>
          <t xml:space="preserve">
Senamiesčio gatvės 
Ligoninės g.
Vytauto g.
Gedminų g.
Pievų tako g.
Jurginų g.
Poilsio g.
Medžiotojų g.
Naikupės g.
Tilžės g.
</t>
        </r>
      </text>
    </comment>
    <comment ref="M115"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N115"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O115"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L122" authorId="0" shapeId="0">
      <text>
        <r>
          <rPr>
            <sz val="9"/>
            <color indexed="81"/>
            <rFont val="Tahoma"/>
            <family val="2"/>
            <charset val="186"/>
          </rPr>
          <t>Bus sujungiamos dvi automobilių aikštelės. Darbų apimtis - 10 metrų važiuojamosios dalies.</t>
        </r>
      </text>
    </comment>
    <comment ref="E125" authorId="0" shapeId="0">
      <text>
        <r>
          <rPr>
            <sz val="9"/>
            <color indexed="81"/>
            <rFont val="Tahoma"/>
            <family val="2"/>
            <charset val="186"/>
          </rPr>
          <t>parkavimo vietų subraižymas, žaliųjų vejų ir skverų sutvarkymas</t>
        </r>
      </text>
    </comment>
    <comment ref="F13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8"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L140"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L144" authorId="0" shapeId="0">
      <text>
        <r>
          <rPr>
            <b/>
            <sz val="9"/>
            <color indexed="81"/>
            <rFont val="Tahoma"/>
            <family val="2"/>
            <charset val="186"/>
          </rPr>
          <t>socialinės grupės</t>
        </r>
        <r>
          <rPr>
            <sz val="9"/>
            <color indexed="81"/>
            <rFont val="Tahoma"/>
            <family val="2"/>
            <charset val="186"/>
          </rPr>
          <t xml:space="preserve"> 
1. senjorai 80+ viso ~180 000
2. senjorai 70-79 viso ~1 000 000, papildomai nuo dabar mokamų 400 000
3. Senjorai 63-69 (išėjus į pensiją) viso 500 000,  papildomai nuo dabar mokamų 300 000  </t>
        </r>
      </text>
    </comment>
    <comment ref="M145" authorId="0" shapeId="0">
      <text>
        <r>
          <rPr>
            <b/>
            <sz val="9"/>
            <color indexed="81"/>
            <rFont val="Tahoma"/>
            <family val="2"/>
            <charset val="186"/>
          </rPr>
          <t>Kompensuojamos lengvatos renginiams:</t>
        </r>
        <r>
          <rPr>
            <sz val="9"/>
            <color indexed="81"/>
            <rFont val="Tahoma"/>
            <family val="2"/>
            <charset val="186"/>
          </rPr>
          <t xml:space="preserve">
1. Lietuvos valstybės atkūrimo dienos ir Klaipėdos šviesų festivalio metu, 2020 m. vasario 14–16 d.;
2. Dieną be automobilio, 2020 m. rugsėjo 22 d.;
2</t>
        </r>
        <r>
          <rPr>
            <b/>
            <sz val="9"/>
            <color indexed="81"/>
            <rFont val="Tahoma"/>
            <family val="2"/>
            <charset val="186"/>
          </rPr>
          <t>020 dėl COVID-19 nevyks renginiai:</t>
        </r>
        <r>
          <rPr>
            <sz val="9"/>
            <color indexed="81"/>
            <rFont val="Tahoma"/>
            <family val="2"/>
            <charset val="186"/>
          </rPr>
          <t xml:space="preserve">
1. Jūros šventės metu, 2020 m. liepos 24–26 d.; 
2. Lietuvos vakarų krašto dainų šventės metu, 2020 m. birželio 13–14 d.;
3. Tarptautinio festivalio „Europiada“ metu, 2020 m. rugpjūčio 5–9 d.;
4. Pasaulio salės futbolo čempionato metu, 2020 m. rugpjūčio 29 d.–spalio 5 d.
</t>
        </r>
      </text>
    </comment>
    <comment ref="M154" authorId="0" shapeId="0">
      <text>
        <r>
          <rPr>
            <sz val="9"/>
            <color indexed="81"/>
            <rFont val="Tahoma"/>
            <family val="2"/>
            <charset val="186"/>
          </rPr>
          <t xml:space="preserve">Nuostoliai auga, nes UAB „Klaipėdos autobusų parkas“ įsigijo 18 ekologiškų autobusų </t>
        </r>
      </text>
    </comment>
    <comment ref="F156"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L156" authorId="0" shapeId="0">
      <text>
        <r>
          <rPr>
            <sz val="9"/>
            <color indexed="81"/>
            <rFont val="Tahoma"/>
            <family val="2"/>
            <charset val="186"/>
          </rPr>
          <t>kadangi kursuoja 8 ir 1 maršrutais, tikriausiai skaičius bus 2</t>
        </r>
      </text>
    </comment>
    <comment ref="L162" authorId="0" shapeId="0">
      <text>
        <r>
          <rPr>
            <sz val="9"/>
            <color indexed="81"/>
            <rFont val="Tahoma"/>
            <family val="2"/>
            <charset val="186"/>
          </rPr>
          <t>Maršrutas yra nuo 2017-10-01. 2018-2019 metais padidinus šiuo metu vis dar nebrangią kelionės kainą pavyko stabilizuoti situaciją, tačiau nuostolio išvengti nepavyksta. Maršruto tvarkaraštis orientuotas į skydžių tvarkaraštį.</t>
        </r>
      </text>
    </comment>
    <comment ref="L163" authorId="0" shapeId="0">
      <text>
        <r>
          <rPr>
            <sz val="9"/>
            <color indexed="81"/>
            <rFont val="Tahoma"/>
            <family val="2"/>
            <charset val="186"/>
          </rPr>
          <t xml:space="preserve">
2019 metais nusprendus kompensuoti sąnaudas, buvo pratęsta sutartis su vežėju</t>
        </r>
      </text>
    </comment>
    <comment ref="L164" authorId="0" shapeId="0">
      <text>
        <r>
          <rPr>
            <sz val="9"/>
            <color indexed="81"/>
            <rFont val="Tahoma"/>
            <family val="2"/>
            <charset val="186"/>
          </rPr>
          <t>Nuo 2018-04 susitarimas dėl LEZ maršrutų aptarnavimo ir nuostolių kompensavimo. 2020 metams skaičiuojamas poreikis visiems 12 mėn. Nuostolio dydį gali koreguotis, kiekvieną mėn. teikiamoms bilietų pardavimo ataskaitoms</t>
        </r>
      </text>
    </comment>
    <comment ref="F166"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F167"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L167"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M167" authorId="0" shapeId="0">
      <text>
        <r>
          <rPr>
            <b/>
            <sz val="9"/>
            <color indexed="81"/>
            <rFont val="Tahoma"/>
            <family val="2"/>
            <charset val="186"/>
          </rPr>
          <t>Sutarties atsiskaitymas iki 2020 m. balandžio 1 d.</t>
        </r>
        <r>
          <rPr>
            <sz val="9"/>
            <color indexed="81"/>
            <rFont val="Tahoma"/>
            <family val="2"/>
            <charset val="186"/>
          </rPr>
          <t xml:space="preserve">
</t>
        </r>
      </text>
    </comment>
    <comment ref="E169" authorId="0" shapeId="0">
      <text>
        <r>
          <rPr>
            <sz val="9"/>
            <color indexed="81"/>
            <rFont val="Tahoma"/>
            <family val="2"/>
            <charset val="186"/>
          </rPr>
          <t xml:space="preserve">VšĮ KKT siūlo tobulinti viešojo transporto paslaugą bei pagerinti keleivių informavimo sistemą. Tai regėjimo negalią turintiems žmonėms skirtas inovatyvus sprendimas, realiu laiku teikiantis garsinę informaciją apie atvažiuojantį viešąjį transportą. Veikia su Android išmaniaisiais telefonais. Kiekvienoje stotelėje ir kiekviename autobuse įengimas bluetooth švyturys, kuris susijungia su išmaniuoju telefonu ir taip suteikia aplikacijai reikiamus duomenis.
Šis sprendimas veikia Kaune, Šiauliuose ir rudenį planuojamas paleisti Vilniuje. Todėl pačio sprendimo nereikia kurti naujai, o jį reikėtų tik suintegruoti į jau esamą sprendimą. Šis produktas autorinėmis teisėmis priklauso Kauno autobusų parkui. Iš jų VšĮ Klaipėdos keleivinis transportas gavo  sutikimą naudotis šiuo sprendimu. 
</t>
        </r>
        <r>
          <rPr>
            <b/>
            <sz val="9"/>
            <color indexed="81"/>
            <rFont val="Tahoma"/>
            <family val="2"/>
            <charset val="186"/>
          </rPr>
          <t>VšĮ KKT įsipareigotų mokėti 400 eur aplikacijos palaikymo mokestį.</t>
        </r>
      </text>
    </comment>
    <comment ref="F17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M172"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N174" authorId="0" shapeId="0">
      <text>
        <r>
          <rPr>
            <b/>
            <sz val="9"/>
            <color indexed="81"/>
            <rFont val="Tahoma"/>
            <family val="2"/>
            <charset val="186"/>
          </rPr>
          <t xml:space="preserve">siūlo Įrengt švieslenčių 13 stotelių 2021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M175"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M176" authorId="0" shapeId="0">
      <text>
        <r>
          <rPr>
            <sz val="9"/>
            <color indexed="81"/>
            <rFont val="Tahoma"/>
            <family val="2"/>
            <charset val="186"/>
          </rPr>
          <t xml:space="preserve">2020-2021 m.
 Smiltelės g. 
(Minijos; Šiaurės ir pietų kryptis) </t>
        </r>
      </text>
    </comment>
    <comment ref="L178" authorId="0" shapeId="0">
      <text>
        <r>
          <rPr>
            <sz val="9"/>
            <color indexed="81"/>
            <rFont val="Tahoma"/>
            <family val="2"/>
            <charset val="186"/>
          </rPr>
          <t>2018 m. parengtas techninis projektas ir ekpertizės išvada1</t>
        </r>
      </text>
    </comment>
    <comment ref="F180"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F181" authorId="1"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H181" authorId="0" shapeId="0">
      <text>
        <r>
          <rPr>
            <b/>
            <sz val="9"/>
            <color indexed="81"/>
            <rFont val="Tahoma"/>
            <family val="2"/>
            <charset val="186"/>
          </rPr>
          <t>Audra Cepiene:</t>
        </r>
        <r>
          <rPr>
            <sz val="9"/>
            <color indexed="81"/>
            <rFont val="Tahoma"/>
            <family val="2"/>
            <charset val="186"/>
          </rPr>
          <t xml:space="preserve">
</t>
        </r>
      </text>
    </comment>
    <comment ref="F188" authorId="1" shapeId="0">
      <text>
        <r>
          <rPr>
            <sz val="9"/>
            <color indexed="81"/>
            <rFont val="Tahoma"/>
            <family val="2"/>
            <charset val="186"/>
          </rPr>
          <t>P2, Klaipėdos miesto darnaus judumo planas (2018-09-13, T2-185),</t>
        </r>
      </text>
    </comment>
    <comment ref="F18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M190" authorId="0" shapeId="0">
      <text>
        <r>
          <rPr>
            <sz val="9"/>
            <color indexed="81"/>
            <rFont val="Tahoma"/>
            <family val="2"/>
            <charset val="186"/>
          </rPr>
          <t xml:space="preserve">Įrengta 5 vnt. šviesoforų, buvo ekploatuojami 66 šviesoforai
</t>
        </r>
      </text>
    </comment>
    <comment ref="M194" authorId="0" shapeId="0">
      <text>
        <r>
          <rPr>
            <b/>
            <sz val="9"/>
            <color indexed="81"/>
            <rFont val="Tahoma"/>
            <family val="2"/>
            <charset val="186"/>
          </rPr>
          <t>2020 m. planuojama projektuoti 7 perėjas:</t>
        </r>
        <r>
          <rPr>
            <sz val="9"/>
            <color indexed="81"/>
            <rFont val="Tahoma"/>
            <family val="2"/>
            <charset val="186"/>
          </rPr>
          <t xml:space="preserve">
1. Šviesoforinė perėja Liepų g. (Nr. LM1251) (prie Klaipėdos valstybinės kolegijos) 
2. Šviesoforinės perėjos Taikos pr. (Nr. LM0911) ties Nr. 5 ir ties Debreceno g. 
3. Šviesoforinė perėja Baltijos pr. (Nr. LM0450) ties Nr. 103 
4. Šviesoforinė perėja Dubysos g.  (Nr. LM0940) ties Nr. 31
5. Šviesoforinės perėjos K. Donelaičio g.-S. Daukanto g. sankryžoje (Nr. LM1490; Nr. LM1480)
6.  Šviesoforinė perėja  Šilutės pl. (Nr. LM0907) ties Svajonės g.
</t>
        </r>
      </text>
    </comment>
    <comment ref="M195" authorId="0" shapeId="0">
      <text>
        <r>
          <rPr>
            <sz val="9"/>
            <color indexed="81"/>
            <rFont val="Tahoma"/>
            <family val="2"/>
            <charset val="186"/>
          </rPr>
          <t xml:space="preserve">2020 m. planuojama įrengti 3 naujas šviesoforines perėjas – Šviesoforinės perėjos įrengimas  Smiltelės g. 47,
 Šviesoforinių perėjų įrengimas  Šilutės pl. ties Nr. 48 ir Nr. 62
</t>
        </r>
      </text>
    </comment>
    <comment ref="L203" authorId="0" shapeId="0">
      <text>
        <r>
          <rPr>
            <sz val="9"/>
            <color indexed="81"/>
            <rFont val="Tahoma"/>
            <family val="2"/>
            <charset val="186"/>
          </rPr>
          <t>Kasmet sąrašą teikia Keleivinis transportas</t>
        </r>
      </text>
    </comment>
    <comment ref="M203" authorId="0" shapeId="0">
      <text>
        <r>
          <rPr>
            <b/>
            <sz val="9"/>
            <color indexed="81"/>
            <rFont val="Tahoma"/>
            <family val="2"/>
            <charset val="186"/>
          </rPr>
          <t xml:space="preserve">Rūko g.–Jaunystės g. </t>
        </r>
        <r>
          <rPr>
            <sz val="9"/>
            <color indexed="81"/>
            <rFont val="Tahoma"/>
            <family val="2"/>
            <charset val="186"/>
          </rPr>
          <t xml:space="preserve">
</t>
        </r>
      </text>
    </comment>
    <comment ref="L207" authorId="0" shapeId="0">
      <text>
        <r>
          <rPr>
            <sz val="9"/>
            <color indexed="81"/>
            <rFont val="Tahoma"/>
            <family val="2"/>
            <charset val="186"/>
          </rPr>
          <t>Siekiant greičiau grąžinti žaliąsias rodykles, reikia atlikti transporto srautų analizės pirkimo procedūras. Reikalavimą atlikti analizę  įvedė Transporto kompetencijų agentūra.</t>
        </r>
      </text>
    </comment>
    <comment ref="E209" authorId="0" shapeId="0">
      <text>
        <r>
          <rPr>
            <b/>
            <sz val="9"/>
            <color indexed="81"/>
            <rFont val="Tahoma"/>
            <family val="2"/>
            <charset val="186"/>
          </rPr>
          <t>Tikslas</t>
        </r>
        <r>
          <rPr>
            <sz val="9"/>
            <color indexed="81"/>
            <rFont val="Tahoma"/>
            <family val="2"/>
            <charset val="186"/>
          </rPr>
          <t xml:space="preserve">
1. Parengti Klaipėdos miesto saugaus eismo strategiją „Vizija 0“ kartu su pasiekimų vertinimo rodikliais (KPI‘s) ir tipinių saugaus eismo priemonių aprašymais ir detalizavimu.
2. Kiekvienam įgyvendinamam susisiekimo infrastruktūros projektui atlikti eismo laidumo modeliavimą dėl poveikio laidumui, patogumui ir saugaus eismo auditui. 
</t>
        </r>
        <r>
          <rPr>
            <b/>
            <sz val="9"/>
            <color indexed="81"/>
            <rFont val="Tahoma"/>
            <family val="2"/>
            <charset val="186"/>
          </rPr>
          <t>Darbai:</t>
        </r>
        <r>
          <rPr>
            <sz val="9"/>
            <color indexed="81"/>
            <rFont val="Tahoma"/>
            <family val="2"/>
            <charset val="186"/>
          </rPr>
          <t xml:space="preserve">
1. Parengiama reali saugaus eismo strategija „Vizija 0“ su priemonių planu, kartu su siektinais KPI‘s. Taip pat parengiami tipiniai detalizuoti saugaus eismo sprendiniai:
2. Modeliai;
3. Saugaus eismo auditas
</t>
        </r>
      </text>
    </comment>
    <comment ref="L209" authorId="0" shapeId="0">
      <text>
        <r>
          <rPr>
            <sz val="9"/>
            <color indexed="81"/>
            <rFont val="Tahoma"/>
            <family val="2"/>
            <charset val="186"/>
          </rPr>
          <t>Modeliavimo paslauga apima  – Transporto srautų (probleminiuose kelių objektuose) matavimą realiu laiku, taikant inovatyvias technologijas, bei siekiant suvaldyti „kamščius“ mieste</t>
        </r>
      </text>
    </comment>
    <comment ref="F21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L212" authorId="0" shapeId="0">
      <text>
        <r>
          <rPr>
            <b/>
            <sz val="9"/>
            <color indexed="81"/>
            <rFont val="Tahoma"/>
            <family val="2"/>
            <charset val="186"/>
          </rPr>
          <t xml:space="preserve">7 greičio matuokliai 2020–2022 m. </t>
        </r>
        <r>
          <rPr>
            <sz val="9"/>
            <color indexed="81"/>
            <rFont val="Tahoma"/>
            <family val="2"/>
            <charset val="186"/>
          </rPr>
          <t xml:space="preserve">
</t>
        </r>
        <r>
          <rPr>
            <b/>
            <sz val="9"/>
            <color indexed="81"/>
            <rFont val="Tahoma"/>
            <family val="2"/>
            <charset val="186"/>
          </rPr>
          <t>1 sutartis</t>
        </r>
        <r>
          <rPr>
            <sz val="9"/>
            <color indexed="81"/>
            <rFont val="Tahoma"/>
            <family val="2"/>
            <charset val="186"/>
          </rPr>
          <t xml:space="preserve"> (2020-2022 m. - m.  po 59,4 tūkst. eur).  Įsigyjama paslauga kartu su 2 greičio matuokliais. Paslauga brangesnė. Matuokliai nebus savivaldybės turtas.
</t>
        </r>
        <r>
          <rPr>
            <b/>
            <sz val="9"/>
            <color indexed="81"/>
            <rFont val="Tahoma"/>
            <family val="2"/>
            <charset val="186"/>
          </rPr>
          <t>2 sutartis</t>
        </r>
        <r>
          <rPr>
            <sz val="9"/>
            <color indexed="81"/>
            <rFont val="Tahoma"/>
            <family val="2"/>
            <charset val="186"/>
          </rPr>
          <t xml:space="preserve"> (2019–2022 m. po 27,7 tūkst. eur). Įsigyta 2 pažangesnių nauji greičio matuoklių priežiūra. Savivaldybės turtas. Matuokliai pigesni, nes nauji.
</t>
        </r>
        <r>
          <rPr>
            <b/>
            <sz val="9"/>
            <color indexed="81"/>
            <rFont val="Tahoma"/>
            <family val="2"/>
            <charset val="186"/>
          </rPr>
          <t>3 sutartis</t>
        </r>
        <r>
          <rPr>
            <sz val="9"/>
            <color indexed="81"/>
            <rFont val="Tahoma"/>
            <family val="2"/>
            <charset val="186"/>
          </rPr>
          <t xml:space="preserve"> iki 2020-10 mėn. (reikalinga po 59,9 tūkst. eur). Planuojama nauja sutartis dėl 3 senų greičio matuoklių priežiūros. Savivaldybės turtas. Senų greičio matuoklių priežiūros kaina yra brangesnė.
</t>
        </r>
      </text>
    </comment>
    <comment ref="F216"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L216" authorId="0" shapeId="0">
      <text>
        <r>
          <rPr>
            <sz val="9"/>
            <color indexed="81"/>
            <rFont val="Tahoma"/>
            <family val="2"/>
            <charset val="186"/>
          </rPr>
          <t xml:space="preserve">Projekto metu vykdyti vieši renginiai darnaus judumo temomis, parengtas techninis projektas ir planuojama įsigyti dalį eismo valdymo sistemos įdiegimo rangos, planuojama įrengti 3 vnt. bendro tipo (25 vietų) dviračių saugyklas ir 1 vnt. individualaus tipo (10 vietų) dviračių saugyklą. </t>
        </r>
      </text>
    </comment>
    <comment ref="F217"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F218"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F221" authorId="0" shapeId="0">
      <text>
        <r>
          <rPr>
            <b/>
            <sz val="9"/>
            <color indexed="81"/>
            <rFont val="Tahoma"/>
            <family val="2"/>
            <charset val="186"/>
          </rPr>
          <t>P1,</t>
        </r>
        <r>
          <rPr>
            <sz val="9"/>
            <color indexed="81"/>
            <rFont val="Tahoma"/>
            <family val="2"/>
            <charset val="186"/>
          </rPr>
          <t xml:space="preserve"> 3.6.2. Diegiama koordinuotų eismo valdymo sistemų, vnt.</t>
        </r>
      </text>
    </comment>
    <comment ref="F223"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F224"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KEPS 3.3.4.</t>
        </r>
        <r>
          <rPr>
            <sz val="9"/>
            <color indexed="81"/>
            <rFont val="Tahoma"/>
            <family val="2"/>
            <charset val="186"/>
          </rPr>
          <t xml:space="preserve"> Formuoti pagrindinę greitojo viešojo transporto ašį, įrengiant tramvajaus sistemą ar įsigyjant kitų transporto alternatyvų </t>
        </r>
      </text>
    </comment>
    <comment ref="F225" authorId="0" shapeId="0">
      <text>
        <r>
          <rPr>
            <b/>
            <sz val="9"/>
            <color indexed="81"/>
            <rFont val="Tahoma"/>
            <family val="2"/>
            <charset val="186"/>
          </rPr>
          <t>KSP 2.1.2.5.</t>
        </r>
        <r>
          <rPr>
            <sz val="9"/>
            <color indexed="81"/>
            <rFont val="Tahoma"/>
            <family val="2"/>
            <charset val="186"/>
          </rPr>
          <t xml:space="preserve"> Sudaryti sąlygas naujų ekologiškų viešojo transporto rūšių atsiradimui
</t>
        </r>
      </text>
    </comment>
    <comment ref="F227"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P2</t>
        </r>
        <r>
          <rPr>
            <sz val="9"/>
            <color indexed="81"/>
            <rFont val="Tahoma"/>
            <family val="2"/>
            <charset val="186"/>
          </rPr>
          <t xml:space="preserve"> Klaipėdos miesto darnaus judumo planas (2018-09-13, T2-185);</t>
        </r>
      </text>
    </comment>
    <comment ref="L227" authorId="0" shapeId="0">
      <text>
        <r>
          <rPr>
            <b/>
            <sz val="9"/>
            <color indexed="81"/>
            <rFont val="Tahoma"/>
            <family val="2"/>
            <charset val="186"/>
          </rPr>
          <t>Rezultatai:</t>
        </r>
        <r>
          <rPr>
            <sz val="9"/>
            <color indexed="81"/>
            <rFont val="Tahoma"/>
            <family val="2"/>
            <charset val="186"/>
          </rPr>
          <t xml:space="preserve">
SPG ir miesto Tarybai pritarus sprendimo projektui, kartu su Projekto partneriais būtų rengiama Projekto paraiška, siekiant miestiečiams parodyti ekonominę ir socialinę darnaus judumo (mobilumo) naudą.
Klaipėdos miesto savivaldybė, dalyvaudama Projekte, tikisi koncentruotis į pagrindinių trijų sričių problematiką (tačiau ji gali būti papildyta, modifikuota pagal vietos veiklos grupės diskusijas):
1) saugumas viešose miesto erdvėse;
2) senamiesčio centrinė dalis bemotoriam transportui; 
3) gyventojų motyvavimas keisti mobilumo įpročius.
Numatomos šios pagrindinės Projekto veiklos:
- partnerių susitikimas problemų identifikavimui ir projekto veiklų įgyvendinimo aptarimas;
- vietos veiklos grupės iš skirtingų visuomenės grupių sudarymas ir jų įtraukties į diskusijų užtikrinimas;
- keitimasis gerąją praktika tarp Projekto partnerių;
- integruoto veiksmų plano rengimas; 
- veiklų viešinimas.
Klaipėdos miesto savivaldybės tarybai pritarus dalyvavimui Projekte partnerio teisėmis bei laimėjus paraiškų konkursą, Klaipėdos miesto savivaldybė prisidėtų prie Klaipėdos miesto darnaus judumo strateginių tikslų siekimo. 
Laukiamas galutinis Projekto rezultatas - kartu su užsienio partneriais, mokslo, vietos valdžios, verslo ir bendruomenių atstovais parengtas integruotas veiksmų planas (IAP) dėl ekonominės ir socialinės darnaus judumo priemonių įgyvendinimo Klaipėdos miesto naudos įvertinimo. 
</t>
        </r>
      </text>
    </comment>
    <comment ref="E230" authorId="0" shapeId="0">
      <text>
        <r>
          <rPr>
            <b/>
            <sz val="9"/>
            <color indexed="81"/>
            <rFont val="Tahoma"/>
            <family val="2"/>
            <charset val="186"/>
          </rPr>
          <t>Apie projektą SUMP_PLUS:</t>
        </r>
        <r>
          <rPr>
            <sz val="9"/>
            <color indexed="81"/>
            <rFont val="Tahoma"/>
            <family val="2"/>
            <charset val="186"/>
          </rPr>
          <t xml:space="preserve">
Klaipėdos miesto savivaldybė partnerio teisėmis dalyvauja ES komisijos programos „Horizon 2020“ finansuojamame projekte „Darnaus judumo planavimas: kryptys bei sąsajos urbanistinėje sistemoje (sustainable urban mobility planning: pathways and links to urban system (SUMP-PLUS)“ (toliau – Projektas) kartu su kitais Europos miestais: Alba Julija (Rumunija), Antverpenas (Belgija), Luka (Italija), Mančesteris (Jungtinė Karalystė), Platanija (Graikija). 
Projekto pradžia – 2019 m. rugsėjo 1 d.; tai trejų metų mokslinių tyrimų ir inovacijų projektas, skirtas spręsti darnaus judumo iššūkius. 
Projekto tikslas – paaiškinti, patarti bei pasidalinti savo patirtimi, žiniomis su kitais Europos miestais, kaip įgyvendinti darnaus judumo viziją bei priemones. Bendromis jėgomis surasti ir parodyti naujus partnerystės ir verslo modelius siekiant įgyvendini darnaus judumo tikslus.
</t>
        </r>
      </text>
    </comment>
    <comment ref="F23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P2</t>
        </r>
        <r>
          <rPr>
            <sz val="9"/>
            <color indexed="81"/>
            <rFont val="Tahoma"/>
            <family val="2"/>
            <charset val="186"/>
          </rPr>
          <t xml:space="preserve"> Klaipėdos miesto darnaus judumo planas (2018-09-13, T2-185);</t>
        </r>
      </text>
    </comment>
    <comment ref="L230" authorId="0" shapeId="0">
      <text>
        <r>
          <rPr>
            <b/>
            <sz val="9"/>
            <color indexed="81"/>
            <rFont val="Tahoma"/>
            <family val="2"/>
            <charset val="186"/>
          </rPr>
          <t>Projekto tikslai:</t>
        </r>
        <r>
          <rPr>
            <sz val="9"/>
            <color indexed="81"/>
            <rFont val="Tahoma"/>
            <family val="2"/>
            <charset val="186"/>
          </rPr>
          <t xml:space="preserve">
SUMP-PLUS pagrindiniai tikslai: 
• Plėtoti ir taikyti efektyvius būdus, metodus bei priemones miestams, susiduriantiems su sparčiu eismo augimu (susijusiu su automobilių nuosavybės ir naudojimo padidėjimu), kad jie galėtų nustatyti praktinį būdą kuris per tam tikrą laiką nustatytų kliūtis, kurios trukdo įgyvendinti darnaus judumo tikslus. 
• Parodyti, kaip miestai gali sukurti stipresnius ryšius su kitomis miesto sistemos sudedamosiomis dalimis, kurios sukuria judumo reikalavimus (švietimas, sveikata, mažmeninė prekyba, žemės naudojimo planavimas ir kt.). 
• Nustatyti ir parodyti naujus partnerystės ir verslo modelius, kurie leistų ekonomiškai efektyviai įgyvendinti įvairius judumo tikslus per tinkamas viešojo ir privataus sektoriaus partnerystes.
• Plačiai bendradarbiauti su miestiečiais, lankytojais ir įmonėmis, siekiant susitarti dėl miesto transporto vizijos ir bendrai kurti konkrečius sprendimus
</t>
        </r>
        <r>
          <rPr>
            <b/>
            <sz val="9"/>
            <color indexed="81"/>
            <rFont val="Tahoma"/>
            <family val="2"/>
            <charset val="186"/>
          </rPr>
          <t xml:space="preserve"> Projekto rezultatai:
</t>
        </r>
        <r>
          <rPr>
            <sz val="9"/>
            <color indexed="81"/>
            <rFont val="Tahoma"/>
            <family val="2"/>
            <charset val="186"/>
          </rPr>
          <t>• Klaipėdos miesto Darnaus judumo plano įgyvendinimo proceso stebėsena.
• Konkrečių priemonių įgyvendinimas.</t>
        </r>
        <r>
          <rPr>
            <b/>
            <sz val="9"/>
            <color indexed="81"/>
            <rFont val="Tahoma"/>
            <family val="2"/>
            <charset val="186"/>
          </rPr>
          <t xml:space="preserve">
</t>
        </r>
      </text>
    </comment>
    <comment ref="F233"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M233"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M234" authorId="0" shapeId="0">
      <text>
        <r>
          <rPr>
            <sz val="9"/>
            <color indexed="81"/>
            <rFont val="Tahoma"/>
            <family val="2"/>
            <charset val="186"/>
          </rPr>
          <t xml:space="preserve">Pagal ES projektą 2019-10 įrengtos 3 stotelės, 6 prieigos ir priežiūros paslauga. Elektrą apmoką savivaldybė už 5 prieigas
</t>
        </r>
        <r>
          <rPr>
            <b/>
            <sz val="9"/>
            <color indexed="81"/>
            <rFont val="Tahoma"/>
            <family val="2"/>
            <charset val="186"/>
          </rPr>
          <t>2020 m. 3 stotelės, 5 prieigos:</t>
        </r>
        <r>
          <rPr>
            <sz val="9"/>
            <color indexed="81"/>
            <rFont val="Tahoma"/>
            <family val="2"/>
            <charset val="186"/>
          </rPr>
          <t xml:space="preserve">
Taikos pr. 80 (2 vnt.);
Jūrininkų pr. 16 (2 vnt.)
S. Neries g. 16A (1 vnt.)
Savivaldybė 5 metus po stotelių įrengimo turi užtikrinti nemokamą elektromobilių įkrovimo paslaugų teikimą. Elektros išlaidos suplanuotos 7 programoje.
</t>
        </r>
      </text>
    </comment>
    <comment ref="N234" authorId="0" shapeId="0">
      <text>
        <r>
          <rPr>
            <sz val="9"/>
            <color indexed="81"/>
            <rFont val="Tahoma"/>
            <family val="2"/>
            <charset val="186"/>
          </rPr>
          <t xml:space="preserve">Pagal ES projektą 2019-10 įrengtos 3 stotelės, 6 prieigos ir priežiūros paslauga. Elektrą apmoką savivaldybė.
</t>
        </r>
        <r>
          <rPr>
            <b/>
            <sz val="9"/>
            <color indexed="81"/>
            <rFont val="Tahoma"/>
            <family val="2"/>
            <charset val="186"/>
          </rPr>
          <t>2020 m. 3 stotelės, 6 prieigos:</t>
        </r>
        <r>
          <rPr>
            <sz val="9"/>
            <color indexed="81"/>
            <rFont val="Tahoma"/>
            <family val="2"/>
            <charset val="186"/>
          </rPr>
          <t xml:space="preserve">
Taikos pr. 80 (2 vnt.);
Jūrininkų pr. 16 (2 vnt.)
S. Neries g. 16A (2 vnt.)
Savivaldybė 5 metus po stotelių įrengimo turi užtikrinti nemokamą elektromobilių įkrovimo paslaugų teikimą. Elektros išlaidos suplanuotos 7 programoje.
</t>
        </r>
      </text>
    </comment>
    <comment ref="F235"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M235" authorId="0" shapeId="0">
      <text>
        <r>
          <rPr>
            <b/>
            <sz val="9"/>
            <color indexed="81"/>
            <rFont val="Tahoma"/>
            <family val="2"/>
            <charset val="186"/>
          </rPr>
          <t>Įrenginiai;</t>
        </r>
        <r>
          <rPr>
            <sz val="9"/>
            <color indexed="81"/>
            <rFont val="Tahoma"/>
            <family val="2"/>
            <charset val="186"/>
          </rPr>
          <t xml:space="preserve"> Dviračių saugyklos:
Malūninkų g. 1
Dviračių skaičiuokliai:
prie p.c. Akropolis
prie "Atgimimo" stotelės
</t>
        </r>
      </text>
    </comment>
    <comment ref="I246" authorId="0" shapeId="0">
      <text>
        <r>
          <rPr>
            <b/>
            <sz val="9"/>
            <color indexed="81"/>
            <rFont val="Tahoma"/>
            <family val="2"/>
            <charset val="186"/>
          </rPr>
          <t xml:space="preserve">24364,5
</t>
        </r>
        <r>
          <rPr>
            <sz val="9"/>
            <color indexed="81"/>
            <rFont val="Tahoma"/>
            <family val="2"/>
            <charset val="186"/>
          </rPr>
          <t xml:space="preserve">
</t>
        </r>
      </text>
    </comment>
    <comment ref="I248" authorId="0" shapeId="0">
      <text>
        <r>
          <rPr>
            <b/>
            <sz val="9"/>
            <color indexed="81"/>
            <rFont val="Tahoma"/>
            <family val="2"/>
            <charset val="186"/>
          </rPr>
          <t>1900</t>
        </r>
      </text>
    </comment>
  </commentList>
</comments>
</file>

<file path=xl/sharedStrings.xml><?xml version="1.0" encoding="utf-8"?>
<sst xmlns="http://schemas.openxmlformats.org/spreadsheetml/2006/main" count="1976" uniqueCount="423">
  <si>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</si>
  <si>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</si>
  <si>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</si>
  <si>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</si>
  <si>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</si>
  <si>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</si>
  <si>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</si>
  <si>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</si>
  <si>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</si>
  <si>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</si>
  <si>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</si>
  <si>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</si>
  <si>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</si>
  <si>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</si>
  <si>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</si>
  <si>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</si>
  <si>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</si>
  <si>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</si>
  <si>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</si>
  <si>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</si>
  <si>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</si>
  <si>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</si>
  <si>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</si>
  <si>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</si>
  <si>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</si>
  <si>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</si>
  <si>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</si>
  <si>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</si>
  <si>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</si>
  <si>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</si>
  <si>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</si>
  <si>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</si>
  <si>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</si>
  <si>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</si>
  <si>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</si>
  <si>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</si>
  <si>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</si>
  <si>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</si>
  <si>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</si>
  <si>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</si>
  <si>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</si>
  <si>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</si>
  <si>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</si>
  <si>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</si>
  <si>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</si>
  <si>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</si>
  <si>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Transporto kompensacijų mokėjimas:</t>
  </si>
  <si>
    <t>Asfaltuotų daugiabučių kiemų dangų remontas</t>
  </si>
  <si>
    <t>Patikrinta viešojo transporto priemonių, tūkst. vnt.</t>
  </si>
  <si>
    <t>1</t>
  </si>
  <si>
    <t>Viešojo transporto paslaugų organizavimas:</t>
  </si>
  <si>
    <t xml:space="preserve">Iš viso  programai:  </t>
  </si>
  <si>
    <t>Pajūrio g.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</si>
  <si>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</si>
  <si>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</si>
  <si>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</si>
  <si>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</si>
  <si>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</si>
  <si>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</si>
  <si>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</si>
  <si>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</si>
  <si>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</si>
  <si>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</si>
  <si>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SB(VRL)</t>
  </si>
  <si>
    <t>P2.1.2.9</t>
  </si>
  <si>
    <t xml:space="preserve"> - vežėjams už lengvatas turinčių keleivių vežimą</t>
  </si>
  <si>
    <t xml:space="preserve"> - moksleiviams</t>
  </si>
  <si>
    <t xml:space="preserve"> - profesinių mokyklų moksleiviams</t>
  </si>
  <si>
    <t>Suženklinta gatvių, ha</t>
  </si>
  <si>
    <t>Eksploatuojama greičio matuoklių, vnt.</t>
  </si>
  <si>
    <t xml:space="preserve">Savivaldybės biudžetas, iš jo: </t>
  </si>
  <si>
    <t xml:space="preserve">Parengtas techninis projektas, vnt. </t>
  </si>
  <si>
    <t>Planas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</si>
  <si>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</si>
  <si>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</si>
  <si>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SB(ŽPL)</t>
  </si>
  <si>
    <t>SB(KPP)</t>
  </si>
  <si>
    <t>Kiemų ir privažiuojamųjų kelių  prie biudžetinių įstaigų dangos remontas</t>
  </si>
  <si>
    <t>Asfaltbetonio dangos, žvyruotos dangos ir akmenimis grįstų miesto gatvių dangos remontas</t>
  </si>
  <si>
    <t>Eismo reguliavimo infrastruktūros eksploatacija ir įrengimas</t>
  </si>
  <si>
    <t>Mokamo automobilių stovėjimo sistemos mieste kūrimas ir išlaikymas</t>
  </si>
  <si>
    <t>Eismo srautų reguliavimo ir saugumo priemonių įgyvendinimas:</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</si>
  <si>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</si>
  <si>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</si>
  <si>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</si>
  <si>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</si>
  <si>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</si>
  <si>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</si>
  <si>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Aiškinamojo rašto priedas Nr.3</t>
  </si>
  <si>
    <t>Klaipėdos miesto viešojo transporto švieslenčių ir informacinių švieslenčių įrengimas ir atnaujinimas</t>
  </si>
  <si>
    <t xml:space="preserve">Įrengta švieslenčių miesto autobusų stotelėse, vnt.  </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</si>
  <si>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</si>
  <si>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Įdiegta transporto valdymo sistema. Užbaigtumas, proc.</t>
  </si>
  <si>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</si>
  <si>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</si>
  <si>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</si>
  <si>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</si>
  <si>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</si>
  <si>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</si>
  <si>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Eksploatuojama bilietų automatų, vnt.</t>
  </si>
  <si>
    <t>Įrengtas naujas žvejų laivams skirtas slipas (aikštelė, skirta valtims nuleisti ir ištraukti iš vandens). Užbaigtumas, proc.</t>
  </si>
  <si>
    <t>Kompensuota bilietų moksleiviams, tūkst. vnt.</t>
  </si>
  <si>
    <t>Kompensuota bilietų profesinių mokyklų moksleiviams, tūkst. vnt.</t>
  </si>
  <si>
    <t>Atlikta rekonstravimo darbų. Užbaigtumas, proc.</t>
  </si>
  <si>
    <t>Atlikta gatvės (1374 m ) rekonstravimo darbų. Užbaigtumas, proc.</t>
  </si>
  <si>
    <t>Įstaigų, kurių kiemuose atlikta asfalto dangos remonto darbų, skaičius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</si>
  <si>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</si>
  <si>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</si>
  <si>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</si>
  <si>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</si>
  <si>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</si>
  <si>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 xml:space="preserve">Nuostolių kompensacijų mokėjimas: </t>
  </si>
  <si>
    <t>patirtų įgyvendinant ES Sanglaudos fondų finansuojamus ekologiškų viešojo transporto  priemonių įsigijimo projektus</t>
  </si>
  <si>
    <t>Parengta galimybių studija, vnt.</t>
  </si>
  <si>
    <t>2020-ieji metai</t>
  </si>
  <si>
    <t>Atlikta gatvės tiesimo darbų. Užbaigtumas, proc.</t>
  </si>
  <si>
    <r>
      <t xml:space="preserve">Programų lėšų likučių lėšos </t>
    </r>
    <r>
      <rPr>
        <b/>
        <sz val="10"/>
        <rFont val="Times New Roman"/>
        <family val="1"/>
        <charset val="186"/>
      </rPr>
      <t xml:space="preserve">SB(L) </t>
    </r>
  </si>
  <si>
    <t>2020 m.</t>
  </si>
  <si>
    <t>S. Šimkaus g.;</t>
  </si>
  <si>
    <t>Subsidijuojamų maršrutų skaičius:</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</si>
  <si>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</si>
  <si>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</si>
  <si>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</si>
  <si>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</si>
  <si>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10</t>
  </si>
  <si>
    <t>08</t>
  </si>
  <si>
    <t>Elektra varomo viešojo transporto naujų galimybių plėtra (DEPO), ELENA</t>
  </si>
  <si>
    <t>Parengtas tramvajaus ir elektrinių autobusų pirkimo strategijos dokumentų paketas, vnt.</t>
  </si>
  <si>
    <t>Įdiegta dviračių saugojimo (angl. bike-storing) sistema, vnt.</t>
  </si>
  <si>
    <t>Transporto skyrius</t>
  </si>
  <si>
    <t>Įrengta elektros įvadų švieslenčių įrengimui, vnt.</t>
  </si>
  <si>
    <t>Tauralaukio gyvenvietės gatvių rekonstravimas</t>
  </si>
  <si>
    <t xml:space="preserve">Naujo įvažiuojamojo kelio (Priešpilio g.) į piliavietę ir Kruizinių laivų terminalą tiesimas </t>
  </si>
  <si>
    <t xml:space="preserve">Joniškės g. rekonstravimas (II etapas – nuo Klemiškės g. iki Liepų g., Šienpjovių g.) </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</si>
  <si>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</si>
  <si>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</si>
  <si>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Sodų bendrija „Vaiteliai“–„Rasa“ kursavimas </t>
  </si>
  <si>
    <t xml:space="preserve">Atlikta gatvės rekonstravimo darbų. Užbaigtumas, proc.
</t>
  </si>
  <si>
    <t>Ekologiškų viešojo transporto priemonių, kuriomis važiuojant patiriami nuostoliai, vnt.</t>
  </si>
  <si>
    <t>Klaipėdos miestui priklausančių elektromobilių įkrovimo stotelių eksploatavimas ir priežiūra</t>
  </si>
  <si>
    <t>Senamiesčio grindinio atnaujinimas ir universalaus dizaino pritaikymas</t>
  </si>
  <si>
    <t>Įrengta neregių vedimo dangos autobusų stotelėse, vnt</t>
  </si>
  <si>
    <t>Lyginamasis variantas</t>
  </si>
  <si>
    <t>Paaiškinimas</t>
  </si>
  <si>
    <t>Skirtumas</t>
  </si>
  <si>
    <t>Klemiškės g. rekonstravimas</t>
  </si>
  <si>
    <t>SB(ES)</t>
  </si>
  <si>
    <t>2021-ųjų metų lėšų projektas</t>
  </si>
  <si>
    <t>2021-ieji metai</t>
  </si>
  <si>
    <t>Eksploatuojama elektromobilių įkrovimo stotelių, vnt.</t>
  </si>
  <si>
    <t>Atliktas poveikio aplinkai vertinimo dokumentas, vnt.</t>
  </si>
  <si>
    <t>I, P2</t>
  </si>
  <si>
    <t>P2</t>
  </si>
  <si>
    <t>Atlikta sankryžos rekonstravimo darbų. Užbaigtumas, proc.</t>
  </si>
  <si>
    <t>40</t>
  </si>
  <si>
    <t>Atlikta senamiesčio gatvių atnaujinimo darbų. Užbaigtumas, proc.</t>
  </si>
  <si>
    <t>Žvejybos produktų iškrovimo vietos prie jūros Klaipėdos miesto teritorijoje įrengimas</t>
  </si>
  <si>
    <t>LRVB</t>
  </si>
  <si>
    <t>8</t>
  </si>
  <si>
    <r>
      <t xml:space="preserve">Valstybės biudžeto specialiosios tikslinės dotacijos lėšos </t>
    </r>
    <r>
      <rPr>
        <b/>
        <sz val="10"/>
        <rFont val="Times New Roman"/>
        <family val="1"/>
        <charset val="186"/>
      </rPr>
      <t>SB(VB)</t>
    </r>
  </si>
  <si>
    <t>Atlikta eismo juostos įrengimo darbų. Užbaigtumas, proc.</t>
  </si>
  <si>
    <t>Maršrutas į LEZ teritoriją</t>
  </si>
  <si>
    <t>Naktinis maršrutas</t>
  </si>
  <si>
    <t>Išmokėta už 2018 m. gautą autobusų integracijos įrangą ir sistemą. Užbaigtumas, proc.</t>
  </si>
  <si>
    <t>Parengta projektų, vnt.</t>
  </si>
  <si>
    <t>2021 m.</t>
  </si>
  <si>
    <t>Prižiūrėta tiltų ir viadukų, vnt.</t>
  </si>
  <si>
    <t>Pėsčiųjų ir dviračių takų, šaligatvių (su dviračių takais) remonto bei įrengimo darbai</t>
  </si>
  <si>
    <t>Keleivinio transporto stotelių su įvažomis Klaipėdos miesto gatvėse projektavimas ir įrengimas</t>
  </si>
  <si>
    <t>Įrengtas įvažos pratęsimas, vnt.</t>
  </si>
  <si>
    <t xml:space="preserve">Neeksploatuojamų požeminių perėjų Šilutės pl. kapitalinis remontas </t>
  </si>
  <si>
    <t xml:space="preserve"> Miesto tvarkymo skyrius</t>
  </si>
  <si>
    <t>Tilžės g. nuo Šilutės pl. iki geležinkelio pervažos rekonstravimas, pertvarkant žiedinę Mokyklos g. ir Šilutės pl. sankryžą</t>
  </si>
  <si>
    <t>1,3</t>
  </si>
  <si>
    <t>1,8</t>
  </si>
  <si>
    <t>Suremontuota asfaltbetonio dangos duobių kiemuose, ha</t>
  </si>
  <si>
    <t>Atnaujinta šaligatvių miesto gatvėse, ha</t>
  </si>
  <si>
    <t>0,15</t>
  </si>
  <si>
    <t>Suremontuota gatvių akmens grindinio dangos  senamiesčio gatvėse, ha</t>
  </si>
  <si>
    <t>4,5</t>
  </si>
  <si>
    <t>Suremontuota šaligatvių (su dviračių takais), ha</t>
  </si>
  <si>
    <t>Atnaujinta dekoratyvinių kelio ženklų stovų, vnt.</t>
  </si>
  <si>
    <t>Nuostolingų maršrutų subsidijavimas priemiesčio ir miesto maršrutus aptarnaujantiems vežėjams</t>
  </si>
  <si>
    <t>Automatinės eismo priežiūros prietaisų eksploatacija</t>
  </si>
  <si>
    <r>
      <t xml:space="preserve">Kelių priežiūros ir plėtros programos lėšos įtrauktos į savivaldybės biudžetą </t>
    </r>
    <r>
      <rPr>
        <b/>
        <sz val="10"/>
        <rFont val="Times New Roman"/>
        <family val="1"/>
        <charset val="186"/>
      </rPr>
      <t>SB(KPP)</t>
    </r>
  </si>
  <si>
    <t>I, P2, P6</t>
  </si>
  <si>
    <t xml:space="preserve">Renginių, kurių metu keleiviams bus taikomos lengvatos, vnt. </t>
  </si>
  <si>
    <t>priedas</t>
  </si>
  <si>
    <t>Įrengta kintamos informacijos ženklų Prano Lideikio g. Užbaigtumas, proc.</t>
  </si>
  <si>
    <t>Smiltelės g. (ruožas nuo Taikos pr. iki Minijos g.);</t>
  </si>
  <si>
    <t>Vytauto g. (ruožas nuo S. Šimkaus g. iki Puodžių g.);</t>
  </si>
  <si>
    <t>Įvažiuojamųjų kelių atnaujinimas:</t>
  </si>
  <si>
    <t>Įvažiuojamojo kelio į Taikos pr. 101;</t>
  </si>
  <si>
    <t>Įvažiuojamojo kelio  į Debreceno g. 61</t>
  </si>
  <si>
    <t>Siūlomas keisti 2021-ųjų metų  lėšų projektas</t>
  </si>
  <si>
    <t xml:space="preserve">Klaipėdos miesto savivaldybės susisiekimo sistemos  priežiūros ir plėtros programos (Nr. 06) aprašymo             
</t>
  </si>
  <si>
    <t>Kompensuota bilietų pradinių klasių moksleivaims, tūkst. vnt.</t>
  </si>
  <si>
    <t>URBACT III projekto „Gyvos gatvės“ įgyvendinimas</t>
  </si>
  <si>
    <t>Atnaujinta senamiesčio dangų pritaikant neįgaliesiems, ha</t>
  </si>
  <si>
    <t>0,13</t>
  </si>
  <si>
    <t>Įgyvendintas projektas, vnt.</t>
  </si>
  <si>
    <t>Parengtas  techninis projektas (ruožas nuo Laivų skersgatvio iki Artojų g.), vnt.</t>
  </si>
  <si>
    <t>P6</t>
  </si>
  <si>
    <t>Medžiagų tyrimas ir kontroliniai bandymai, topografinių nuotraukų, išpildomųjų geodezinių nuotraukų įsigijimas, statinių projektų ekspertizių bei kitos inžinerinės paslaugos</t>
  </si>
  <si>
    <t>18</t>
  </si>
  <si>
    <t>50</t>
  </si>
  <si>
    <t>100</t>
  </si>
  <si>
    <t>Įgyvendintas projekto, vnt.</t>
  </si>
  <si>
    <t>Mėgėjų sodų teritorijoje savivaldybių institucijų valdomų kelių remontas</t>
  </si>
  <si>
    <t xml:space="preserve">Teatro ir Sukilėlių g. rekonstrukcija </t>
  </si>
  <si>
    <t>Senamiesčio gatvės</t>
  </si>
  <si>
    <t>2022-ieji metai</t>
  </si>
  <si>
    <t>2020-ųjų metų asignavimų planas</t>
  </si>
  <si>
    <t>2022-ųjų metų lėšų projektas</t>
  </si>
  <si>
    <t xml:space="preserve">2019–2022 M. KLAIPĖDOS MIESTO SAVIVALDYBĖS     </t>
  </si>
  <si>
    <t>7,2</t>
  </si>
  <si>
    <t>7,5</t>
  </si>
  <si>
    <t>Įdiegta paslauga. Užbaigtumas, proc.</t>
  </si>
  <si>
    <t>Parengta naujai įrengiamų šviesoforų projektų, vnt.</t>
  </si>
  <si>
    <t>Naujai įrengta šviesoforų, vnt.</t>
  </si>
  <si>
    <t>Objektų, kuriuose nagrinėjamas transporto srautų pasiskirstymas ir modeliavimo scenarijai, skaičius</t>
  </si>
  <si>
    <t>Žardininkų g.</t>
  </si>
  <si>
    <t>Parengtas techninis projektas, vnt</t>
  </si>
  <si>
    <t>2022 m.</t>
  </si>
  <si>
    <t>Mogiliovo gyvenamojo rajono gatvės (pagal poreikį remontuojamos kitos gatvės);</t>
  </si>
  <si>
    <t xml:space="preserve">Parengtas aprašas, vnt. </t>
  </si>
  <si>
    <t>Atlikta teritorijos paprastojo remonto darbų. Užbaigtumas, proc.</t>
  </si>
  <si>
    <t>0,8</t>
  </si>
  <si>
    <t>S. Daukanto g. nuo Šaulių g. iki J. Zauerveino g. kapitalinis remontas</t>
  </si>
  <si>
    <t>Atlikta gatvės kapitalinio remonto ir eismo juostos įrengimo darbų. Užbaigtumas, proc.</t>
  </si>
  <si>
    <t>Paprastojo remonto ir priežiūros darbų techninė priežiūra</t>
  </si>
  <si>
    <t>Atlikta techninė priežiūra, vnt.</t>
  </si>
  <si>
    <t>Gatvių tiesimas ir rekonstravimas:</t>
  </si>
  <si>
    <t>Danės g. rekonstravimas</t>
  </si>
  <si>
    <t>Šilutės plento ruožo nuo Tilžės g. iki geležinkelio pervažos (iki Kauno g.) rekonstrukcija (SM programa 06.2.1-TID-R-511 pr.Vietinių kelių vystymas)</t>
  </si>
  <si>
    <t>Įrengtas laikinas kelias (Lypkių pervažoje). Užbaigtumas, proc</t>
  </si>
  <si>
    <t>Atlikti elektros įrenginių iškėlimo ir apsaugos darbai. Užbaigtumas, proc.</t>
  </si>
  <si>
    <t>Įtraukta Lietuvos automobilių kelių direkcijos dalis pagal planuojamą pasirašyti bendradarbiavimo sutartį (lėšos detalizuotos pirkimo vertei pagrįsti)</t>
  </si>
  <si>
    <t>Dokumentacijos, reikalingos žemės perdavimo  naudotis savivaldybei procedūrų atlikimo, parengimas, vnt.</t>
  </si>
  <si>
    <t>Įrengta stotelių su įvažomis, vnt.</t>
  </si>
  <si>
    <t xml:space="preserve">Parengtas techninis projektas (Žvejų g., Teatro g., Sukilėlių g., Daržų g., Aukštoji g., Didžioji Vandens g., Vežėjų g.), vnt. </t>
  </si>
  <si>
    <t>Parengtas Tomo ir Pylimo g. techninis projektas, vnt.</t>
  </si>
  <si>
    <t>Įdiegta transporto (I etapas) valdymo sistema. Užbaigtumas, proc.</t>
  </si>
  <si>
    <t>Atlikta remonto darbų. Užbaigtumas, proc.</t>
  </si>
  <si>
    <t>Atlikta Dailės g. su projekto parengimu  remonto darbų. Užbaigtumas, proc.</t>
  </si>
  <si>
    <t>Atlikta Dienovidžio g. remonto darbų. Užbaigtumas, proc.</t>
  </si>
  <si>
    <t>P1</t>
  </si>
  <si>
    <t>P1, P6</t>
  </si>
  <si>
    <t>Lypkių pervažos įrengimas</t>
  </si>
  <si>
    <t>Kursuojančių ekologiškų elektrinių autobusų skaičius</t>
  </si>
  <si>
    <t>Mogiliovo gyvenamojo rajono gatvės (pagal poreikį viena iš šio gyvenamojo rajono gatvių);</t>
  </si>
  <si>
    <t>Atlikta kelio Taikos pr. 109 ir 101 atnaujinimo darbų. Užbaigtumas, proc.</t>
  </si>
  <si>
    <t>Atlikta kelio  į Debreceno g. 61 atnaujinimo darbų. Užbaigtumas, proc.</t>
  </si>
  <si>
    <t>2</t>
  </si>
  <si>
    <t>2.1.2.5</t>
  </si>
  <si>
    <t>2.1.2.10</t>
  </si>
  <si>
    <r>
      <rPr>
        <b/>
        <sz val="9"/>
        <rFont val="Times New Roman"/>
        <family val="1"/>
        <charset val="186"/>
      </rPr>
      <t xml:space="preserve">P2, </t>
    </r>
    <r>
      <rPr>
        <sz val="9"/>
        <rFont val="Times New Roman"/>
        <family val="1"/>
        <charset val="186"/>
      </rPr>
      <t>2.1.2.5</t>
    </r>
  </si>
  <si>
    <t>laikinai patirtų vykdant keleivinio kelių transporto viešųjų paslaugų vežant keleivius vietinio (miesto) reguliaraus susisiekimo autobusų maršrutais</t>
  </si>
  <si>
    <r>
      <rPr>
        <b/>
        <sz val="9"/>
        <rFont val="Times New Roman"/>
        <family val="1"/>
        <charset val="186"/>
      </rPr>
      <t xml:space="preserve">P2, </t>
    </r>
    <r>
      <rPr>
        <sz val="9"/>
        <rFont val="Times New Roman"/>
        <family val="1"/>
        <charset val="186"/>
      </rPr>
      <t xml:space="preserve"> P2.1.2.8</t>
    </r>
  </si>
  <si>
    <t>09</t>
  </si>
  <si>
    <t>Tauralaukio gatvės</t>
  </si>
  <si>
    <t>Darnaus judumo projektų įgyvendinimas:</t>
  </si>
  <si>
    <t>Parengtas planas, vnt.</t>
  </si>
  <si>
    <t>Viešojo transporto parko atnaujinimo veiksmų plano parengimas ir įgyvendinimas</t>
  </si>
  <si>
    <t>0,4</t>
  </si>
  <si>
    <t>Kursuojančių ekologiškų elektrinių autobusų skaičius, vnt.</t>
  </si>
  <si>
    <t xml:space="preserve">P1, P2 </t>
  </si>
  <si>
    <t>Įsigyti šviesoforų postų eismo valdymo įrendiniai, vnt.</t>
  </si>
  <si>
    <t>11</t>
  </si>
  <si>
    <t>12</t>
  </si>
  <si>
    <t>13</t>
  </si>
  <si>
    <t>14</t>
  </si>
  <si>
    <r>
      <t xml:space="preserve">P2.1.2.5,   </t>
    </r>
    <r>
      <rPr>
        <b/>
        <sz val="10"/>
        <rFont val="Times New Roman"/>
        <family val="1"/>
        <charset val="186"/>
      </rPr>
      <t>P6</t>
    </r>
  </si>
  <si>
    <t>Rekonstruoti, tiesti ir prižiūrėti gatves</t>
  </si>
  <si>
    <t>Atlikta įrengimo darbų. Užbaigtumas, proc.</t>
  </si>
  <si>
    <t xml:space="preserve">Transporto (eismo) valdymo sistemos diegimas </t>
  </si>
  <si>
    <t>Naujo tilto su pakeliamu mechanizmu per Danę statybos dokumentacijos parengimas</t>
  </si>
  <si>
    <t xml:space="preserve"> Projektų skyrius </t>
  </si>
  <si>
    <t>Žemėtvarkos skyrius</t>
  </si>
  <si>
    <t>Statybos ir infrastruktūros plėtros skyrius</t>
  </si>
  <si>
    <t xml:space="preserve">Projektų skyrius </t>
  </si>
  <si>
    <t>Miesto tvarkymo skyrius</t>
  </si>
  <si>
    <t>I, P1</t>
  </si>
  <si>
    <t>I, P1 P2</t>
  </si>
  <si>
    <t>Projekto „Darnaus judumo planavimas: bendradarbiavimas bei ryšiai urbanistinėje sistemoje (SUMP- PLUS)“ įgyvendinimas</t>
  </si>
  <si>
    <t>Projektų skyrius</t>
  </si>
  <si>
    <t xml:space="preserve"> Transporto skyrius</t>
  </si>
  <si>
    <t xml:space="preserve">Atlikta kitų gatvių  remonto darbų. Užbaigtumas, proc. </t>
  </si>
  <si>
    <t xml:space="preserve"> Ištisinio asfaltbetonio dangos įrengimas: </t>
  </si>
  <si>
    <t>Transporto srautų modeliavimas</t>
  </si>
  <si>
    <t>3</t>
  </si>
  <si>
    <t>4</t>
  </si>
  <si>
    <t>7</t>
  </si>
  <si>
    <t xml:space="preserve">2020–2022 M. KLAIPĖDOS MIESTO SAVIVALDYBĖS     </t>
  </si>
  <si>
    <t>P</t>
  </si>
  <si>
    <t>P,  P2</t>
  </si>
  <si>
    <t>Laikino kelio (Lypkių pervažoje) įrengimas</t>
  </si>
  <si>
    <t xml:space="preserve">2020 m. </t>
  </si>
  <si>
    <t>P, P2</t>
  </si>
  <si>
    <t>P, P6</t>
  </si>
  <si>
    <t>Koreguotas techninis projektas, vnt.</t>
  </si>
  <si>
    <t>Paklota ištisinio asfaltbetonio dangos (2022 m. bus planujamas naujas poreikis), ha</t>
  </si>
  <si>
    <t>Įrengtas laikinas kelias (Lypkių pervažoje). Užbaigtumas, proc.</t>
  </si>
  <si>
    <t>Gatvės ir pėsčiųjų bei dviračių takų įrengimas prisidedant prie BĮ Lietuvos jūrų muziejaus projekto „Baltijos jūros gyvūnų reabilitacinis centras“  įgyvendinimo</t>
  </si>
  <si>
    <t xml:space="preserve"> - papildomoms socialinėms grupėms</t>
  </si>
  <si>
    <t>Socialinių grupių, kurioms taikoma 99 proc. nuolaida, skaičius</t>
  </si>
  <si>
    <t>SB(ESA)</t>
  </si>
  <si>
    <r>
      <t xml:space="preserve">Savivaldybės biudžeto apyvartos lėšos Europos Sąjungos finansinės paramos programų laikinam lėšų stygiui dengti </t>
    </r>
    <r>
      <rPr>
        <b/>
        <sz val="10"/>
        <rFont val="Times New Roman"/>
        <family val="1"/>
        <charset val="186"/>
      </rPr>
      <t xml:space="preserve"> SB(ESA)</t>
    </r>
  </si>
  <si>
    <t>SB(VB)</t>
  </si>
  <si>
    <t>15</t>
  </si>
  <si>
    <t>16</t>
  </si>
  <si>
    <t>17</t>
  </si>
  <si>
    <t>19</t>
  </si>
  <si>
    <t>20</t>
  </si>
  <si>
    <t>21</t>
  </si>
  <si>
    <t>22</t>
  </si>
  <si>
    <t>23</t>
  </si>
  <si>
    <t>24</t>
  </si>
  <si>
    <t>25</t>
  </si>
  <si>
    <t>26</t>
  </si>
  <si>
    <t>27</t>
  </si>
  <si>
    <t>28</t>
  </si>
  <si>
    <t>29</t>
  </si>
  <si>
    <t>30</t>
  </si>
  <si>
    <t>31</t>
  </si>
  <si>
    <t>32</t>
  </si>
  <si>
    <t>Sankryžų skaičius, kuriose atliktos transporto srautų analizės, vnt.</t>
  </si>
  <si>
    <t>Parengtas techninis projektas (ruožas nuo Laivų skg. iki Artojų g.), vnt.</t>
  </si>
  <si>
    <t>Klaipėdos miesto gatvių rekonstravimas bendromis savivaldybės ir privačių asmenų lėšomis</t>
  </si>
  <si>
    <t>Eismo juostos, skirtos iš Prano Lideikio g. pasukti į H. Manto gatvę, įrengimas</t>
  </si>
  <si>
    <t>Įrengtas Smiltynės g. ruožas su dviračių ir pėsčiųjų takais, proc.</t>
  </si>
  <si>
    <t>Joniškės g. (neremontuotas ruožas šalia Klaipėdos baldų įmonės iki Bangų g.);</t>
  </si>
  <si>
    <t>H. Manto (labiausiai pažeisti ruožai, vietos);</t>
  </si>
  <si>
    <t>Šilutės plento senasis ruožas (projektavimas);</t>
  </si>
  <si>
    <t>Įrengtas Smiltynės g. ruožas su dviračių ir pėsčiųjų takais. Užbaigtumas, proc.</t>
  </si>
  <si>
    <t>H. Manto (labiausiai pažeisti ruoži, vietos);</t>
  </si>
  <si>
    <t>Šilutės pl. senasis ruožas;</t>
  </si>
  <si>
    <t>Vingio g. (ruožas nuo Smiltelės g. iki Šilutės pl.);</t>
  </si>
  <si>
    <t>Šilutės pl. senasis ruožasa;</t>
  </si>
  <si>
    <t>Gatvių sarašas bus sudaromas po gatvių apžiūrų 2021–2022 m.</t>
  </si>
  <si>
    <t xml:space="preserve">Šalia Klaipėdos Simono Dacho progimnazijos esančio Jūrininkų tako gatvės pailginimas </t>
  </si>
  <si>
    <t>Vilniaus dailės akademijos Klaipėdos fakulteto teritorijos sutvarkymas</t>
  </si>
  <si>
    <t>Įvažiuojamojo kelio ir šalia esančio skvero į Taikos pr. 109 ;</t>
  </si>
  <si>
    <t>Transporto balso funkcijos, skirtos regėjimo negalią turintiems žmonėms, įdiegimas</t>
  </si>
  <si>
    <r>
      <t>Įvažos pratęsimo Naujojo turgaus autobusų stotelėje įrengimas (</t>
    </r>
    <r>
      <rPr>
        <i/>
        <sz val="10"/>
        <rFont val="Times New Roman"/>
        <family val="1"/>
        <charset val="186"/>
      </rPr>
      <t>kryptis į pietinę miesto dalį</t>
    </r>
    <r>
      <rPr>
        <sz val="10"/>
        <rFont val="Times New Roman"/>
        <family val="1"/>
        <charset val="186"/>
      </rPr>
      <t xml:space="preserve">)  </t>
    </r>
  </si>
  <si>
    <r>
      <t>Įvažos pratęsimo Naujojo turgaus autobusų stotelėjeįrengimas (</t>
    </r>
    <r>
      <rPr>
        <i/>
        <sz val="10"/>
        <rFont val="Times New Roman"/>
        <family val="1"/>
        <charset val="186"/>
      </rPr>
      <t>kryptis į pietinę miesto dalį</t>
    </r>
    <r>
      <rPr>
        <sz val="10"/>
        <rFont val="Times New Roman"/>
        <family val="1"/>
        <charset val="186"/>
      </rPr>
      <t xml:space="preserve">)  </t>
    </r>
  </si>
  <si>
    <t>Transporto srautų analizė, skirta žaliųjų rodyklių grąžinimui</t>
  </si>
  <si>
    <t>Projekto „Darnaus judumo planavimas: bendradarbiavimas bei ryšiai urbanistinėje sistemoje (SUMP-PLUS)“ įgyvendinimas</t>
  </si>
  <si>
    <t>Eksploatuojama elektromobilių įkrovimo stotelių, įrengtų pagal ES projektą, vnt.</t>
  </si>
  <si>
    <t>Siūlomas keisti 2022-ųjų metų  lėšų projektas</t>
  </si>
  <si>
    <t>Siūlomas keisti 2020-ųjų metų asignavimų planas</t>
  </si>
  <si>
    <t>Atlikta gatvės rekonstravimo darbų. Užbaigtumas, proc.</t>
  </si>
  <si>
    <t>Siūlomas keisti 2021-ųjų metų lėšų projektas</t>
  </si>
  <si>
    <t>Siūlomas keisti 2022-ųjų metų lėšų projektas</t>
  </si>
  <si>
    <t>1,2</t>
  </si>
  <si>
    <t>Teikiamų paslaugų skaičius, vnt.</t>
  </si>
  <si>
    <t>Dezinfekavimo paslaugų užtikrinimas organizuojant keleivių vežimą miesto ir priemiesčio maršrutais ekstremalios situacijos metu</t>
  </si>
  <si>
    <t>Dezinfekavimo paslaugų užtikrinimas organizuojant keleivių vežimą miesot ir priemiesčio maršrutais ekstremalios situacijos metu</t>
  </si>
  <si>
    <t>KPP</t>
  </si>
  <si>
    <r>
      <t xml:space="preserve">Planuojamos kelių priežiūros ir plėtros programos lėšos </t>
    </r>
    <r>
      <rPr>
        <b/>
        <sz val="10"/>
        <rFont val="Times New Roman"/>
        <family val="1"/>
        <charset val="186"/>
      </rPr>
      <t>KPP</t>
    </r>
  </si>
  <si>
    <t>Ekonominės plėtros grupė</t>
  </si>
  <si>
    <t xml:space="preserve">Uostamiesčiai: darnaus judumo principų integravimas (PORT Cities: Integrating Sustainability, PORTIS) </t>
  </si>
  <si>
    <t>patirtų vykdant keleivinio kelių transporto viešųjų paslaugų vežant keleivius vietinio (miesto) reguliaraus susisiekimo autobusų maršrutais</t>
  </si>
  <si>
    <t>Įsakymas 04-23</t>
  </si>
  <si>
    <t>Dviračių įrenginių priežiūra</t>
  </si>
  <si>
    <t>Prižiūrima dviračių įrenginių (dviračių saugyklų ir skaičiuoklių), vnt.</t>
  </si>
  <si>
    <t xml:space="preserve">2  </t>
  </si>
  <si>
    <t>Įsakymai 04-23, 05-21</t>
  </si>
  <si>
    <t>Įsakymas 05-21</t>
  </si>
  <si>
    <r>
      <t>patirtų įgyvendinant ES Sanglaudos fondų finansuojamus ekologiškų viešojo transporto  priemonių įsigijimo projektus</t>
    </r>
    <r>
      <rPr>
        <sz val="10"/>
        <color rgb="FFFF0000"/>
        <rFont val="Times New Roman"/>
        <family val="1"/>
        <charset val="186"/>
      </rPr>
      <t xml:space="preserve"> </t>
    </r>
  </si>
  <si>
    <t>patirtų dėl naudojamų transporto priemonių pakeitimo ekologiškomis viešojo transporto priemonėmis</t>
  </si>
  <si>
    <r>
      <t xml:space="preserve"> </t>
    </r>
    <r>
      <rPr>
        <b/>
        <sz val="10"/>
        <rFont val="Times New Roman"/>
        <family val="1"/>
        <charset val="186"/>
      </rPr>
      <t>P6</t>
    </r>
  </si>
  <si>
    <t>95</t>
  </si>
  <si>
    <t>90</t>
  </si>
  <si>
    <t>Maršrutų, kuriais kursuoja elektriniai autobusai skaičius</t>
  </si>
  <si>
    <t>35</t>
  </si>
  <si>
    <t>Maršrutų, kuriais kursuoja elektriniai autobusai, skaičius</t>
  </si>
  <si>
    <t>75</t>
  </si>
  <si>
    <t>5,5</t>
  </si>
  <si>
    <t>2,4</t>
  </si>
  <si>
    <t>0</t>
  </si>
  <si>
    <t>SB(L)'</t>
  </si>
  <si>
    <t>0,58</t>
  </si>
  <si>
    <r>
      <rPr>
        <strike/>
        <sz val="10"/>
        <color rgb="FFFF0000"/>
        <rFont val="Times New Roman"/>
        <family val="1"/>
        <charset val="186"/>
      </rPr>
      <t>100</t>
    </r>
    <r>
      <rPr>
        <sz val="10"/>
        <color rgb="FFFF0000"/>
        <rFont val="Times New Roman"/>
        <family val="1"/>
        <charset val="186"/>
      </rPr>
      <t xml:space="preserve">  0</t>
    </r>
  </si>
  <si>
    <t>SB(KPP)'</t>
  </si>
  <si>
    <t>SB'</t>
  </si>
  <si>
    <t>KVJUD'</t>
  </si>
  <si>
    <r>
      <rPr>
        <strike/>
        <sz val="10"/>
        <color rgb="FFFF0000"/>
        <rFont val="Times New Roman"/>
        <family val="1"/>
        <charset val="186"/>
      </rPr>
      <t xml:space="preserve">75 </t>
    </r>
    <r>
      <rPr>
        <sz val="10"/>
        <color rgb="FFFF0000"/>
        <rFont val="Times New Roman"/>
        <family val="1"/>
        <charset val="186"/>
      </rPr>
      <t xml:space="preserve">  90</t>
    </r>
  </si>
  <si>
    <r>
      <rPr>
        <strike/>
        <sz val="10"/>
        <color rgb="FFFF0000"/>
        <rFont val="Times New Roman"/>
        <family val="1"/>
        <charset val="186"/>
      </rPr>
      <t>100</t>
    </r>
    <r>
      <rPr>
        <sz val="10"/>
        <color rgb="FFFF0000"/>
        <rFont val="Times New Roman"/>
        <family val="1"/>
        <charset val="186"/>
      </rPr>
      <t xml:space="preserve"> 90</t>
    </r>
  </si>
  <si>
    <t>SB(ŽPL)'</t>
  </si>
  <si>
    <r>
      <rPr>
        <strike/>
        <sz val="10"/>
        <color rgb="FFFF0000"/>
        <rFont val="Times New Roman"/>
        <family val="1"/>
        <charset val="186"/>
      </rPr>
      <t>70</t>
    </r>
    <r>
      <rPr>
        <sz val="10"/>
        <color rgb="FFFF0000"/>
        <rFont val="Times New Roman"/>
        <family val="1"/>
        <charset val="186"/>
      </rPr>
      <t xml:space="preserve">     0</t>
    </r>
  </si>
  <si>
    <r>
      <rPr>
        <strike/>
        <sz val="10"/>
        <color rgb="FFFF0000"/>
        <rFont val="Times New Roman"/>
        <family val="1"/>
        <charset val="186"/>
      </rPr>
      <t>70</t>
    </r>
    <r>
      <rPr>
        <sz val="10"/>
        <color rgb="FFFF0000"/>
        <rFont val="Times New Roman"/>
        <family val="1"/>
        <charset val="186"/>
      </rPr>
      <t xml:space="preserve"> 100</t>
    </r>
  </si>
  <si>
    <t>SB(ES)'</t>
  </si>
  <si>
    <t>Kt'</t>
  </si>
  <si>
    <t>2,6</t>
  </si>
  <si>
    <t>5,2</t>
  </si>
  <si>
    <t>5,3</t>
  </si>
  <si>
    <t>Įgyvendintas projekto etapas, vnt.</t>
  </si>
  <si>
    <t>6,0</t>
  </si>
  <si>
    <t>2,0</t>
  </si>
  <si>
    <t>SB(VB)'</t>
  </si>
  <si>
    <t>LRVB'</t>
  </si>
  <si>
    <t>70</t>
  </si>
  <si>
    <r>
      <t xml:space="preserve">Siūloma </t>
    </r>
    <r>
      <rPr>
        <b/>
        <u/>
        <sz val="10"/>
        <rFont val="Times New Roman"/>
        <family val="1"/>
        <charset val="186"/>
      </rPr>
      <t>mažinti</t>
    </r>
    <r>
      <rPr>
        <sz val="10"/>
        <rFont val="Times New Roman"/>
        <family val="1"/>
        <charset val="186"/>
      </rPr>
      <t xml:space="preserve"> finansavimo apimtį 1,8 tūkst. Eur dviračių įrenginių priežiūrai dėl viešųjų pirkimų metu sutaupytų lėšų. </t>
    </r>
  </si>
  <si>
    <t>Statybininkų prospekto tęsinio tiesimas nuo Šilutės pl. per LEZ teritoriją iki 141 kelio: II etapas – Lypkių gatvės ruožo nuo Šilutės plento tiesimas</t>
  </si>
  <si>
    <t>Atlikta darbų. Užbaigtumas, proc.</t>
  </si>
  <si>
    <t>Siūloma spartinti papriemonės įgyvendinimą, atitinkamai suplanuojant didesnę lėšų apimtį 2020 m.: 35,0 tūkst. Eur (SB(KPP)) ir 90,6 tūkst. Eur SB(ES)   (pagal rangovo pateiktą rangos darbų grafiką)</t>
  </si>
  <si>
    <t>Reikalinga numatyti 500,0 tūkst. Eur (finansavimo šaltinis - SB(KPP)) Joniškės g. rekonstravimui, nes gautos papildomos lėšos pagal  LR Susisiekimo ministro 2020-08-03 įsakymu Nr.3-453  „Dėl ekonomikos skatinimo ir koronaviruso (COVID-19) plitimo sukeltų pasekmių mažinimo priemonių plano lėšų paskirstymo pėsčiųjų ir dviračių takams bei kitoms kelių saugumo priemonėms  įrengti". Taip pat siūloma sumažinti finansavimo apimtis iš kitų šaltinių, nes planuojama, kad šiam projektui LAKD kompensavimo būdu  grąžins 491,1 tūkst. Eur, tinkamų finansuoti KPP lėšomis.</t>
  </si>
  <si>
    <t xml:space="preserve">Siūloma pakeisti vertinimo kriterijų reikšmes, nes projektą numatoma įgyvendinti (projektą įgyvendina LAKD ir taisymai daromi pagal šios institucijos pateiktą darbų grafiką) anksčiau nei planuota (pabaiga 2021 m.) ir atitinkamai numatyti  lėšų poreikį 2020-2021 m. </t>
  </si>
  <si>
    <t>Siūloma spartinti projekto įgyvendinimą ir 2020 m. atlikti darbų daugiau, nei planuota bei atitinkamai suplanuoti finansavimo apimtis (taip pat  didinamas finansavimo intensyvumas ES lėšomis)</t>
  </si>
  <si>
    <t xml:space="preserve"> Siūloma spartinti projekto įgyvendinimą - visus darbus planuojama atlikti šiais metais. Papildoma 10,0 tūkst. Eur suma reikalinga elektros tinklų iškėlimui. </t>
  </si>
  <si>
    <t>Siūloma tikslinti vertinimo kriterijų reikšmes (Dailės g. užbaigimą numatant 2020 m., o Dienovidžio g. - 2021 m.). Taip pat siūloma sumažinti finansavimo apimtis 2020 m. bei atitinkamai padidinti 2021 m. dėl neįvykusių viešųjų pirkimų Dienovidžio g. remonto darbams</t>
  </si>
  <si>
    <t xml:space="preserve">. </t>
  </si>
  <si>
    <t>Siūloma sumažinti papriemonės finansavimo apimtį, nes sutaupyta viešųjų pirkimų metu</t>
  </si>
  <si>
    <t xml:space="preserve">Rodiklis didinamas dėl papildomo šaligatvių remonto įvairiose miesto dalyse. </t>
  </si>
  <si>
    <t>Rodiklis mažinamas, nes nebaigti darbai Žaliakalnio gimnazijos viduje trukdo atlikti vidinio kiemo trinkelių remontą.</t>
  </si>
  <si>
    <t>Siūloma koreguoti vertinimo kriterijaus reikšmę,  nes techninis darbo projektas bus parengtas vėliau nei planuota</t>
  </si>
  <si>
    <r>
      <t xml:space="preserve">Siūloma </t>
    </r>
    <r>
      <rPr>
        <b/>
        <u/>
        <sz val="10"/>
        <rFont val="Times New Roman"/>
        <family val="1"/>
        <charset val="186"/>
      </rPr>
      <t xml:space="preserve">didinti </t>
    </r>
    <r>
      <rPr>
        <sz val="10"/>
        <rFont val="Times New Roman"/>
        <family val="1"/>
        <charset val="186"/>
      </rPr>
      <t>finansavimo apimtį priemonei: 1)  75,2 tūkst. Eur eismo reguliavimo infrastruktūros eksploatacijai ir įrengimui dėl didesnio prižiūrimų šviesoforų  kiekio bei didesnių sąskaitų už elektros energiją; 2) 15,0 tūkst Eur miesto gatvių ženklinimui  Naujojo Sodo ir Taikos pr. gatvėse.</t>
    </r>
    <r>
      <rPr>
        <strike/>
        <sz val="10"/>
        <color rgb="FFFF0000"/>
        <rFont val="Times New Roman"/>
        <family val="1"/>
        <charset val="186"/>
      </rPr>
      <t/>
    </r>
  </si>
  <si>
    <t xml:space="preserve">Siūloma 2020 m. sukeisti finansavimo šaltinius, numatant anksčiau planuotas KVJUD lėšas kitam objektui ir kompensuojant SB lėšomis. 2021-2022 m. koreguojamas lėšų planas, nes planuojama pasirašyti finansavimo sutartį su KVJUD, todėl mažinamos KPP lėšos. </t>
  </si>
  <si>
    <t xml:space="preserve">Kadangi yra pateikta paraiška Ateities ekonomikos DNR planui bei vyksta derybos su valstybinėmis institucijomis dėl finansavimo skyrimo, siūloma įtraukti papriemonę "Statybininkų prospekto tęsinio tiesimas nuo Šilutės pl. per LEZ teritoriją iki 141 kelio: II etapas – Lypkių gatvės ruožo nuo Šilutės plento tiesimas" ir numatyti 752,1 tūkst. Eur  2020 m. bei 1378,9 tūkst. Eur 2021 m. SB lėšų ESO tinklų iškėlimui bei kitiems darbams. Projekto įgyvendinimui planuojamos LRVB lėšos. </t>
  </si>
  <si>
    <r>
      <t xml:space="preserve">Siūloma </t>
    </r>
    <r>
      <rPr>
        <b/>
        <u/>
        <sz val="10"/>
        <rFont val="Times New Roman"/>
        <family val="1"/>
        <charset val="186"/>
      </rPr>
      <t xml:space="preserve">didinti priemonės </t>
    </r>
    <r>
      <rPr>
        <sz val="10"/>
        <rFont val="Times New Roman"/>
        <family val="1"/>
        <charset val="186"/>
      </rPr>
      <t>finansavimo apimtį 408,2 tūkst. Eur nuostolių kompensacijų mokėjimui, patirtų vykdant keleivinio kelių transporto viešųjų paslaugų vežant keleivius vietinio (miesto) reguliaraus susisiekimo autobusų maršrutais. Nuostoliai susidarė dėl COVID-19 plitimo metu sumažėjusių keleivių srautų.</t>
    </r>
  </si>
  <si>
    <t>2021-2022 m. projekto vertė didėja, atsižvelgiant į parengtų techninių darbo projektų skaičiavimus.</t>
  </si>
  <si>
    <t>Siūloma numatyti spartesnį projekto įgyvendinimą - 2020 m. atlikti 70 proc. Klaipėdos ir Virkučių g. rekonstravimo darbų. Atitinkamai suplanuoti lėšas 2020-2021  m.: 150,0 tūkst. Eur gautos lėšos pagal patikslintą finansavimą LR  Susisiekimo ministro  2020-08-03 įsakymą Nr.3-452  „Dėl ekonomikos skatinimo ir koronaviruso (COVID-19) plitimo sukeltų pasekmių mažinimo priemonių plano lėšų paskirstymo gyvenvietėse esantiems ir gyvenvietes jungiantiems keliams (gatvėms) su žvyro danga asfaltuoti " ir 250,0 tūkst. Eur (SB(L)) gatvių rekonstravimo spartinimui.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</si>
</sst>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
    <numFmt numFmtId="166" formatCode="[$-409]General"/>
    <numFmt numFmtId="167" formatCode="0.0"/>
  </numFmts>
  <fonts count="37" x14ac:knownFonts="1">
    <font>
      <sz val="10"/>
      <name val="Arial"/>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10"/>
      <color rgb="FFFF0000"/>
      <name val="Times New Roman"/>
      <family val="1"/>
      <charset val="186"/>
    </font>
    <font>
      <sz val="7"/>
      <name val="Arial"/>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b/>
      <i/>
      <sz val="10"/>
      <name val="Times New Roman"/>
      <family val="1"/>
      <charset val="186"/>
    </font>
    <font>
      <sz val="10"/>
      <color rgb="FF1F497D"/>
      <name val="Times New Roman"/>
      <family val="1"/>
      <charset val="186"/>
    </font>
    <font>
      <sz val="12"/>
      <name val="Times New Roman"/>
      <family val="1"/>
      <charset val="186"/>
    </font>
    <font>
      <b/>
      <sz val="10"/>
      <color theme="1"/>
      <name val="Times New Roman"/>
      <family val="1"/>
      <charset val="186"/>
    </font>
    <font>
      <sz val="8"/>
      <color indexed="81"/>
      <name val="Tahoma"/>
      <family val="2"/>
      <charset val="186"/>
    </font>
    <font>
      <sz val="10"/>
      <name val="Times New Roman"/>
      <family val="1"/>
    </font>
    <font>
      <b/>
      <sz val="8"/>
      <color indexed="81"/>
      <name val="Tahoma"/>
      <family val="2"/>
      <charset val="186"/>
    </font>
    <font>
      <b/>
      <sz val="11"/>
      <name val="Calibri"/>
      <family val="2"/>
      <charset val="186"/>
      <scheme val="minor"/>
    </font>
    <font>
      <b/>
      <sz val="10"/>
      <name val="Arial"/>
      <family val="2"/>
      <charset val="186"/>
    </font>
    <font>
      <sz val="11"/>
      <color rgb="FF000000"/>
      <name val="Calibri"/>
      <family val="2"/>
      <charset val="186"/>
    </font>
    <font>
      <b/>
      <i/>
      <sz val="8"/>
      <name val="Times New Roman"/>
      <family val="1"/>
      <charset val="186"/>
    </font>
    <font>
      <sz val="9"/>
      <name val="Arial"/>
      <family val="2"/>
      <charset val="186"/>
    </font>
    <font>
      <b/>
      <i/>
      <sz val="9"/>
      <color indexed="81"/>
      <name val="Tahoma"/>
      <family val="2"/>
      <charset val="186"/>
    </font>
    <font>
      <strike/>
      <sz val="10"/>
      <color rgb="FFFF0000"/>
      <name val="Times New Roman"/>
      <family val="1"/>
      <charset val="186"/>
    </font>
    <font>
      <sz val="10"/>
      <color theme="1"/>
      <name val="Times New Roman"/>
      <family val="1"/>
      <charset val="186"/>
    </font>
    <font>
      <b/>
      <u/>
      <sz val="10"/>
      <name val="Times New Roman"/>
      <family val="1"/>
      <charset val="186"/>
    </font>
    <font>
      <sz val="10"/>
      <color rgb="FF0070C0"/>
      <name val="Times New Roman"/>
      <family val="1"/>
      <charset val="186"/>
    </font>
    <font>
      <b/>
      <sz val="8"/>
      <color rgb="FFFF0000"/>
      <name val="Times New Roman"/>
      <family val="1"/>
      <charset val="186"/>
    </font>
    <font>
      <b/>
      <sz val="10"/>
      <color rgb="FFFF0000"/>
      <name val="Times New Roman"/>
      <family val="1"/>
      <charset val="186"/>
    </font>
    <font>
      <b/>
      <sz val="10"/>
      <color rgb="FF0070C0"/>
      <name val="Times New Roman"/>
      <family val="1"/>
      <charset val="186"/>
    </font>
  </fonts>
  <fills count="14">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thin">
        <color indexed="64"/>
      </left>
      <right style="medium">
        <color indexed="64"/>
      </right>
      <top/>
      <bottom style="thin">
        <color rgb="FF000000"/>
      </bottom>
      <diagonal/>
    </border>
    <border>
      <left/>
      <right style="medium">
        <color indexed="64"/>
      </right>
      <top style="hair">
        <color indexed="64"/>
      </top>
      <bottom style="thin">
        <color indexed="64"/>
      </bottom>
      <diagonal/>
    </border>
    <border>
      <left style="thin">
        <color rgb="FF000000"/>
      </left>
      <right style="thin">
        <color rgb="FF000000"/>
      </right>
      <top/>
      <bottom/>
      <diagonal/>
    </border>
    <border>
      <left style="thin">
        <color rgb="FF000000"/>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bottom style="thin">
        <color rgb="FF000000"/>
      </bottom>
      <diagonal/>
    </border>
    <border>
      <left style="medium">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164" fontId="6" fillId="0" borderId="0" applyFont="0" applyFill="0" applyBorder="0" applyAlignment="0" applyProtection="0"/>
    <xf numFmtId="0" fontId="6" fillId="0" borderId="0"/>
    <xf numFmtId="166" fontId="26" fillId="0" borderId="0" applyBorder="0" applyProtection="0"/>
    <xf numFmtId="0" fontId="6" fillId="0" borderId="0"/>
  </cellStyleXfs>
  <cellXfs count="1991">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0" xfId="1" applyFont="1" applyBorder="1" applyAlignment="1">
      <alignment vertical="top"/>
    </xf>
    <xf numFmtId="0" fontId="6" fillId="0" borderId="0" xfId="0" applyFont="1"/>
    <xf numFmtId="0" fontId="2" fillId="0" borderId="0" xfId="0" applyNumberFormat="1" applyFont="1" applyAlignment="1">
      <alignment vertical="top"/>
    </xf>
    <xf numFmtId="49" fontId="2" fillId="2" borderId="35" xfId="0" applyNumberFormat="1" applyFont="1" applyFill="1" applyBorder="1" applyAlignment="1">
      <alignment horizontal="center" vertical="top"/>
    </xf>
    <xf numFmtId="165" fontId="1" fillId="0" borderId="0" xfId="0" applyNumberFormat="1" applyFont="1" applyAlignment="1">
      <alignment vertical="top"/>
    </xf>
    <xf numFmtId="0" fontId="1" fillId="0" borderId="32" xfId="0" applyFont="1" applyBorder="1" applyAlignment="1">
      <alignment vertical="top"/>
    </xf>
    <xf numFmtId="0" fontId="2" fillId="0" borderId="32" xfId="0" applyNumberFormat="1" applyFont="1" applyBorder="1" applyAlignment="1">
      <alignment vertical="top"/>
    </xf>
    <xf numFmtId="49" fontId="2" fillId="9" borderId="16" xfId="0" applyNumberFormat="1" applyFont="1" applyFill="1" applyBorder="1" applyAlignment="1">
      <alignment horizontal="center" vertical="top" wrapText="1"/>
    </xf>
    <xf numFmtId="0" fontId="1" fillId="7" borderId="29" xfId="0" applyFont="1" applyFill="1" applyBorder="1" applyAlignment="1">
      <alignment vertical="top" wrapText="1"/>
    </xf>
    <xf numFmtId="3" fontId="1" fillId="7" borderId="28" xfId="0" applyNumberFormat="1" applyFont="1" applyFill="1" applyBorder="1" applyAlignment="1">
      <alignment horizontal="center" vertical="top"/>
    </xf>
    <xf numFmtId="3" fontId="1" fillId="7" borderId="27" xfId="0" applyNumberFormat="1" applyFont="1" applyFill="1" applyBorder="1" applyAlignment="1">
      <alignment horizontal="center" vertical="top"/>
    </xf>
    <xf numFmtId="3" fontId="1" fillId="7" borderId="83" xfId="0" applyNumberFormat="1" applyFont="1" applyFill="1" applyBorder="1" applyAlignment="1">
      <alignment horizontal="center" vertical="top"/>
    </xf>
    <xf numFmtId="3" fontId="1" fillId="7" borderId="84" xfId="0" applyNumberFormat="1" applyFont="1" applyFill="1" applyBorder="1" applyAlignment="1">
      <alignment horizontal="center" vertical="top"/>
    </xf>
    <xf numFmtId="3" fontId="1" fillId="7" borderId="27" xfId="0" applyNumberFormat="1" applyFont="1" applyFill="1" applyBorder="1" applyAlignment="1">
      <alignment horizontal="center" vertical="top" wrapText="1"/>
    </xf>
    <xf numFmtId="3" fontId="1" fillId="0" borderId="84"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3" fontId="1" fillId="0" borderId="0" xfId="0" applyNumberFormat="1" applyFont="1" applyBorder="1" applyAlignment="1">
      <alignment vertical="top"/>
    </xf>
    <xf numFmtId="165" fontId="1" fillId="7" borderId="48"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165" fontId="1" fillId="7" borderId="35" xfId="0" applyNumberFormat="1" applyFont="1" applyFill="1" applyBorder="1" applyAlignment="1">
      <alignment horizontal="center" vertical="top"/>
    </xf>
    <xf numFmtId="165" fontId="1" fillId="7" borderId="27" xfId="0" applyNumberFormat="1" applyFont="1" applyFill="1" applyBorder="1" applyAlignment="1">
      <alignment horizontal="center" vertical="top"/>
    </xf>
    <xf numFmtId="0" fontId="1" fillId="7" borderId="64" xfId="0" applyFont="1" applyFill="1" applyBorder="1" applyAlignment="1">
      <alignment horizontal="center" vertical="top"/>
    </xf>
    <xf numFmtId="0" fontId="1" fillId="7" borderId="34" xfId="0" applyFont="1" applyFill="1" applyBorder="1" applyAlignment="1">
      <alignment horizontal="center" vertical="top"/>
    </xf>
    <xf numFmtId="3" fontId="1" fillId="7" borderId="35" xfId="0" applyNumberFormat="1" applyFont="1" applyFill="1" applyBorder="1" applyAlignment="1">
      <alignment horizontal="center" vertical="top"/>
    </xf>
    <xf numFmtId="165" fontId="1" fillId="0" borderId="0" xfId="0" applyNumberFormat="1" applyFont="1" applyBorder="1" applyAlignment="1">
      <alignment vertical="top"/>
    </xf>
    <xf numFmtId="165" fontId="1" fillId="7" borderId="23" xfId="0" applyNumberFormat="1" applyFont="1" applyFill="1" applyBorder="1" applyAlignment="1">
      <alignment vertical="top"/>
    </xf>
    <xf numFmtId="165" fontId="1" fillId="0" borderId="23" xfId="0" applyNumberFormat="1" applyFont="1" applyBorder="1" applyAlignment="1">
      <alignment horizontal="center" vertical="top"/>
    </xf>
    <xf numFmtId="165" fontId="1" fillId="0" borderId="6" xfId="0" applyNumberFormat="1" applyFont="1" applyFill="1" applyBorder="1" applyAlignment="1">
      <alignment horizontal="center" vertical="top"/>
    </xf>
    <xf numFmtId="165" fontId="1" fillId="7" borderId="89" xfId="0" applyNumberFormat="1" applyFont="1" applyFill="1" applyBorder="1" applyAlignment="1">
      <alignment horizontal="center" vertical="top"/>
    </xf>
    <xf numFmtId="165" fontId="1" fillId="7" borderId="43"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165" fontId="1" fillId="7" borderId="93" xfId="0" applyNumberFormat="1" applyFont="1" applyFill="1" applyBorder="1" applyAlignment="1">
      <alignment horizontal="center" vertical="top"/>
    </xf>
    <xf numFmtId="165" fontId="2" fillId="9" borderId="72" xfId="0" applyNumberFormat="1" applyFont="1" applyFill="1" applyBorder="1" applyAlignment="1">
      <alignment horizontal="center" vertical="top"/>
    </xf>
    <xf numFmtId="165" fontId="1" fillId="3" borderId="23" xfId="0" applyNumberFormat="1" applyFont="1" applyFill="1" applyBorder="1" applyAlignment="1">
      <alignment horizontal="center" vertical="top"/>
    </xf>
    <xf numFmtId="165" fontId="1" fillId="7" borderId="101" xfId="0" applyNumberFormat="1" applyFont="1" applyFill="1" applyBorder="1" applyAlignment="1">
      <alignment horizontal="center" vertical="top"/>
    </xf>
    <xf numFmtId="165" fontId="2" fillId="9" borderId="54" xfId="0" applyNumberFormat="1" applyFont="1" applyFill="1" applyBorder="1" applyAlignment="1">
      <alignment horizontal="center" vertical="top"/>
    </xf>
    <xf numFmtId="165" fontId="2" fillId="2" borderId="4" xfId="0" applyNumberFormat="1" applyFont="1" applyFill="1" applyBorder="1" applyAlignment="1">
      <alignment horizontal="center" vertical="top"/>
    </xf>
    <xf numFmtId="165" fontId="1" fillId="7" borderId="68" xfId="0" applyNumberFormat="1" applyFont="1" applyFill="1" applyBorder="1" applyAlignment="1">
      <alignment horizontal="center" vertical="top"/>
    </xf>
    <xf numFmtId="165" fontId="1" fillId="7" borderId="34" xfId="0" applyNumberFormat="1" applyFont="1" applyFill="1" applyBorder="1" applyAlignment="1">
      <alignment horizontal="center" vertical="top"/>
    </xf>
    <xf numFmtId="165" fontId="1" fillId="0" borderId="96" xfId="0" applyNumberFormat="1" applyFont="1" applyFill="1" applyBorder="1" applyAlignment="1">
      <alignment horizontal="center" vertical="top"/>
    </xf>
    <xf numFmtId="165" fontId="1" fillId="7" borderId="82" xfId="0" applyNumberFormat="1" applyFont="1" applyFill="1" applyBorder="1" applyAlignment="1">
      <alignment horizontal="left" vertical="top" wrapText="1"/>
    </xf>
    <xf numFmtId="165" fontId="1" fillId="7" borderId="64"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2" fillId="7" borderId="0" xfId="0" applyNumberFormat="1" applyFont="1" applyFill="1" applyBorder="1" applyAlignment="1">
      <alignment horizontal="center" vertical="top"/>
    </xf>
    <xf numFmtId="165" fontId="2" fillId="8" borderId="57" xfId="0" applyNumberFormat="1" applyFont="1" applyFill="1" applyBorder="1" applyAlignment="1">
      <alignment horizontal="center" vertical="top"/>
    </xf>
    <xf numFmtId="165" fontId="2" fillId="9" borderId="55" xfId="0" applyNumberFormat="1" applyFont="1" applyFill="1" applyBorder="1" applyAlignment="1">
      <alignment horizontal="center" vertical="top"/>
    </xf>
    <xf numFmtId="165" fontId="1" fillId="7" borderId="10" xfId="0" applyNumberFormat="1" applyFont="1" applyFill="1" applyBorder="1" applyAlignment="1">
      <alignment horizontal="center" vertical="top"/>
    </xf>
    <xf numFmtId="165" fontId="1" fillId="7" borderId="12" xfId="0" applyNumberFormat="1" applyFont="1" applyFill="1" applyBorder="1" applyAlignment="1">
      <alignment horizontal="left" vertical="top" wrapText="1"/>
    </xf>
    <xf numFmtId="165" fontId="2" fillId="7" borderId="11" xfId="0" applyNumberFormat="1" applyFont="1" applyFill="1" applyBorder="1" applyAlignment="1">
      <alignment vertical="top"/>
    </xf>
    <xf numFmtId="165" fontId="1" fillId="7" borderId="0" xfId="0" applyNumberFormat="1" applyFont="1" applyFill="1" applyBorder="1" applyAlignment="1">
      <alignment horizontal="center" vertical="top"/>
    </xf>
    <xf numFmtId="165" fontId="2" fillId="5" borderId="54"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7" borderId="20" xfId="0" applyNumberFormat="1" applyFont="1" applyFill="1" applyBorder="1" applyAlignment="1">
      <alignment horizontal="center" vertical="center" wrapText="1"/>
    </xf>
    <xf numFmtId="165" fontId="5" fillId="7" borderId="14" xfId="0" applyNumberFormat="1" applyFont="1" applyFill="1" applyBorder="1" applyAlignment="1">
      <alignment horizontal="center" vertical="center" textRotation="90" wrapText="1"/>
    </xf>
    <xf numFmtId="165" fontId="6" fillId="7" borderId="28" xfId="0" applyNumberFormat="1" applyFont="1" applyFill="1" applyBorder="1" applyAlignment="1">
      <alignment horizontal="center" vertical="center" textRotation="90" wrapText="1"/>
    </xf>
    <xf numFmtId="165" fontId="1" fillId="3" borderId="28" xfId="0" applyNumberFormat="1" applyFont="1" applyFill="1" applyBorder="1" applyAlignment="1">
      <alignment horizontal="center" vertical="top" wrapText="1"/>
    </xf>
    <xf numFmtId="165" fontId="2" fillId="7" borderId="14" xfId="0" applyNumberFormat="1" applyFont="1" applyFill="1" applyBorder="1" applyAlignment="1">
      <alignment vertical="top" wrapText="1"/>
    </xf>
    <xf numFmtId="165" fontId="1" fillId="7" borderId="48" xfId="0" applyNumberFormat="1" applyFont="1" applyFill="1" applyBorder="1" applyAlignment="1">
      <alignment horizontal="center" vertical="top" wrapText="1"/>
    </xf>
    <xf numFmtId="165" fontId="1" fillId="7" borderId="47" xfId="0" applyNumberFormat="1" applyFont="1" applyFill="1" applyBorder="1" applyAlignment="1">
      <alignment horizontal="center" vertical="top"/>
    </xf>
    <xf numFmtId="165" fontId="1" fillId="7" borderId="19" xfId="0" applyNumberFormat="1" applyFont="1" applyFill="1" applyBorder="1" applyAlignment="1">
      <alignment horizontal="center" vertical="top"/>
    </xf>
    <xf numFmtId="165" fontId="1" fillId="7" borderId="45" xfId="0" applyNumberFormat="1" applyFont="1" applyFill="1" applyBorder="1" applyAlignment="1">
      <alignment horizontal="center" vertical="top"/>
    </xf>
    <xf numFmtId="165" fontId="1" fillId="7" borderId="59" xfId="0" applyNumberFormat="1" applyFont="1" applyFill="1" applyBorder="1" applyAlignment="1">
      <alignment horizontal="center" vertical="top"/>
    </xf>
    <xf numFmtId="165" fontId="1" fillId="7" borderId="102" xfId="0" applyNumberFormat="1" applyFont="1" applyFill="1" applyBorder="1" applyAlignment="1">
      <alignment horizontal="center" vertical="top"/>
    </xf>
    <xf numFmtId="165" fontId="1" fillId="0" borderId="75" xfId="0" applyNumberFormat="1" applyFont="1" applyBorder="1" applyAlignment="1">
      <alignment horizontal="center" vertical="top"/>
    </xf>
    <xf numFmtId="165" fontId="1" fillId="7" borderId="64" xfId="0" applyNumberFormat="1" applyFont="1" applyFill="1" applyBorder="1" applyAlignment="1">
      <alignment horizontal="center" vertical="top" wrapText="1"/>
    </xf>
    <xf numFmtId="165" fontId="1" fillId="7" borderId="36"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9" xfId="0" applyNumberFormat="1" applyFont="1" applyFill="1" applyBorder="1" applyAlignment="1">
      <alignment horizontal="center" vertical="top"/>
    </xf>
    <xf numFmtId="165" fontId="1" fillId="7" borderId="82" xfId="0" applyNumberFormat="1" applyFont="1" applyFill="1" applyBorder="1" applyAlignment="1">
      <alignment horizontal="center" vertical="top"/>
    </xf>
    <xf numFmtId="165" fontId="1" fillId="7" borderId="12" xfId="0" applyNumberFormat="1" applyFont="1" applyFill="1" applyBorder="1" applyAlignment="1">
      <alignment horizontal="center" vertical="top"/>
    </xf>
    <xf numFmtId="165" fontId="1" fillId="7" borderId="79" xfId="0" applyNumberFormat="1" applyFont="1" applyFill="1" applyBorder="1" applyAlignment="1">
      <alignment horizontal="center" vertical="top"/>
    </xf>
    <xf numFmtId="165" fontId="1" fillId="7" borderId="96" xfId="0" applyNumberFormat="1" applyFont="1" applyFill="1" applyBorder="1" applyAlignment="1">
      <alignment horizontal="center" vertical="top"/>
    </xf>
    <xf numFmtId="165" fontId="2" fillId="8" borderId="66" xfId="0" applyNumberFormat="1" applyFont="1" applyFill="1" applyBorder="1" applyAlignment="1">
      <alignment horizontal="center" vertical="top"/>
    </xf>
    <xf numFmtId="165" fontId="6" fillId="7" borderId="19" xfId="0" applyNumberFormat="1" applyFont="1" applyFill="1" applyBorder="1" applyAlignment="1">
      <alignment horizontal="center" vertical="center" textRotation="90" wrapText="1"/>
    </xf>
    <xf numFmtId="165" fontId="2" fillId="2" borderId="24" xfId="0" applyNumberFormat="1" applyFont="1" applyFill="1" applyBorder="1" applyAlignment="1">
      <alignment horizontal="center" vertical="top"/>
    </xf>
    <xf numFmtId="165" fontId="2" fillId="9" borderId="66" xfId="0" applyNumberFormat="1" applyFont="1" applyFill="1" applyBorder="1" applyAlignment="1">
      <alignment horizontal="center" vertical="top"/>
    </xf>
    <xf numFmtId="165" fontId="2" fillId="5" borderId="24" xfId="0" applyNumberFormat="1" applyFont="1" applyFill="1" applyBorder="1" applyAlignment="1">
      <alignment horizontal="center" vertical="top"/>
    </xf>
    <xf numFmtId="165" fontId="1" fillId="7" borderId="49" xfId="0" applyNumberFormat="1" applyFont="1" applyFill="1" applyBorder="1" applyAlignment="1">
      <alignment vertical="top"/>
    </xf>
    <xf numFmtId="165" fontId="1" fillId="7" borderId="97" xfId="0" applyNumberFormat="1" applyFont="1" applyFill="1" applyBorder="1" applyAlignment="1">
      <alignment horizontal="center" vertical="top"/>
    </xf>
    <xf numFmtId="165" fontId="1" fillId="0" borderId="64" xfId="0" applyNumberFormat="1" applyFont="1" applyBorder="1" applyAlignment="1">
      <alignment horizontal="center" vertical="top"/>
    </xf>
    <xf numFmtId="165" fontId="1" fillId="7" borderId="68" xfId="0" applyNumberFormat="1" applyFont="1" applyFill="1" applyBorder="1" applyAlignment="1">
      <alignment vertical="top"/>
    </xf>
    <xf numFmtId="165" fontId="1" fillId="0" borderId="49" xfId="0" applyNumberFormat="1" applyFont="1" applyFill="1" applyBorder="1" applyAlignment="1">
      <alignment horizontal="center" vertical="top"/>
    </xf>
    <xf numFmtId="165" fontId="1" fillId="7" borderId="75"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0" fontId="16" fillId="0" borderId="0" xfId="0" applyFont="1"/>
    <xf numFmtId="0" fontId="1" fillId="0" borderId="63" xfId="0" applyFont="1" applyBorder="1" applyAlignment="1">
      <alignment horizontal="center" vertical="center" textRotation="90"/>
    </xf>
    <xf numFmtId="0" fontId="1" fillId="0" borderId="3" xfId="0" applyFont="1" applyBorder="1" applyAlignment="1">
      <alignment horizontal="center" vertical="center" textRotation="90"/>
    </xf>
    <xf numFmtId="165" fontId="1" fillId="0" borderId="28" xfId="0" applyNumberFormat="1" applyFont="1" applyBorder="1" applyAlignment="1">
      <alignment horizontal="center" vertical="top"/>
    </xf>
    <xf numFmtId="3" fontId="1" fillId="7" borderId="35" xfId="0" applyNumberFormat="1" applyFont="1" applyFill="1" applyBorder="1" applyAlignment="1">
      <alignment horizontal="center" vertical="top" wrapText="1"/>
    </xf>
    <xf numFmtId="3" fontId="1" fillId="7" borderId="90" xfId="0" applyNumberFormat="1" applyFont="1" applyFill="1" applyBorder="1" applyAlignment="1">
      <alignment horizontal="center" vertical="top"/>
    </xf>
    <xf numFmtId="165" fontId="1" fillId="7" borderId="20" xfId="0" applyNumberFormat="1" applyFont="1" applyFill="1" applyBorder="1" applyAlignment="1">
      <alignment vertical="top"/>
    </xf>
    <xf numFmtId="165" fontId="1" fillId="7" borderId="46" xfId="0" applyNumberFormat="1" applyFont="1" applyFill="1" applyBorder="1" applyAlignment="1">
      <alignment vertical="top"/>
    </xf>
    <xf numFmtId="165" fontId="1" fillId="7" borderId="6" xfId="0" applyNumberFormat="1" applyFont="1" applyFill="1" applyBorder="1" applyAlignment="1">
      <alignment vertical="top"/>
    </xf>
    <xf numFmtId="165" fontId="1" fillId="7" borderId="11" xfId="0" applyNumberFormat="1" applyFont="1" applyFill="1" applyBorder="1" applyAlignment="1">
      <alignment vertical="top"/>
    </xf>
    <xf numFmtId="165" fontId="1" fillId="7" borderId="34" xfId="0" applyNumberFormat="1" applyFont="1" applyFill="1" applyBorder="1" applyAlignment="1">
      <alignment vertical="top"/>
    </xf>
    <xf numFmtId="165" fontId="1" fillId="7" borderId="53" xfId="0" applyNumberFormat="1" applyFont="1" applyFill="1" applyBorder="1" applyAlignment="1">
      <alignment horizontal="center" vertical="top"/>
    </xf>
    <xf numFmtId="165" fontId="2" fillId="8" borderId="65" xfId="0" applyNumberFormat="1" applyFont="1" applyFill="1" applyBorder="1" applyAlignment="1">
      <alignment horizontal="center" vertical="top"/>
    </xf>
    <xf numFmtId="165" fontId="1" fillId="7" borderId="25" xfId="0" applyNumberFormat="1" applyFont="1" applyFill="1" applyBorder="1" applyAlignment="1">
      <alignment horizontal="center" vertical="top"/>
    </xf>
    <xf numFmtId="165" fontId="2" fillId="8" borderId="2" xfId="0" applyNumberFormat="1" applyFont="1" applyFill="1" applyBorder="1" applyAlignment="1">
      <alignment horizontal="center" vertical="top"/>
    </xf>
    <xf numFmtId="165" fontId="2" fillId="8" borderId="32" xfId="0" applyNumberFormat="1" applyFont="1" applyFill="1" applyBorder="1" applyAlignment="1">
      <alignment horizontal="center" vertical="top"/>
    </xf>
    <xf numFmtId="165" fontId="1" fillId="7" borderId="39" xfId="0" applyNumberFormat="1" applyFont="1" applyFill="1" applyBorder="1" applyAlignment="1">
      <alignment horizontal="center" vertical="top"/>
    </xf>
    <xf numFmtId="165" fontId="1" fillId="7" borderId="56" xfId="0" applyNumberFormat="1" applyFont="1" applyFill="1" applyBorder="1" applyAlignment="1">
      <alignment horizontal="center" vertical="top"/>
    </xf>
    <xf numFmtId="165" fontId="1" fillId="7" borderId="14" xfId="0" applyNumberFormat="1" applyFont="1" applyFill="1" applyBorder="1" applyAlignment="1">
      <alignment horizontal="center" vertical="top"/>
    </xf>
    <xf numFmtId="165" fontId="1" fillId="7" borderId="92" xfId="0" applyNumberFormat="1" applyFont="1" applyFill="1" applyBorder="1" applyAlignment="1">
      <alignment horizontal="center" vertical="top"/>
    </xf>
    <xf numFmtId="49" fontId="1" fillId="7" borderId="83" xfId="0" applyNumberFormat="1" applyFont="1" applyFill="1" applyBorder="1" applyAlignment="1">
      <alignment horizontal="center" vertical="top"/>
    </xf>
    <xf numFmtId="3" fontId="5" fillId="7" borderId="48" xfId="0" applyNumberFormat="1" applyFont="1" applyFill="1" applyBorder="1" applyAlignment="1">
      <alignment horizontal="center" vertical="top" wrapText="1"/>
    </xf>
    <xf numFmtId="165" fontId="1" fillId="7" borderId="38" xfId="0" applyNumberFormat="1" applyFont="1" applyFill="1" applyBorder="1" applyAlignment="1">
      <alignment horizontal="center" vertical="top"/>
    </xf>
    <xf numFmtId="49" fontId="1" fillId="7" borderId="48" xfId="0" applyNumberFormat="1" applyFont="1" applyFill="1" applyBorder="1" applyAlignment="1">
      <alignment horizontal="center" vertical="top"/>
    </xf>
    <xf numFmtId="3" fontId="1" fillId="7" borderId="103" xfId="0" applyNumberFormat="1" applyFont="1" applyFill="1" applyBorder="1" applyAlignment="1">
      <alignment horizontal="center" vertical="top"/>
    </xf>
    <xf numFmtId="165" fontId="2" fillId="8" borderId="72" xfId="0" applyNumberFormat="1" applyFont="1" applyFill="1" applyBorder="1" applyAlignment="1">
      <alignment horizontal="center" vertical="top"/>
    </xf>
    <xf numFmtId="3" fontId="5" fillId="7" borderId="18" xfId="0" applyNumberFormat="1" applyFont="1" applyFill="1" applyBorder="1" applyAlignment="1">
      <alignment horizontal="center" vertical="top" wrapText="1"/>
    </xf>
    <xf numFmtId="165" fontId="1" fillId="7" borderId="29" xfId="0" applyNumberFormat="1" applyFont="1" applyFill="1" applyBorder="1" applyAlignment="1">
      <alignment vertical="top" wrapText="1"/>
    </xf>
    <xf numFmtId="165" fontId="2" fillId="2" borderId="9" xfId="0" applyNumberFormat="1" applyFont="1" applyFill="1" applyBorder="1" applyAlignment="1">
      <alignment horizontal="center" vertical="top"/>
    </xf>
    <xf numFmtId="165" fontId="2" fillId="8" borderId="61" xfId="0" applyNumberFormat="1" applyFont="1" applyFill="1" applyBorder="1" applyAlignment="1">
      <alignment horizontal="center" vertical="top"/>
    </xf>
    <xf numFmtId="165" fontId="1" fillId="7" borderId="44" xfId="0" applyNumberFormat="1" applyFont="1" applyFill="1" applyBorder="1" applyAlignment="1">
      <alignment horizontal="center" vertical="top"/>
    </xf>
    <xf numFmtId="165" fontId="1" fillId="7" borderId="51" xfId="0" applyNumberFormat="1" applyFont="1" applyFill="1" applyBorder="1" applyAlignment="1">
      <alignment horizontal="center" vertical="top"/>
    </xf>
    <xf numFmtId="165" fontId="2" fillId="7" borderId="48" xfId="0" applyNumberFormat="1" applyFont="1" applyFill="1" applyBorder="1" applyAlignment="1">
      <alignment vertical="top"/>
    </xf>
    <xf numFmtId="165" fontId="2" fillId="7" borderId="41" xfId="0" applyNumberFormat="1" applyFont="1" applyFill="1" applyBorder="1" applyAlignment="1">
      <alignment vertical="top" wrapText="1"/>
    </xf>
    <xf numFmtId="165" fontId="1" fillId="7" borderId="41" xfId="0" applyNumberFormat="1" applyFont="1" applyFill="1" applyBorder="1" applyAlignment="1">
      <alignment horizontal="center" vertical="top"/>
    </xf>
    <xf numFmtId="165" fontId="1" fillId="7" borderId="26" xfId="0" applyNumberFormat="1" applyFont="1" applyFill="1" applyBorder="1" applyAlignment="1">
      <alignment horizontal="center" vertical="top"/>
    </xf>
    <xf numFmtId="165" fontId="1" fillId="7" borderId="11" xfId="0" applyNumberFormat="1" applyFont="1" applyFill="1" applyBorder="1" applyAlignment="1">
      <alignment horizontal="center" vertical="top"/>
    </xf>
    <xf numFmtId="165" fontId="1" fillId="0" borderId="15" xfId="0" applyNumberFormat="1" applyFont="1" applyBorder="1" applyAlignment="1">
      <alignment horizontal="center" vertical="top" wrapText="1"/>
    </xf>
    <xf numFmtId="165" fontId="1" fillId="7" borderId="83" xfId="0" applyNumberFormat="1" applyFont="1" applyFill="1" applyBorder="1" applyAlignment="1">
      <alignment vertical="top" wrapText="1"/>
    </xf>
    <xf numFmtId="165" fontId="1" fillId="7" borderId="77" xfId="0" applyNumberFormat="1" applyFont="1" applyFill="1" applyBorder="1" applyAlignment="1">
      <alignment horizontal="left" vertical="top" wrapText="1"/>
    </xf>
    <xf numFmtId="49" fontId="2" fillId="9" borderId="16" xfId="0" applyNumberFormat="1" applyFont="1" applyFill="1" applyBorder="1" applyAlignment="1">
      <alignment horizontal="center" vertical="top"/>
    </xf>
    <xf numFmtId="0" fontId="1" fillId="0" borderId="32" xfId="0" applyFont="1" applyBorder="1" applyAlignment="1">
      <alignment horizontal="center" vertical="top"/>
    </xf>
    <xf numFmtId="165" fontId="1" fillId="3" borderId="11" xfId="0" applyNumberFormat="1" applyFont="1" applyFill="1" applyBorder="1" applyAlignment="1">
      <alignment horizontal="center" vertical="center" textRotation="90" wrapText="1"/>
    </xf>
    <xf numFmtId="165" fontId="13" fillId="7" borderId="29" xfId="0" applyNumberFormat="1" applyFont="1" applyFill="1" applyBorder="1" applyAlignment="1">
      <alignment vertical="top" wrapText="1"/>
    </xf>
    <xf numFmtId="165" fontId="13" fillId="7" borderId="6" xfId="0" applyNumberFormat="1" applyFont="1" applyFill="1" applyBorder="1" applyAlignment="1">
      <alignment horizontal="center" vertical="top"/>
    </xf>
    <xf numFmtId="165" fontId="2" fillId="2" borderId="56" xfId="0" applyNumberFormat="1" applyFont="1" applyFill="1" applyBorder="1" applyAlignment="1">
      <alignment horizontal="center" vertical="top"/>
    </xf>
    <xf numFmtId="165" fontId="2" fillId="2" borderId="41" xfId="0" applyNumberFormat="1" applyFont="1" applyFill="1" applyBorder="1" applyAlignment="1">
      <alignment horizontal="center" vertical="top"/>
    </xf>
    <xf numFmtId="165" fontId="2" fillId="2" borderId="74" xfId="0" applyNumberFormat="1" applyFont="1" applyFill="1" applyBorder="1" applyAlignment="1">
      <alignment horizontal="center" vertical="top"/>
    </xf>
    <xf numFmtId="165" fontId="2" fillId="8" borderId="58" xfId="0" applyNumberFormat="1" applyFont="1" applyFill="1" applyBorder="1" applyAlignment="1">
      <alignment horizontal="center" vertical="top"/>
    </xf>
    <xf numFmtId="165" fontId="1" fillId="8" borderId="23" xfId="0" applyNumberFormat="1" applyFont="1" applyFill="1" applyBorder="1" applyAlignment="1">
      <alignment horizontal="center" vertical="top"/>
    </xf>
    <xf numFmtId="165" fontId="2" fillId="5" borderId="23" xfId="0" applyNumberFormat="1" applyFont="1" applyFill="1" applyBorder="1" applyAlignment="1">
      <alignment horizontal="center" vertical="top"/>
    </xf>
    <xf numFmtId="165" fontId="2" fillId="4" borderId="66" xfId="0" applyNumberFormat="1" applyFont="1" applyFill="1" applyBorder="1" applyAlignment="1">
      <alignment horizontal="center" vertical="top"/>
    </xf>
    <xf numFmtId="0" fontId="1" fillId="7" borderId="83" xfId="0" applyNumberFormat="1" applyFont="1" applyFill="1" applyBorder="1" applyAlignment="1">
      <alignment horizontal="left" vertical="top" wrapText="1"/>
    </xf>
    <xf numFmtId="165" fontId="1" fillId="7" borderId="94" xfId="0" applyNumberFormat="1" applyFont="1" applyFill="1" applyBorder="1" applyAlignment="1">
      <alignment horizontal="left" vertical="top" wrapText="1"/>
    </xf>
    <xf numFmtId="165" fontId="6" fillId="7" borderId="27" xfId="0" applyNumberFormat="1" applyFont="1" applyFill="1" applyBorder="1" applyAlignment="1">
      <alignment horizontal="center" vertical="center" wrapText="1"/>
    </xf>
    <xf numFmtId="165" fontId="6" fillId="7" borderId="18" xfId="0" applyNumberFormat="1" applyFont="1" applyFill="1" applyBorder="1" applyAlignment="1">
      <alignment horizontal="center" wrapText="1"/>
    </xf>
    <xf numFmtId="0" fontId="1" fillId="7" borderId="49" xfId="0" applyFont="1" applyFill="1" applyBorder="1" applyAlignment="1">
      <alignment horizontal="center" vertical="top"/>
    </xf>
    <xf numFmtId="3" fontId="5" fillId="7" borderId="27" xfId="0" applyNumberFormat="1" applyFont="1" applyFill="1" applyBorder="1" applyAlignment="1">
      <alignment horizontal="center" vertical="center" wrapText="1"/>
    </xf>
    <xf numFmtId="3" fontId="1" fillId="7" borderId="75" xfId="0" applyNumberFormat="1" applyFont="1" applyFill="1" applyBorder="1" applyAlignment="1">
      <alignment horizontal="center" vertical="top"/>
    </xf>
    <xf numFmtId="165" fontId="1" fillId="7" borderId="21" xfId="0" applyNumberFormat="1" applyFont="1" applyFill="1" applyBorder="1" applyAlignment="1">
      <alignment vertical="top"/>
    </xf>
    <xf numFmtId="0" fontId="1" fillId="7" borderId="48" xfId="0" applyNumberFormat="1" applyFont="1" applyFill="1" applyBorder="1" applyAlignment="1">
      <alignment horizontal="center" vertical="top" wrapText="1"/>
    </xf>
    <xf numFmtId="3" fontId="1" fillId="7" borderId="92" xfId="0" applyNumberFormat="1" applyFont="1" applyFill="1" applyBorder="1" applyAlignment="1">
      <alignment horizontal="center" vertical="top"/>
    </xf>
    <xf numFmtId="3" fontId="1" fillId="7" borderId="102" xfId="0" applyNumberFormat="1" applyFont="1" applyFill="1" applyBorder="1" applyAlignment="1">
      <alignment horizontal="center" vertical="top"/>
    </xf>
    <xf numFmtId="3" fontId="1" fillId="7" borderId="107" xfId="0" applyNumberFormat="1" applyFont="1" applyFill="1" applyBorder="1" applyAlignment="1">
      <alignment horizontal="center" vertical="top"/>
    </xf>
    <xf numFmtId="3" fontId="1" fillId="7" borderId="106" xfId="0" applyNumberFormat="1" applyFont="1" applyFill="1" applyBorder="1" applyAlignment="1">
      <alignment horizontal="center" vertical="top"/>
    </xf>
    <xf numFmtId="165" fontId="1" fillId="7" borderId="85" xfId="0" applyNumberFormat="1" applyFont="1" applyFill="1" applyBorder="1" applyAlignment="1">
      <alignment horizontal="center" vertical="top"/>
    </xf>
    <xf numFmtId="165" fontId="1" fillId="7" borderId="15" xfId="0" applyNumberFormat="1" applyFont="1" applyFill="1" applyBorder="1" applyAlignment="1">
      <alignment horizontal="center" vertical="top"/>
    </xf>
    <xf numFmtId="165" fontId="6" fillId="7" borderId="45" xfId="0" applyNumberFormat="1" applyFont="1" applyFill="1" applyBorder="1" applyAlignment="1">
      <alignment horizontal="center" vertical="center" textRotation="90" wrapText="1"/>
    </xf>
    <xf numFmtId="49" fontId="2" fillId="9" borderId="34" xfId="0" applyNumberFormat="1" applyFont="1" applyFill="1" applyBorder="1" applyAlignment="1">
      <alignment horizontal="center" vertical="top"/>
    </xf>
    <xf numFmtId="3" fontId="1" fillId="7" borderId="18" xfId="0" applyNumberFormat="1" applyFont="1" applyFill="1" applyBorder="1" applyAlignment="1">
      <alignment horizontal="center" vertical="top" wrapText="1"/>
    </xf>
    <xf numFmtId="0" fontId="1" fillId="7" borderId="34" xfId="0" applyFont="1" applyFill="1" applyBorder="1" applyAlignment="1">
      <alignment vertical="top"/>
    </xf>
    <xf numFmtId="0" fontId="1" fillId="7" borderId="11" xfId="0" applyFont="1" applyFill="1" applyBorder="1" applyAlignment="1">
      <alignment vertical="top"/>
    </xf>
    <xf numFmtId="0" fontId="1" fillId="7" borderId="48" xfId="0" applyFont="1" applyFill="1" applyBorder="1" applyAlignment="1">
      <alignment vertical="top"/>
    </xf>
    <xf numFmtId="0" fontId="1" fillId="7" borderId="18" xfId="0" applyFont="1" applyFill="1" applyBorder="1" applyAlignment="1">
      <alignment vertical="top"/>
    </xf>
    <xf numFmtId="165" fontId="1" fillId="7" borderId="34" xfId="0" applyNumberFormat="1" applyFont="1" applyFill="1" applyBorder="1" applyAlignment="1">
      <alignment horizontal="center" vertical="top" wrapText="1"/>
    </xf>
    <xf numFmtId="165" fontId="1" fillId="7" borderId="5" xfId="0" applyNumberFormat="1" applyFont="1" applyFill="1" applyBorder="1" applyAlignment="1">
      <alignment horizontal="left" vertical="top" wrapText="1"/>
    </xf>
    <xf numFmtId="165" fontId="1" fillId="7" borderId="0" xfId="0" applyNumberFormat="1" applyFont="1" applyFill="1" applyBorder="1" applyAlignment="1">
      <alignment horizontal="center" vertical="top" wrapText="1"/>
    </xf>
    <xf numFmtId="165" fontId="1" fillId="7" borderId="75" xfId="1" applyNumberFormat="1" applyFont="1" applyFill="1" applyBorder="1" applyAlignment="1">
      <alignment horizontal="center" vertical="top"/>
    </xf>
    <xf numFmtId="165" fontId="1" fillId="7" borderId="23" xfId="1" applyNumberFormat="1" applyFont="1" applyFill="1" applyBorder="1" applyAlignment="1">
      <alignment horizontal="center" vertical="top"/>
    </xf>
    <xf numFmtId="165" fontId="2" fillId="2" borderId="55" xfId="0" applyNumberFormat="1" applyFont="1" applyFill="1" applyBorder="1" applyAlignment="1">
      <alignment horizontal="center" vertical="top"/>
    </xf>
    <xf numFmtId="49" fontId="1" fillId="7" borderId="18" xfId="0" applyNumberFormat="1" applyFont="1" applyFill="1" applyBorder="1" applyAlignment="1">
      <alignment horizontal="center" vertical="top"/>
    </xf>
    <xf numFmtId="0" fontId="1" fillId="7" borderId="0" xfId="0" applyFont="1" applyFill="1" applyBorder="1" applyAlignment="1">
      <alignment vertical="top"/>
    </xf>
    <xf numFmtId="165" fontId="1" fillId="7" borderId="5" xfId="0" applyNumberFormat="1" applyFont="1" applyFill="1" applyBorder="1" applyAlignment="1">
      <alignment horizontal="center" vertical="top"/>
    </xf>
    <xf numFmtId="165" fontId="1" fillId="7" borderId="50" xfId="0" applyNumberFormat="1" applyFont="1" applyFill="1" applyBorder="1" applyAlignment="1">
      <alignment horizontal="center" vertical="top"/>
    </xf>
    <xf numFmtId="165" fontId="2" fillId="8" borderId="33" xfId="0" applyNumberFormat="1" applyFont="1" applyFill="1" applyBorder="1" applyAlignment="1">
      <alignment horizontal="center" vertical="top"/>
    </xf>
    <xf numFmtId="3" fontId="1" fillId="7" borderId="94" xfId="0" applyNumberFormat="1" applyFont="1" applyFill="1" applyBorder="1" applyAlignment="1">
      <alignment horizontal="center" vertical="top"/>
    </xf>
    <xf numFmtId="165" fontId="2" fillId="7" borderId="48" xfId="0" applyNumberFormat="1" applyFont="1" applyFill="1" applyBorder="1" applyAlignment="1">
      <alignment vertical="top" wrapText="1"/>
    </xf>
    <xf numFmtId="165" fontId="2" fillId="8" borderId="56" xfId="0" applyNumberFormat="1" applyFont="1" applyFill="1" applyBorder="1" applyAlignment="1">
      <alignment horizontal="center" vertical="top"/>
    </xf>
    <xf numFmtId="165" fontId="6" fillId="8" borderId="58" xfId="0" applyNumberFormat="1" applyFont="1" applyFill="1" applyBorder="1" applyAlignment="1">
      <alignment vertical="top" wrapText="1"/>
    </xf>
    <xf numFmtId="165" fontId="2" fillId="8" borderId="25" xfId="0" applyNumberFormat="1" applyFont="1" applyFill="1" applyBorder="1" applyAlignment="1">
      <alignment horizontal="center" vertical="top"/>
    </xf>
    <xf numFmtId="3" fontId="5" fillId="8" borderId="58" xfId="0" applyNumberFormat="1" applyFont="1" applyFill="1" applyBorder="1" applyAlignment="1">
      <alignment horizontal="center" vertical="top" wrapText="1"/>
    </xf>
    <xf numFmtId="3" fontId="5" fillId="8" borderId="61" xfId="0" applyNumberFormat="1" applyFont="1" applyFill="1" applyBorder="1" applyAlignment="1">
      <alignment horizontal="center" vertical="top" wrapText="1"/>
    </xf>
    <xf numFmtId="165" fontId="2" fillId="8" borderId="11" xfId="0" applyNumberFormat="1" applyFont="1" applyFill="1" applyBorder="1" applyAlignment="1">
      <alignment vertical="top"/>
    </xf>
    <xf numFmtId="165" fontId="2" fillId="8" borderId="48" xfId="0" applyNumberFormat="1" applyFont="1" applyFill="1" applyBorder="1" applyAlignment="1">
      <alignment vertical="top"/>
    </xf>
    <xf numFmtId="165" fontId="6" fillId="8" borderId="32" xfId="0" applyNumberFormat="1" applyFont="1" applyFill="1" applyBorder="1" applyAlignment="1">
      <alignment vertical="top" wrapText="1"/>
    </xf>
    <xf numFmtId="165" fontId="9" fillId="8" borderId="32" xfId="0" applyNumberFormat="1" applyFont="1" applyFill="1" applyBorder="1" applyAlignment="1">
      <alignment horizontal="center" vertical="center" textRotation="90" wrapText="1"/>
    </xf>
    <xf numFmtId="165" fontId="13" fillId="8" borderId="72" xfId="0" applyNumberFormat="1" applyFont="1" applyFill="1" applyBorder="1" applyAlignment="1">
      <alignment horizontal="left" vertical="top" wrapText="1"/>
    </xf>
    <xf numFmtId="165" fontId="1" fillId="7" borderId="59" xfId="0" applyNumberFormat="1" applyFont="1" applyFill="1" applyBorder="1" applyAlignment="1">
      <alignment horizontal="center" vertical="top" wrapText="1"/>
    </xf>
    <xf numFmtId="165" fontId="1" fillId="7" borderId="11" xfId="0" applyNumberFormat="1" applyFont="1" applyFill="1" applyBorder="1" applyAlignment="1">
      <alignment horizontal="center" vertical="top" wrapText="1"/>
    </xf>
    <xf numFmtId="165" fontId="1" fillId="0" borderId="53" xfId="0" applyNumberFormat="1" applyFont="1" applyBorder="1" applyAlignment="1">
      <alignment horizontal="center" vertical="top"/>
    </xf>
    <xf numFmtId="165" fontId="1" fillId="7" borderId="28" xfId="1" applyNumberFormat="1" applyFont="1" applyFill="1" applyBorder="1" applyAlignment="1">
      <alignment horizontal="center" vertical="top"/>
    </xf>
    <xf numFmtId="3" fontId="1" fillId="7" borderId="48" xfId="0" applyNumberFormat="1" applyFont="1" applyFill="1" applyBorder="1" applyAlignment="1">
      <alignment horizontal="center" vertical="top" wrapText="1"/>
    </xf>
    <xf numFmtId="49" fontId="2" fillId="8" borderId="0" xfId="0" applyNumberFormat="1" applyFont="1" applyFill="1" applyBorder="1" applyAlignment="1">
      <alignment horizontal="center" vertical="top"/>
    </xf>
    <xf numFmtId="49" fontId="2" fillId="8" borderId="32" xfId="0" applyNumberFormat="1" applyFont="1" applyFill="1" applyBorder="1" applyAlignment="1">
      <alignment horizontal="center" vertical="top"/>
    </xf>
    <xf numFmtId="0" fontId="0" fillId="8" borderId="32" xfId="0" applyFont="1" applyFill="1" applyBorder="1" applyAlignment="1">
      <alignment horizontal="center" vertical="top"/>
    </xf>
    <xf numFmtId="165" fontId="6" fillId="8" borderId="72" xfId="0" applyNumberFormat="1" applyFont="1" applyFill="1" applyBorder="1" applyAlignment="1">
      <alignment vertical="top" wrapText="1"/>
    </xf>
    <xf numFmtId="165" fontId="1" fillId="7" borderId="59" xfId="0" applyNumberFormat="1" applyFont="1" applyFill="1" applyBorder="1" applyAlignment="1">
      <alignment vertical="top"/>
    </xf>
    <xf numFmtId="165" fontId="2" fillId="8" borderId="48" xfId="0" applyNumberFormat="1" applyFont="1" applyFill="1" applyBorder="1" applyAlignment="1">
      <alignment horizontal="center" vertical="top"/>
    </xf>
    <xf numFmtId="165" fontId="13" fillId="7" borderId="29" xfId="0" applyNumberFormat="1" applyFont="1" applyFill="1" applyBorder="1" applyAlignment="1">
      <alignment horizontal="left" vertical="top" wrapText="1"/>
    </xf>
    <xf numFmtId="165" fontId="1" fillId="7" borderId="15" xfId="0" applyNumberFormat="1" applyFont="1" applyFill="1" applyBorder="1" applyAlignment="1">
      <alignment horizontal="center" vertical="top" wrapText="1"/>
    </xf>
    <xf numFmtId="165" fontId="1" fillId="7" borderId="21"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1" fillId="0" borderId="90" xfId="0" applyNumberFormat="1" applyFont="1" applyFill="1" applyBorder="1" applyAlignment="1">
      <alignment horizontal="center" vertical="top"/>
    </xf>
    <xf numFmtId="49" fontId="1" fillId="7" borderId="21" xfId="0" applyNumberFormat="1" applyFont="1" applyFill="1" applyBorder="1" applyAlignment="1">
      <alignment horizontal="center" vertical="top"/>
    </xf>
    <xf numFmtId="49" fontId="1" fillId="7" borderId="105" xfId="0" applyNumberFormat="1" applyFont="1" applyFill="1" applyBorder="1" applyAlignment="1">
      <alignment horizontal="center" vertical="top"/>
    </xf>
    <xf numFmtId="49" fontId="1" fillId="7" borderId="103" xfId="0" applyNumberFormat="1" applyFont="1" applyFill="1" applyBorder="1" applyAlignment="1">
      <alignment horizontal="center" vertical="top"/>
    </xf>
    <xf numFmtId="49" fontId="1" fillId="7" borderId="27" xfId="0" applyNumberFormat="1" applyFont="1" applyFill="1" applyBorder="1" applyAlignment="1">
      <alignment horizontal="center" vertical="top"/>
    </xf>
    <xf numFmtId="3" fontId="5" fillId="7" borderId="11" xfId="0" applyNumberFormat="1" applyFont="1" applyFill="1" applyBorder="1" applyAlignment="1">
      <alignment horizontal="center" vertical="top" wrapText="1"/>
    </xf>
    <xf numFmtId="3" fontId="5" fillId="7" borderId="28" xfId="0" applyNumberFormat="1" applyFont="1" applyFill="1" applyBorder="1" applyAlignment="1">
      <alignment horizontal="center" vertical="top" wrapText="1"/>
    </xf>
    <xf numFmtId="3" fontId="5" fillId="7" borderId="21" xfId="0" applyNumberFormat="1" applyFont="1" applyFill="1" applyBorder="1" applyAlignment="1">
      <alignment horizontal="center" vertical="top" wrapText="1"/>
    </xf>
    <xf numFmtId="165" fontId="1" fillId="7" borderId="83" xfId="0" applyNumberFormat="1" applyFont="1" applyFill="1" applyBorder="1" applyAlignment="1">
      <alignment horizontal="left" vertical="top" wrapText="1"/>
    </xf>
    <xf numFmtId="165" fontId="2" fillId="7" borderId="23" xfId="0" applyNumberFormat="1" applyFont="1" applyFill="1" applyBorder="1" applyAlignment="1">
      <alignment horizontal="center" vertical="top"/>
    </xf>
    <xf numFmtId="165" fontId="2" fillId="7" borderId="64" xfId="0" applyNumberFormat="1" applyFont="1" applyFill="1" applyBorder="1" applyAlignment="1">
      <alignment horizontal="center" vertical="top"/>
    </xf>
    <xf numFmtId="0" fontId="0" fillId="7" borderId="27" xfId="0" applyFont="1" applyFill="1" applyBorder="1" applyAlignment="1">
      <alignment horizontal="center" vertical="top"/>
    </xf>
    <xf numFmtId="165" fontId="1" fillId="7" borderId="110" xfId="0" applyNumberFormat="1" applyFont="1" applyFill="1" applyBorder="1" applyAlignment="1">
      <alignment horizontal="center" vertical="top"/>
    </xf>
    <xf numFmtId="165" fontId="9" fillId="7" borderId="11" xfId="0" applyNumberFormat="1" applyFont="1" applyFill="1" applyBorder="1" applyAlignment="1">
      <alignment horizontal="center" vertical="center" wrapText="1"/>
    </xf>
    <xf numFmtId="165" fontId="1" fillId="7" borderId="48" xfId="0" applyNumberFormat="1" applyFont="1" applyFill="1" applyBorder="1" applyAlignment="1">
      <alignment vertical="top"/>
    </xf>
    <xf numFmtId="165" fontId="11" fillId="7" borderId="6" xfId="0" applyNumberFormat="1" applyFont="1" applyFill="1" applyBorder="1" applyAlignment="1">
      <alignment horizontal="center" vertical="top"/>
    </xf>
    <xf numFmtId="49" fontId="1" fillId="7" borderId="75" xfId="0" applyNumberFormat="1" applyFont="1" applyFill="1" applyBorder="1" applyAlignment="1">
      <alignment horizontal="center" vertical="top"/>
    </xf>
    <xf numFmtId="165" fontId="1" fillId="7" borderId="75"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xf>
    <xf numFmtId="3" fontId="1" fillId="7" borderId="100" xfId="0" applyNumberFormat="1" applyFont="1" applyFill="1" applyBorder="1" applyAlignment="1">
      <alignment horizontal="center" vertical="top"/>
    </xf>
    <xf numFmtId="3" fontId="1" fillId="7" borderId="105" xfId="0" applyNumberFormat="1" applyFont="1" applyFill="1" applyBorder="1" applyAlignment="1">
      <alignment horizontal="center" vertical="top"/>
    </xf>
    <xf numFmtId="165" fontId="1" fillId="7" borderId="0" xfId="0" applyNumberFormat="1" applyFont="1" applyFill="1" applyBorder="1" applyAlignment="1">
      <alignment vertical="top"/>
    </xf>
    <xf numFmtId="0" fontId="16" fillId="0" borderId="0" xfId="0" applyFont="1" applyFill="1"/>
    <xf numFmtId="49" fontId="1" fillId="7" borderId="81" xfId="0" applyNumberFormat="1" applyFont="1" applyFill="1" applyBorder="1" applyAlignment="1">
      <alignment horizontal="center" vertical="top"/>
    </xf>
    <xf numFmtId="165" fontId="1" fillId="7" borderId="31" xfId="0" applyNumberFormat="1" applyFont="1" applyFill="1" applyBorder="1" applyAlignment="1">
      <alignment horizontal="center" vertical="top"/>
    </xf>
    <xf numFmtId="165" fontId="11" fillId="7" borderId="34" xfId="0" applyNumberFormat="1" applyFont="1" applyFill="1" applyBorder="1" applyAlignment="1">
      <alignment horizontal="center" vertical="top"/>
    </xf>
    <xf numFmtId="165" fontId="1" fillId="7" borderId="18" xfId="0" applyNumberFormat="1" applyFont="1" applyFill="1" applyBorder="1" applyAlignment="1">
      <alignment vertical="top"/>
    </xf>
    <xf numFmtId="165" fontId="12" fillId="7" borderId="28" xfId="0" applyNumberFormat="1" applyFont="1" applyFill="1" applyBorder="1" applyAlignment="1">
      <alignment horizontal="center" vertical="center" wrapText="1"/>
    </xf>
    <xf numFmtId="0" fontId="0" fillId="7" borderId="18" xfId="0" applyFont="1" applyFill="1" applyBorder="1" applyAlignment="1">
      <alignment horizontal="center" vertical="top" wrapText="1"/>
    </xf>
    <xf numFmtId="3" fontId="5" fillId="7" borderId="48" xfId="0" applyNumberFormat="1" applyFont="1" applyFill="1" applyBorder="1" applyAlignment="1">
      <alignment horizontal="center" vertical="center" wrapText="1"/>
    </xf>
    <xf numFmtId="3" fontId="5" fillId="7" borderId="18" xfId="0" applyNumberFormat="1" applyFont="1" applyFill="1" applyBorder="1" applyAlignment="1">
      <alignment horizontal="center" vertical="center" wrapText="1"/>
    </xf>
    <xf numFmtId="3" fontId="5" fillId="7" borderId="18" xfId="0" applyNumberFormat="1" applyFont="1" applyFill="1" applyBorder="1" applyAlignment="1">
      <alignment horizontal="center" vertical="top"/>
    </xf>
    <xf numFmtId="0" fontId="1" fillId="7" borderId="21" xfId="0" applyFont="1" applyFill="1" applyBorder="1" applyAlignment="1">
      <alignment horizontal="right" vertical="center"/>
    </xf>
    <xf numFmtId="0" fontId="18" fillId="7" borderId="27" xfId="0" applyFont="1" applyFill="1" applyBorder="1" applyAlignment="1">
      <alignment horizontal="right" vertical="center"/>
    </xf>
    <xf numFmtId="49" fontId="2" fillId="8" borderId="25" xfId="0" applyNumberFormat="1" applyFont="1" applyFill="1" applyBorder="1" applyAlignment="1">
      <alignment horizontal="center" vertical="top"/>
    </xf>
    <xf numFmtId="0" fontId="0" fillId="7" borderId="26" xfId="0" applyFont="1" applyFill="1" applyBorder="1" applyAlignment="1">
      <alignment horizontal="center" vertical="top"/>
    </xf>
    <xf numFmtId="165" fontId="2" fillId="7" borderId="44" xfId="0" applyNumberFormat="1" applyFont="1" applyFill="1" applyBorder="1" applyAlignment="1">
      <alignment horizontal="center" vertical="top"/>
    </xf>
    <xf numFmtId="165" fontId="6" fillId="7" borderId="5" xfId="0" applyNumberFormat="1" applyFont="1" applyFill="1" applyBorder="1" applyAlignment="1">
      <alignment vertical="top" wrapText="1"/>
    </xf>
    <xf numFmtId="165" fontId="13" fillId="7" borderId="47" xfId="0" applyNumberFormat="1" applyFont="1" applyFill="1" applyBorder="1" applyAlignment="1">
      <alignment horizontal="center" vertical="center" textRotation="90" wrapText="1"/>
    </xf>
    <xf numFmtId="165" fontId="13" fillId="7" borderId="19" xfId="0" applyNumberFormat="1" applyFont="1" applyFill="1" applyBorder="1" applyAlignment="1">
      <alignment horizontal="center" vertical="center" textRotation="90" wrapText="1"/>
    </xf>
    <xf numFmtId="165" fontId="1" fillId="7" borderId="16" xfId="0" applyNumberFormat="1" applyFont="1" applyFill="1" applyBorder="1" applyAlignment="1">
      <alignment horizontal="left" vertical="top" wrapText="1"/>
    </xf>
    <xf numFmtId="165" fontId="1" fillId="7" borderId="67" xfId="0" applyNumberFormat="1" applyFont="1" applyFill="1" applyBorder="1" applyAlignment="1">
      <alignment horizontal="center" vertical="top"/>
    </xf>
    <xf numFmtId="3" fontId="1" fillId="7" borderId="80" xfId="0" applyNumberFormat="1" applyFont="1" applyFill="1" applyBorder="1" applyAlignment="1">
      <alignment horizontal="center" vertical="top" wrapText="1"/>
    </xf>
    <xf numFmtId="3" fontId="1" fillId="7" borderId="102" xfId="0" applyNumberFormat="1" applyFont="1" applyFill="1" applyBorder="1" applyAlignment="1">
      <alignment horizontal="center" vertical="top" wrapText="1"/>
    </xf>
    <xf numFmtId="3" fontId="1" fillId="7" borderId="59" xfId="0" applyNumberFormat="1" applyFont="1" applyFill="1" applyBorder="1" applyAlignment="1">
      <alignment horizontal="center" vertical="top" wrapText="1"/>
    </xf>
    <xf numFmtId="3" fontId="1" fillId="7" borderId="75"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165" fontId="1" fillId="0" borderId="48" xfId="0" applyNumberFormat="1" applyFont="1" applyFill="1" applyBorder="1" applyAlignment="1">
      <alignment horizontal="center" vertical="top"/>
    </xf>
    <xf numFmtId="165" fontId="1" fillId="7" borderId="32" xfId="0" applyNumberFormat="1" applyFont="1" applyFill="1" applyBorder="1" applyAlignment="1">
      <alignment horizontal="center" vertical="top"/>
    </xf>
    <xf numFmtId="3" fontId="1" fillId="0" borderId="59" xfId="0" applyNumberFormat="1" applyFont="1" applyFill="1" applyBorder="1" applyAlignment="1">
      <alignment horizontal="center" vertical="top"/>
    </xf>
    <xf numFmtId="49" fontId="1" fillId="7" borderId="94" xfId="0" applyNumberFormat="1" applyFont="1" applyFill="1" applyBorder="1" applyAlignment="1">
      <alignment horizontal="center" vertical="top"/>
    </xf>
    <xf numFmtId="3" fontId="5" fillId="7" borderId="46" xfId="0" applyNumberFormat="1" applyFont="1" applyFill="1" applyBorder="1" applyAlignment="1">
      <alignment horizontal="center" vertical="top" wrapText="1"/>
    </xf>
    <xf numFmtId="3" fontId="5" fillId="7" borderId="35" xfId="0" applyNumberFormat="1" applyFont="1" applyFill="1" applyBorder="1" applyAlignment="1">
      <alignment horizontal="center" vertical="center" wrapText="1"/>
    </xf>
    <xf numFmtId="165" fontId="1" fillId="7" borderId="64" xfId="1" applyNumberFormat="1" applyFont="1" applyFill="1" applyBorder="1" applyAlignment="1">
      <alignment horizontal="center" vertical="top"/>
    </xf>
    <xf numFmtId="165" fontId="13" fillId="7" borderId="19" xfId="0" applyNumberFormat="1" applyFont="1" applyFill="1" applyBorder="1" applyAlignment="1">
      <alignment vertical="top" wrapText="1"/>
    </xf>
    <xf numFmtId="165" fontId="1" fillId="7" borderId="40" xfId="0" applyNumberFormat="1" applyFont="1" applyFill="1" applyBorder="1" applyAlignment="1">
      <alignment horizontal="left" vertical="top" wrapText="1"/>
    </xf>
    <xf numFmtId="3" fontId="1" fillId="7" borderId="109" xfId="0" applyNumberFormat="1" applyFont="1" applyFill="1" applyBorder="1" applyAlignment="1">
      <alignment horizontal="center" vertical="top"/>
    </xf>
    <xf numFmtId="0" fontId="1" fillId="7" borderId="46" xfId="0" applyFont="1" applyFill="1" applyBorder="1" applyAlignment="1">
      <alignment horizontal="right" vertical="center"/>
    </xf>
    <xf numFmtId="0" fontId="18" fillId="7" borderId="35" xfId="0" applyFont="1" applyFill="1" applyBorder="1" applyAlignment="1">
      <alignment horizontal="right" vertical="center"/>
    </xf>
    <xf numFmtId="3" fontId="5" fillId="7" borderId="48" xfId="0" applyNumberFormat="1" applyFont="1" applyFill="1" applyBorder="1" applyAlignment="1">
      <alignment horizontal="center" vertical="top"/>
    </xf>
    <xf numFmtId="165" fontId="2" fillId="2" borderId="72" xfId="0" applyNumberFormat="1" applyFont="1" applyFill="1" applyBorder="1" applyAlignment="1">
      <alignment horizontal="center" vertical="top"/>
    </xf>
    <xf numFmtId="165" fontId="1" fillId="7" borderId="40" xfId="0" applyNumberFormat="1" applyFont="1" applyFill="1" applyBorder="1" applyAlignment="1">
      <alignment horizontal="center" vertical="top"/>
    </xf>
    <xf numFmtId="165" fontId="2" fillId="5" borderId="55" xfId="0" applyNumberFormat="1" applyFont="1" applyFill="1" applyBorder="1" applyAlignment="1">
      <alignment horizontal="center" vertical="top"/>
    </xf>
    <xf numFmtId="165" fontId="2" fillId="5" borderId="4" xfId="0" applyNumberFormat="1" applyFont="1" applyFill="1" applyBorder="1" applyAlignment="1">
      <alignment horizontal="center" vertical="top"/>
    </xf>
    <xf numFmtId="165" fontId="2" fillId="8" borderId="1" xfId="0" applyNumberFormat="1" applyFont="1" applyFill="1" applyBorder="1" applyAlignment="1">
      <alignment horizontal="center" vertical="top" wrapText="1"/>
    </xf>
    <xf numFmtId="0" fontId="1" fillId="0" borderId="0" xfId="0" applyFont="1" applyFill="1" applyAlignment="1">
      <alignment horizontal="center" vertical="top"/>
    </xf>
    <xf numFmtId="3" fontId="1" fillId="0" borderId="0" xfId="0" applyNumberFormat="1" applyFont="1" applyFill="1" applyAlignment="1">
      <alignment vertical="top"/>
    </xf>
    <xf numFmtId="3" fontId="1" fillId="7" borderId="80" xfId="0" applyNumberFormat="1" applyFont="1" applyFill="1" applyBorder="1" applyAlignment="1">
      <alignment horizontal="center" vertical="top"/>
    </xf>
    <xf numFmtId="0" fontId="1" fillId="0" borderId="0" xfId="0" applyFont="1" applyFill="1" applyBorder="1" applyAlignment="1">
      <alignment vertical="top"/>
    </xf>
    <xf numFmtId="165" fontId="12" fillId="7" borderId="11" xfId="0" applyNumberFormat="1" applyFont="1" applyFill="1" applyBorder="1" applyAlignment="1">
      <alignment horizontal="center" vertical="center" wrapText="1"/>
    </xf>
    <xf numFmtId="0" fontId="0" fillId="0" borderId="0" xfId="0" applyFill="1" applyAlignment="1">
      <alignment horizontal="left" vertical="top" wrapText="1"/>
    </xf>
    <xf numFmtId="3" fontId="2" fillId="0" borderId="68" xfId="0" applyNumberFormat="1" applyFont="1" applyBorder="1" applyAlignment="1">
      <alignment horizontal="center" vertical="center" wrapText="1"/>
    </xf>
    <xf numFmtId="165" fontId="2" fillId="5" borderId="68" xfId="0" applyNumberFormat="1" applyFont="1" applyFill="1" applyBorder="1" applyAlignment="1">
      <alignment horizontal="center" vertical="top" wrapText="1"/>
    </xf>
    <xf numFmtId="165" fontId="2" fillId="8" borderId="67" xfId="0" applyNumberFormat="1" applyFont="1" applyFill="1" applyBorder="1" applyAlignment="1">
      <alignment horizontal="center" vertical="top" wrapText="1"/>
    </xf>
    <xf numFmtId="3" fontId="1" fillId="7" borderId="81" xfId="0" applyNumberFormat="1" applyFont="1" applyFill="1" applyBorder="1" applyAlignment="1">
      <alignment horizontal="center" vertical="top"/>
    </xf>
    <xf numFmtId="3" fontId="1" fillId="3" borderId="59" xfId="0" applyNumberFormat="1" applyFont="1" applyFill="1" applyBorder="1" applyAlignment="1">
      <alignment horizontal="center" vertical="top" wrapText="1"/>
    </xf>
    <xf numFmtId="165" fontId="1" fillId="0" borderId="73" xfId="0" applyNumberFormat="1" applyFont="1" applyBorder="1" applyAlignment="1">
      <alignment vertical="top"/>
    </xf>
    <xf numFmtId="3" fontId="5" fillId="7" borderId="75" xfId="0" applyNumberFormat="1" applyFont="1" applyFill="1" applyBorder="1" applyAlignment="1">
      <alignment horizontal="center" vertical="top" wrapText="1"/>
    </xf>
    <xf numFmtId="165" fontId="1" fillId="8" borderId="32" xfId="0" applyNumberFormat="1" applyFont="1" applyFill="1" applyBorder="1" applyAlignment="1">
      <alignment horizontal="center" vertical="top"/>
    </xf>
    <xf numFmtId="165" fontId="1" fillId="0" borderId="64" xfId="0" applyNumberFormat="1" applyFont="1" applyFill="1" applyBorder="1" applyAlignment="1">
      <alignment horizontal="center" vertical="top" wrapText="1"/>
    </xf>
    <xf numFmtId="165" fontId="1" fillId="0" borderId="64" xfId="1" applyNumberFormat="1" applyFont="1" applyFill="1" applyBorder="1" applyAlignment="1">
      <alignment horizontal="center" vertical="top" wrapText="1"/>
    </xf>
    <xf numFmtId="3" fontId="1" fillId="3" borderId="21" xfId="0" applyNumberFormat="1" applyFont="1" applyFill="1" applyBorder="1" applyAlignment="1">
      <alignment horizontal="center" vertical="top" wrapText="1"/>
    </xf>
    <xf numFmtId="0" fontId="20" fillId="0" borderId="10" xfId="0" applyFont="1" applyBorder="1" applyAlignment="1">
      <alignment horizontal="center" vertical="center" wrapText="1"/>
    </xf>
    <xf numFmtId="165" fontId="11" fillId="7" borderId="23"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165" fontId="1" fillId="0" borderId="15" xfId="0" applyNumberFormat="1" applyFont="1" applyBorder="1" applyAlignment="1">
      <alignment vertical="top"/>
    </xf>
    <xf numFmtId="165" fontId="1" fillId="0" borderId="84" xfId="0" applyNumberFormat="1" applyFont="1" applyFill="1" applyBorder="1" applyAlignment="1">
      <alignment horizontal="center" vertical="top"/>
    </xf>
    <xf numFmtId="3" fontId="5" fillId="7" borderId="27" xfId="0" applyNumberFormat="1" applyFont="1" applyFill="1" applyBorder="1" applyAlignment="1">
      <alignment horizontal="center" vertical="top" wrapText="1"/>
    </xf>
    <xf numFmtId="165" fontId="13" fillId="7" borderId="45" xfId="0" applyNumberFormat="1" applyFont="1" applyFill="1" applyBorder="1" applyAlignment="1">
      <alignment horizontal="center" vertical="center" textRotation="90" wrapText="1"/>
    </xf>
    <xf numFmtId="165" fontId="1" fillId="7" borderId="111" xfId="0" applyNumberFormat="1" applyFont="1" applyFill="1" applyBorder="1" applyAlignment="1">
      <alignment horizontal="center" vertical="top"/>
    </xf>
    <xf numFmtId="165" fontId="1" fillId="7" borderId="112" xfId="0" applyNumberFormat="1" applyFont="1" applyFill="1" applyBorder="1" applyAlignment="1">
      <alignment horizontal="center" vertical="top"/>
    </xf>
    <xf numFmtId="49" fontId="1" fillId="0" borderId="84" xfId="0" applyNumberFormat="1" applyFont="1" applyFill="1" applyBorder="1" applyAlignment="1">
      <alignment horizontal="center" vertical="top"/>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top" wrapText="1"/>
    </xf>
    <xf numFmtId="165" fontId="13" fillId="7" borderId="11" xfId="0" applyNumberFormat="1" applyFont="1" applyFill="1" applyBorder="1" applyAlignment="1">
      <alignment horizontal="center" vertical="top"/>
    </xf>
    <xf numFmtId="165" fontId="2" fillId="5" borderId="64" xfId="0" applyNumberFormat="1" applyFont="1" applyFill="1" applyBorder="1" applyAlignment="1">
      <alignment horizontal="center" vertical="top"/>
    </xf>
    <xf numFmtId="165" fontId="2" fillId="5" borderId="28"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1" fillId="7" borderId="81"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165" fontId="1" fillId="7" borderId="113" xfId="0" applyNumberFormat="1" applyFont="1" applyFill="1" applyBorder="1" applyAlignment="1">
      <alignment horizontal="center" vertical="top"/>
    </xf>
    <xf numFmtId="165" fontId="1" fillId="7" borderId="100" xfId="0" applyNumberFormat="1" applyFont="1" applyFill="1" applyBorder="1" applyAlignment="1">
      <alignment horizontal="center" vertical="top"/>
    </xf>
    <xf numFmtId="165" fontId="1" fillId="7" borderId="114" xfId="0" applyNumberFormat="1" applyFont="1" applyFill="1" applyBorder="1" applyAlignment="1">
      <alignment horizontal="center" vertical="top"/>
    </xf>
    <xf numFmtId="49" fontId="1" fillId="7" borderId="59" xfId="0" applyNumberFormat="1" applyFont="1" applyFill="1" applyBorder="1" applyAlignment="1">
      <alignment horizontal="center" vertical="top"/>
    </xf>
    <xf numFmtId="49" fontId="1" fillId="7" borderId="102" xfId="0" applyNumberFormat="1" applyFont="1" applyFill="1" applyBorder="1" applyAlignment="1">
      <alignment horizontal="center" vertical="top"/>
    </xf>
    <xf numFmtId="3" fontId="1" fillId="7" borderId="78" xfId="0" applyNumberFormat="1" applyFont="1" applyFill="1" applyBorder="1" applyAlignment="1">
      <alignment horizontal="center" vertical="center"/>
    </xf>
    <xf numFmtId="3" fontId="1" fillId="7" borderId="106" xfId="0" applyNumberFormat="1" applyFont="1" applyFill="1" applyBorder="1" applyAlignment="1">
      <alignment vertical="top"/>
    </xf>
    <xf numFmtId="3" fontId="1" fillId="7" borderId="27" xfId="0" applyNumberFormat="1" applyFont="1" applyFill="1" applyBorder="1" applyAlignment="1">
      <alignment vertical="top"/>
    </xf>
    <xf numFmtId="3" fontId="1" fillId="7" borderId="95" xfId="0" applyNumberFormat="1" applyFont="1" applyFill="1" applyBorder="1" applyAlignment="1">
      <alignment horizontal="center" vertical="top"/>
    </xf>
    <xf numFmtId="165" fontId="6" fillId="7" borderId="47" xfId="0" applyNumberFormat="1" applyFont="1" applyFill="1" applyBorder="1" applyAlignment="1">
      <alignment horizontal="center" vertical="center" textRotation="90" wrapText="1"/>
    </xf>
    <xf numFmtId="165" fontId="1" fillId="7" borderId="90" xfId="0" applyNumberFormat="1" applyFont="1" applyFill="1" applyBorder="1" applyAlignment="1">
      <alignment horizontal="center" vertical="top"/>
    </xf>
    <xf numFmtId="165" fontId="1" fillId="7" borderId="84" xfId="0" applyNumberFormat="1" applyFont="1" applyFill="1" applyBorder="1" applyAlignment="1">
      <alignment horizontal="center" vertical="top"/>
    </xf>
    <xf numFmtId="0" fontId="1" fillId="7" borderId="6" xfId="0" applyFont="1" applyFill="1" applyBorder="1" applyAlignment="1">
      <alignment horizontal="center" vertical="top" wrapText="1"/>
    </xf>
    <xf numFmtId="0" fontId="1" fillId="7" borderId="23" xfId="0" applyFont="1" applyFill="1" applyBorder="1" applyAlignment="1">
      <alignment horizontal="center" vertical="top" wrapText="1"/>
    </xf>
    <xf numFmtId="49" fontId="1" fillId="7" borderId="18" xfId="0" applyNumberFormat="1" applyFont="1" applyFill="1" applyBorder="1" applyAlignment="1">
      <alignment horizontal="center" vertical="center" wrapText="1"/>
    </xf>
    <xf numFmtId="165" fontId="1" fillId="7" borderId="101" xfId="0" applyNumberFormat="1" applyFont="1" applyFill="1" applyBorder="1" applyAlignment="1">
      <alignment horizontal="center" vertical="top" wrapText="1"/>
    </xf>
    <xf numFmtId="165" fontId="1" fillId="7" borderId="104" xfId="0" applyNumberFormat="1" applyFont="1" applyFill="1" applyBorder="1" applyAlignment="1">
      <alignment horizontal="center" vertical="top"/>
    </xf>
    <xf numFmtId="0" fontId="1" fillId="7" borderId="83" xfId="0" applyFont="1" applyFill="1" applyBorder="1" applyAlignment="1">
      <alignment horizontal="left" vertical="top" wrapText="1"/>
    </xf>
    <xf numFmtId="0" fontId="1" fillId="7" borderId="80" xfId="0" applyFont="1" applyFill="1" applyBorder="1" applyAlignment="1">
      <alignment vertical="top" wrapText="1"/>
    </xf>
    <xf numFmtId="49" fontId="1" fillId="7" borderId="104" xfId="0" applyNumberFormat="1" applyFont="1" applyFill="1" applyBorder="1" applyAlignment="1">
      <alignment horizontal="center" vertical="top"/>
    </xf>
    <xf numFmtId="165" fontId="2" fillId="7" borderId="59" xfId="0" applyNumberFormat="1" applyFont="1" applyFill="1" applyBorder="1" applyAlignment="1">
      <alignment horizontal="center" vertical="top" wrapText="1"/>
    </xf>
    <xf numFmtId="3" fontId="1" fillId="7" borderId="87" xfId="0" applyNumberFormat="1" applyFont="1" applyFill="1" applyBorder="1" applyAlignment="1">
      <alignment horizontal="center" vertical="top"/>
    </xf>
    <xf numFmtId="3" fontId="1" fillId="7" borderId="104" xfId="0" applyNumberFormat="1" applyFont="1" applyFill="1" applyBorder="1" applyAlignment="1">
      <alignment horizontal="center" vertical="top" wrapText="1"/>
    </xf>
    <xf numFmtId="3" fontId="1" fillId="7" borderId="103" xfId="0" applyNumberFormat="1" applyFont="1" applyFill="1" applyBorder="1" applyAlignment="1">
      <alignment horizontal="center" vertical="top" wrapText="1"/>
    </xf>
    <xf numFmtId="0" fontId="6" fillId="7" borderId="18" xfId="0" applyFont="1" applyFill="1" applyBorder="1" applyAlignment="1">
      <alignment horizontal="center" vertical="top" wrapText="1"/>
    </xf>
    <xf numFmtId="3" fontId="1" fillId="7" borderId="104" xfId="0" applyNumberFormat="1" applyFont="1" applyFill="1" applyBorder="1" applyAlignment="1">
      <alignment horizontal="center" vertical="top"/>
    </xf>
    <xf numFmtId="165" fontId="13" fillId="7" borderId="43" xfId="0" applyNumberFormat="1" applyFont="1" applyFill="1" applyBorder="1" applyAlignment="1">
      <alignment horizontal="center" vertical="top"/>
    </xf>
    <xf numFmtId="165" fontId="2" fillId="8" borderId="22" xfId="0" applyNumberFormat="1" applyFont="1" applyFill="1" applyBorder="1" applyAlignment="1">
      <alignment horizontal="center" vertical="top" wrapText="1"/>
    </xf>
    <xf numFmtId="165" fontId="2" fillId="5" borderId="10" xfId="0" applyNumberFormat="1" applyFont="1" applyFill="1" applyBorder="1" applyAlignment="1">
      <alignment horizontal="center" vertical="top" wrapText="1"/>
    </xf>
    <xf numFmtId="165" fontId="1" fillId="7" borderId="8"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wrapText="1"/>
    </xf>
    <xf numFmtId="0" fontId="1" fillId="7" borderId="8" xfId="0" applyFont="1" applyFill="1" applyBorder="1" applyAlignment="1">
      <alignment horizontal="center" vertical="top"/>
    </xf>
    <xf numFmtId="0" fontId="1" fillId="7" borderId="23" xfId="0" applyFont="1" applyFill="1" applyBorder="1" applyAlignment="1">
      <alignment horizontal="center" vertical="top"/>
    </xf>
    <xf numFmtId="3" fontId="13" fillId="7" borderId="35" xfId="0" applyNumberFormat="1" applyFont="1" applyFill="1" applyBorder="1" applyAlignment="1">
      <alignment horizontal="center" vertical="top"/>
    </xf>
    <xf numFmtId="3" fontId="1" fillId="0" borderId="105" xfId="0" applyNumberFormat="1" applyFont="1" applyFill="1" applyBorder="1" applyAlignment="1">
      <alignment horizontal="center" vertical="top"/>
    </xf>
    <xf numFmtId="3" fontId="1" fillId="0" borderId="103" xfId="0" applyNumberFormat="1" applyFont="1" applyFill="1" applyBorder="1" applyAlignment="1">
      <alignment horizontal="center" vertical="top"/>
    </xf>
    <xf numFmtId="3" fontId="1" fillId="0" borderId="0" xfId="0" applyNumberFormat="1" applyFont="1" applyAlignment="1">
      <alignment horizontal="left" vertical="top" wrapText="1"/>
    </xf>
    <xf numFmtId="0" fontId="1" fillId="7" borderId="28" xfId="0" applyFont="1" applyFill="1" applyBorder="1" applyAlignment="1">
      <alignment horizontal="center" vertical="top"/>
    </xf>
    <xf numFmtId="165" fontId="1" fillId="7" borderId="8" xfId="0" applyNumberFormat="1" applyFont="1" applyFill="1" applyBorder="1" applyAlignment="1">
      <alignment vertical="top"/>
    </xf>
    <xf numFmtId="165" fontId="1" fillId="7" borderId="25" xfId="0" applyNumberFormat="1" applyFont="1" applyFill="1" applyBorder="1" applyAlignment="1">
      <alignment vertical="top"/>
    </xf>
    <xf numFmtId="165" fontId="1" fillId="7" borderId="51" xfId="0" applyNumberFormat="1" applyFont="1" applyFill="1" applyBorder="1" applyAlignment="1">
      <alignment vertical="top"/>
    </xf>
    <xf numFmtId="165" fontId="1" fillId="7" borderId="26" xfId="0" applyNumberFormat="1" applyFont="1" applyFill="1" applyBorder="1" applyAlignment="1">
      <alignment vertical="top"/>
    </xf>
    <xf numFmtId="165" fontId="1" fillId="7" borderId="96" xfId="0" applyNumberFormat="1" applyFont="1" applyFill="1" applyBorder="1" applyAlignment="1">
      <alignment vertical="top" wrapText="1"/>
    </xf>
    <xf numFmtId="0" fontId="1" fillId="7" borderId="79" xfId="0" applyFont="1" applyFill="1" applyBorder="1" applyAlignment="1">
      <alignment vertical="top" wrapText="1"/>
    </xf>
    <xf numFmtId="0" fontId="1" fillId="7" borderId="83" xfId="0" applyFont="1" applyFill="1" applyBorder="1" applyAlignment="1">
      <alignment vertical="top" wrapText="1"/>
    </xf>
    <xf numFmtId="165" fontId="1" fillId="7" borderId="100" xfId="0" applyNumberFormat="1" applyFont="1" applyFill="1" applyBorder="1" applyAlignment="1">
      <alignment horizontal="center" vertical="center" textRotation="90" wrapText="1"/>
    </xf>
    <xf numFmtId="165" fontId="1" fillId="7" borderId="78" xfId="0" applyNumberFormat="1" applyFont="1" applyFill="1" applyBorder="1" applyAlignment="1">
      <alignment horizontal="center" vertical="top"/>
    </xf>
    <xf numFmtId="165" fontId="1" fillId="7" borderId="107" xfId="0" applyNumberFormat="1" applyFont="1" applyFill="1" applyBorder="1" applyAlignment="1">
      <alignment horizontal="center" vertical="top"/>
    </xf>
    <xf numFmtId="3" fontId="1" fillId="7" borderId="21" xfId="0" applyNumberFormat="1" applyFont="1" applyFill="1" applyBorder="1" applyAlignment="1">
      <alignment horizontal="center" vertical="top" wrapText="1"/>
    </xf>
    <xf numFmtId="3" fontId="1" fillId="7" borderId="59" xfId="0" applyNumberFormat="1" applyFont="1" applyFill="1" applyBorder="1" applyAlignment="1">
      <alignment horizontal="center" vertical="top"/>
    </xf>
    <xf numFmtId="165" fontId="2" fillId="7" borderId="25" xfId="0" applyNumberFormat="1" applyFont="1" applyFill="1" applyBorder="1" applyAlignment="1">
      <alignment horizontal="center" vertical="top"/>
    </xf>
    <xf numFmtId="3" fontId="1" fillId="7" borderId="46" xfId="0" applyNumberFormat="1" applyFont="1" applyFill="1" applyBorder="1" applyAlignment="1">
      <alignment horizontal="center" vertical="top" wrapText="1"/>
    </xf>
    <xf numFmtId="3" fontId="1" fillId="7" borderId="94" xfId="0" applyNumberFormat="1" applyFont="1" applyFill="1" applyBorder="1" applyAlignment="1">
      <alignment horizontal="center" vertical="top" wrapText="1"/>
    </xf>
    <xf numFmtId="165" fontId="13" fillId="7" borderId="34" xfId="0" applyNumberFormat="1" applyFont="1" applyFill="1" applyBorder="1" applyAlignment="1">
      <alignment horizontal="center" vertical="top"/>
    </xf>
    <xf numFmtId="165" fontId="2" fillId="2" borderId="71" xfId="0" applyNumberFormat="1" applyFont="1" applyFill="1" applyBorder="1" applyAlignment="1">
      <alignment horizontal="center" vertical="top"/>
    </xf>
    <xf numFmtId="165" fontId="1" fillId="7" borderId="115" xfId="0" applyNumberFormat="1" applyFont="1" applyFill="1" applyBorder="1" applyAlignment="1">
      <alignment horizontal="center" vertical="top"/>
    </xf>
    <xf numFmtId="165" fontId="1" fillId="0" borderId="90" xfId="0" applyNumberFormat="1" applyFont="1" applyFill="1" applyBorder="1" applyAlignment="1">
      <alignment horizontal="center" vertical="top"/>
    </xf>
    <xf numFmtId="0" fontId="1" fillId="7" borderId="18" xfId="0" applyFont="1" applyFill="1" applyBorder="1" applyAlignment="1">
      <alignment horizontal="right" vertical="center"/>
    </xf>
    <xf numFmtId="3" fontId="1" fillId="7" borderId="88" xfId="0" applyNumberFormat="1" applyFont="1" applyFill="1" applyBorder="1" applyAlignment="1">
      <alignment horizontal="center" vertical="top"/>
    </xf>
    <xf numFmtId="3" fontId="1" fillId="7" borderId="109" xfId="0" applyNumberFormat="1" applyFont="1" applyFill="1" applyBorder="1" applyAlignment="1">
      <alignment vertical="top"/>
    </xf>
    <xf numFmtId="165" fontId="1" fillId="7" borderId="53" xfId="0" applyNumberFormat="1" applyFont="1" applyFill="1" applyBorder="1" applyAlignment="1">
      <alignment horizontal="center" vertical="center"/>
    </xf>
    <xf numFmtId="165" fontId="1" fillId="7" borderId="64"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8" borderId="64" xfId="0" applyNumberFormat="1" applyFont="1" applyFill="1" applyBorder="1" applyAlignment="1">
      <alignment horizontal="center" vertical="top"/>
    </xf>
    <xf numFmtId="165" fontId="2" fillId="4" borderId="72" xfId="0" applyNumberFormat="1" applyFont="1" applyFill="1" applyBorder="1" applyAlignment="1">
      <alignment horizontal="center" vertical="top"/>
    </xf>
    <xf numFmtId="165" fontId="2" fillId="5" borderId="13" xfId="0" applyNumberFormat="1" applyFont="1" applyFill="1" applyBorder="1" applyAlignment="1">
      <alignment horizontal="center" vertical="top" wrapText="1"/>
    </xf>
    <xf numFmtId="165" fontId="1" fillId="8" borderId="28" xfId="0" applyNumberFormat="1" applyFont="1" applyFill="1" applyBorder="1" applyAlignment="1">
      <alignment horizontal="center" vertical="top"/>
    </xf>
    <xf numFmtId="165" fontId="2" fillId="4" borderId="30" xfId="0" applyNumberFormat="1" applyFont="1" applyFill="1" applyBorder="1" applyAlignment="1">
      <alignment horizontal="center" vertical="top"/>
    </xf>
    <xf numFmtId="49" fontId="1" fillId="7" borderId="84" xfId="0" applyNumberFormat="1" applyFont="1" applyFill="1" applyBorder="1" applyAlignment="1">
      <alignment horizontal="center" vertical="top"/>
    </xf>
    <xf numFmtId="165" fontId="1" fillId="7" borderId="79" xfId="0" applyNumberFormat="1" applyFont="1" applyFill="1" applyBorder="1" applyAlignment="1">
      <alignment horizontal="left" vertical="top" wrapText="1"/>
    </xf>
    <xf numFmtId="165" fontId="1" fillId="7" borderId="10" xfId="0" applyNumberFormat="1" applyFont="1" applyFill="1" applyBorder="1" applyAlignment="1">
      <alignment vertical="top"/>
    </xf>
    <xf numFmtId="165" fontId="1" fillId="7" borderId="64" xfId="0" applyNumberFormat="1" applyFont="1" applyFill="1" applyBorder="1" applyAlignment="1">
      <alignment vertical="top" wrapText="1"/>
    </xf>
    <xf numFmtId="165" fontId="11" fillId="7" borderId="8" xfId="0" applyNumberFormat="1" applyFont="1" applyFill="1" applyBorder="1" applyAlignment="1">
      <alignment horizontal="center" vertical="top" wrapText="1"/>
    </xf>
    <xf numFmtId="49" fontId="1" fillId="7" borderId="83" xfId="0" applyNumberFormat="1" applyFont="1" applyFill="1" applyBorder="1" applyAlignment="1">
      <alignment horizontal="center" vertical="top" wrapText="1"/>
    </xf>
    <xf numFmtId="49" fontId="1" fillId="7" borderId="84"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xf>
    <xf numFmtId="165" fontId="1" fillId="0" borderId="94" xfId="0" applyNumberFormat="1" applyFont="1" applyFill="1" applyBorder="1" applyAlignment="1">
      <alignment horizontal="center" vertical="top"/>
    </xf>
    <xf numFmtId="165" fontId="1" fillId="7" borderId="80" xfId="0" applyNumberFormat="1" applyFont="1" applyFill="1" applyBorder="1" applyAlignment="1">
      <alignment horizontal="center" vertical="top"/>
    </xf>
    <xf numFmtId="165" fontId="1" fillId="7" borderId="98" xfId="0" applyNumberFormat="1" applyFont="1" applyFill="1" applyBorder="1" applyAlignment="1">
      <alignment horizontal="center" vertical="top"/>
    </xf>
    <xf numFmtId="165" fontId="1" fillId="7" borderId="91" xfId="0" applyNumberFormat="1" applyFont="1" applyFill="1" applyBorder="1" applyAlignment="1">
      <alignment horizontal="center" vertical="top"/>
    </xf>
    <xf numFmtId="165" fontId="1" fillId="7" borderId="83" xfId="0" applyNumberFormat="1" applyFont="1" applyFill="1" applyBorder="1" applyAlignment="1">
      <alignment horizontal="center" vertical="top"/>
    </xf>
    <xf numFmtId="165" fontId="1" fillId="7" borderId="117" xfId="0" applyNumberFormat="1" applyFont="1" applyFill="1" applyBorder="1" applyAlignment="1">
      <alignment horizontal="center" vertical="top"/>
    </xf>
    <xf numFmtId="165" fontId="1" fillId="7" borderId="118" xfId="0" applyNumberFormat="1" applyFont="1" applyFill="1" applyBorder="1" applyAlignment="1">
      <alignment horizontal="center" vertical="top"/>
    </xf>
    <xf numFmtId="165" fontId="1" fillId="8" borderId="1" xfId="0" applyNumberFormat="1" applyFont="1" applyFill="1" applyBorder="1" applyAlignment="1">
      <alignment horizontal="center" vertical="top"/>
    </xf>
    <xf numFmtId="49" fontId="1" fillId="7" borderId="92" xfId="0" applyNumberFormat="1" applyFont="1" applyFill="1" applyBorder="1" applyAlignment="1">
      <alignment horizontal="center" vertical="top"/>
    </xf>
    <xf numFmtId="165" fontId="13" fillId="7" borderId="28" xfId="0" applyNumberFormat="1" applyFont="1" applyFill="1" applyBorder="1" applyAlignment="1">
      <alignment horizontal="center" vertical="top"/>
    </xf>
    <xf numFmtId="165" fontId="13" fillId="7" borderId="64" xfId="0" applyNumberFormat="1" applyFont="1" applyFill="1" applyBorder="1" applyAlignment="1">
      <alignment horizontal="center" vertical="top"/>
    </xf>
    <xf numFmtId="165" fontId="2" fillId="7" borderId="11" xfId="0" applyNumberFormat="1" applyFont="1" applyFill="1" applyBorder="1" applyAlignment="1">
      <alignment horizontal="center" vertical="center" wrapText="1"/>
    </xf>
    <xf numFmtId="165" fontId="3" fillId="7" borderId="20" xfId="0" applyNumberFormat="1" applyFont="1" applyFill="1" applyBorder="1" applyAlignment="1">
      <alignment horizontal="center" vertical="top" wrapText="1"/>
    </xf>
    <xf numFmtId="3" fontId="1" fillId="7" borderId="105" xfId="0" applyNumberFormat="1" applyFont="1" applyFill="1" applyBorder="1" applyAlignment="1">
      <alignment horizontal="center" vertical="top" wrapText="1"/>
    </xf>
    <xf numFmtId="3" fontId="5" fillId="7" borderId="11" xfId="0" applyNumberFormat="1" applyFont="1" applyFill="1" applyBorder="1" applyAlignment="1">
      <alignment horizontal="center" vertical="center" wrapText="1"/>
    </xf>
    <xf numFmtId="0" fontId="1" fillId="7" borderId="45" xfId="0" applyFont="1" applyFill="1" applyBorder="1" applyAlignment="1">
      <alignment vertical="top" wrapText="1"/>
    </xf>
    <xf numFmtId="0" fontId="1" fillId="7" borderId="19" xfId="0" applyFont="1" applyFill="1" applyBorder="1" applyAlignment="1">
      <alignment vertical="top" wrapText="1"/>
    </xf>
    <xf numFmtId="165" fontId="13" fillId="7" borderId="23" xfId="0" applyNumberFormat="1" applyFont="1" applyFill="1" applyBorder="1" applyAlignment="1">
      <alignment horizontal="center" vertical="top"/>
    </xf>
    <xf numFmtId="3" fontId="1" fillId="7" borderId="100"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xf>
    <xf numFmtId="0" fontId="2" fillId="0" borderId="0" xfId="0" applyFont="1" applyBorder="1" applyAlignment="1">
      <alignment vertical="top"/>
    </xf>
    <xf numFmtId="49" fontId="1" fillId="7" borderId="119" xfId="3" applyNumberFormat="1" applyFont="1" applyFill="1" applyBorder="1" applyAlignment="1">
      <alignment horizontal="center" vertical="top"/>
    </xf>
    <xf numFmtId="49" fontId="1" fillId="7" borderId="120" xfId="3" applyNumberFormat="1" applyFont="1" applyFill="1" applyBorder="1" applyAlignment="1">
      <alignment horizontal="center" vertical="top"/>
    </xf>
    <xf numFmtId="165" fontId="1" fillId="7" borderId="121" xfId="3" applyNumberFormat="1" applyFont="1" applyFill="1" applyBorder="1" applyAlignment="1">
      <alignment vertical="top" wrapText="1"/>
    </xf>
    <xf numFmtId="3" fontId="1" fillId="3" borderId="48" xfId="0" applyNumberFormat="1" applyFont="1" applyFill="1" applyBorder="1" applyAlignment="1">
      <alignment horizontal="center" vertical="top" wrapText="1"/>
    </xf>
    <xf numFmtId="165" fontId="1" fillId="7" borderId="122" xfId="3" applyNumberFormat="1" applyFont="1" applyFill="1" applyBorder="1" applyAlignment="1">
      <alignment vertical="top" wrapText="1"/>
    </xf>
    <xf numFmtId="165" fontId="1" fillId="7" borderId="47" xfId="0" applyNumberFormat="1" applyFont="1" applyFill="1" applyBorder="1" applyAlignment="1">
      <alignment vertical="top" wrapText="1"/>
    </xf>
    <xf numFmtId="0" fontId="1" fillId="7" borderId="6" xfId="0" applyFont="1" applyFill="1" applyBorder="1" applyAlignment="1">
      <alignment horizontal="center" vertical="center"/>
    </xf>
    <xf numFmtId="0" fontId="1" fillId="7" borderId="6" xfId="0" applyFont="1" applyFill="1" applyBorder="1" applyAlignment="1">
      <alignment horizontal="center" vertical="top"/>
    </xf>
    <xf numFmtId="3" fontId="22" fillId="7" borderId="0" xfId="0" applyNumberFormat="1" applyFont="1" applyFill="1" applyBorder="1" applyAlignment="1">
      <alignment horizontal="center" vertical="top"/>
    </xf>
    <xf numFmtId="0" fontId="1" fillId="7" borderId="86" xfId="0" applyFont="1" applyFill="1" applyBorder="1" applyAlignment="1">
      <alignment horizontal="left" vertical="top" wrapText="1"/>
    </xf>
    <xf numFmtId="49" fontId="1" fillId="7" borderId="87" xfId="0" applyNumberFormat="1" applyFont="1" applyFill="1" applyBorder="1" applyAlignment="1">
      <alignment horizontal="center" vertical="top" wrapText="1"/>
    </xf>
    <xf numFmtId="49" fontId="1" fillId="7" borderId="95" xfId="0" applyNumberFormat="1" applyFont="1" applyFill="1" applyBorder="1" applyAlignment="1">
      <alignment horizontal="center" vertical="top" wrapText="1"/>
    </xf>
    <xf numFmtId="3" fontId="1" fillId="7" borderId="75" xfId="1" applyNumberFormat="1" applyFont="1" applyFill="1" applyBorder="1" applyAlignment="1">
      <alignment horizontal="center" vertical="top" wrapText="1"/>
    </xf>
    <xf numFmtId="3" fontId="1" fillId="7" borderId="27" xfId="1" applyNumberFormat="1" applyFont="1" applyFill="1" applyBorder="1" applyAlignment="1">
      <alignment horizontal="center" vertical="top" wrapText="1"/>
    </xf>
    <xf numFmtId="165" fontId="1" fillId="7" borderId="79" xfId="0" applyNumberFormat="1" applyFont="1" applyFill="1" applyBorder="1" applyAlignment="1">
      <alignment vertical="top" wrapText="1"/>
    </xf>
    <xf numFmtId="0" fontId="1" fillId="7" borderId="20" xfId="0" applyFont="1" applyFill="1" applyBorder="1" applyAlignment="1">
      <alignment vertical="top"/>
    </xf>
    <xf numFmtId="0" fontId="1" fillId="7" borderId="46" xfId="0" applyFont="1" applyFill="1" applyBorder="1" applyAlignment="1">
      <alignment vertical="top"/>
    </xf>
    <xf numFmtId="49" fontId="1" fillId="7" borderId="20" xfId="0" applyNumberFormat="1" applyFont="1" applyFill="1" applyBorder="1" applyAlignment="1">
      <alignment horizontal="center" vertical="top"/>
    </xf>
    <xf numFmtId="3" fontId="1" fillId="7" borderId="1" xfId="0" applyNumberFormat="1" applyFont="1" applyFill="1" applyBorder="1" applyAlignment="1">
      <alignment horizontal="center" vertical="top"/>
    </xf>
    <xf numFmtId="3" fontId="1" fillId="0" borderId="102" xfId="0" applyNumberFormat="1" applyFont="1" applyFill="1" applyBorder="1" applyAlignment="1">
      <alignment horizontal="center" vertical="top"/>
    </xf>
    <xf numFmtId="3" fontId="1" fillId="0" borderId="94" xfId="0" applyNumberFormat="1" applyFont="1" applyFill="1" applyBorder="1" applyAlignment="1">
      <alignment horizontal="center" vertical="top"/>
    </xf>
    <xf numFmtId="3" fontId="1" fillId="0" borderId="81" xfId="0" applyNumberFormat="1" applyFont="1" applyFill="1" applyBorder="1" applyAlignment="1">
      <alignment horizontal="center" vertical="top"/>
    </xf>
    <xf numFmtId="165" fontId="1" fillId="7" borderId="116" xfId="0" applyNumberFormat="1" applyFont="1" applyFill="1" applyBorder="1" applyAlignment="1">
      <alignment horizontal="center" vertical="top"/>
    </xf>
    <xf numFmtId="165" fontId="1" fillId="0" borderId="85" xfId="0" applyNumberFormat="1" applyFont="1" applyFill="1" applyBorder="1" applyAlignment="1">
      <alignment horizontal="center" vertical="top"/>
    </xf>
    <xf numFmtId="165" fontId="1" fillId="0" borderId="110" xfId="0" applyNumberFormat="1" applyFont="1" applyBorder="1" applyAlignment="1">
      <alignment vertical="top"/>
    </xf>
    <xf numFmtId="165" fontId="1" fillId="0" borderId="85" xfId="0" applyNumberFormat="1" applyFont="1" applyBorder="1" applyAlignment="1">
      <alignment vertical="top"/>
    </xf>
    <xf numFmtId="165" fontId="1" fillId="7" borderId="78" xfId="0" applyNumberFormat="1" applyFont="1" applyFill="1" applyBorder="1" applyAlignment="1">
      <alignment vertical="top"/>
    </xf>
    <xf numFmtId="165" fontId="1" fillId="7" borderId="107" xfId="0" applyNumberFormat="1" applyFont="1" applyFill="1" applyBorder="1" applyAlignment="1">
      <alignment vertical="top"/>
    </xf>
    <xf numFmtId="165" fontId="1" fillId="7" borderId="106" xfId="0" applyNumberFormat="1" applyFont="1" applyFill="1" applyBorder="1" applyAlignment="1">
      <alignment vertical="top"/>
    </xf>
    <xf numFmtId="0" fontId="2" fillId="0" borderId="0" xfId="0" applyFont="1" applyAlignment="1">
      <alignment horizontal="right" vertical="top"/>
    </xf>
    <xf numFmtId="165" fontId="1" fillId="7" borderId="20" xfId="0" applyNumberFormat="1" applyFont="1" applyFill="1" applyBorder="1" applyAlignment="1">
      <alignment horizontal="center" vertical="top" wrapText="1"/>
    </xf>
    <xf numFmtId="0" fontId="22" fillId="7" borderId="77" xfId="0" applyFont="1" applyFill="1" applyBorder="1" applyAlignment="1">
      <alignment vertical="top" wrapText="1"/>
    </xf>
    <xf numFmtId="3" fontId="1" fillId="3" borderId="46" xfId="0" applyNumberFormat="1" applyFont="1" applyFill="1" applyBorder="1" applyAlignment="1">
      <alignment horizontal="center" vertical="top" wrapText="1"/>
    </xf>
    <xf numFmtId="165" fontId="1" fillId="0" borderId="14" xfId="0" applyNumberFormat="1" applyFont="1" applyBorder="1" applyAlignment="1">
      <alignment vertical="top"/>
    </xf>
    <xf numFmtId="165" fontId="1" fillId="7" borderId="109" xfId="0" applyNumberFormat="1" applyFont="1" applyFill="1" applyBorder="1" applyAlignment="1">
      <alignment vertical="top"/>
    </xf>
    <xf numFmtId="3" fontId="5" fillId="7" borderId="35" xfId="0" applyNumberFormat="1" applyFont="1" applyFill="1" applyBorder="1" applyAlignment="1">
      <alignment horizontal="center" vertical="top" wrapText="1"/>
    </xf>
    <xf numFmtId="3" fontId="1" fillId="7" borderId="35" xfId="0" applyNumberFormat="1" applyFont="1" applyFill="1" applyBorder="1" applyAlignment="1">
      <alignment vertical="top"/>
    </xf>
    <xf numFmtId="49" fontId="1" fillId="7" borderId="123" xfId="3" applyNumberFormat="1" applyFont="1" applyFill="1" applyBorder="1" applyAlignment="1">
      <alignment horizontal="center" vertical="top"/>
    </xf>
    <xf numFmtId="49" fontId="2" fillId="8" borderId="58" xfId="0" applyNumberFormat="1" applyFont="1" applyFill="1" applyBorder="1" applyAlignment="1">
      <alignment horizontal="center" vertical="top"/>
    </xf>
    <xf numFmtId="0" fontId="1" fillId="7" borderId="80" xfId="0" applyNumberFormat="1" applyFont="1" applyFill="1" applyBorder="1" applyAlignment="1">
      <alignment horizontal="center" vertical="top"/>
    </xf>
    <xf numFmtId="165" fontId="1" fillId="7" borderId="87" xfId="0" applyNumberFormat="1" applyFont="1" applyFill="1" applyBorder="1" applyAlignment="1">
      <alignment vertical="top" wrapText="1"/>
    </xf>
    <xf numFmtId="0" fontId="11" fillId="0" borderId="0" xfId="0" applyFont="1" applyBorder="1" applyAlignment="1">
      <alignment vertical="top"/>
    </xf>
    <xf numFmtId="165" fontId="1" fillId="7" borderId="81" xfId="0" applyNumberFormat="1" applyFont="1" applyFill="1" applyBorder="1" applyAlignment="1">
      <alignment horizontal="center" vertical="top"/>
    </xf>
    <xf numFmtId="165" fontId="1" fillId="7" borderId="94" xfId="0" applyNumberFormat="1" applyFont="1" applyFill="1" applyBorder="1" applyAlignment="1">
      <alignment horizontal="center" vertical="top"/>
    </xf>
    <xf numFmtId="165" fontId="1" fillId="7" borderId="87" xfId="0" applyNumberFormat="1" applyFont="1" applyFill="1" applyBorder="1" applyAlignment="1">
      <alignment horizontal="center" vertical="top"/>
    </xf>
    <xf numFmtId="165" fontId="1" fillId="7" borderId="124" xfId="0" applyNumberFormat="1" applyFont="1" applyFill="1" applyBorder="1" applyAlignment="1">
      <alignment horizontal="center" vertical="top"/>
    </xf>
    <xf numFmtId="0" fontId="1" fillId="7" borderId="11" xfId="0" applyNumberFormat="1" applyFont="1" applyFill="1" applyBorder="1" applyAlignment="1">
      <alignment horizontal="center" vertical="top"/>
    </xf>
    <xf numFmtId="165" fontId="1" fillId="7" borderId="91" xfId="0" applyNumberFormat="1" applyFont="1" applyFill="1" applyBorder="1" applyAlignment="1">
      <alignment horizontal="left" vertical="top" wrapText="1"/>
    </xf>
    <xf numFmtId="0" fontId="1" fillId="7" borderId="18" xfId="0" applyNumberFormat="1" applyFont="1" applyFill="1" applyBorder="1" applyAlignment="1">
      <alignment horizontal="center" vertical="top" wrapText="1"/>
    </xf>
    <xf numFmtId="165" fontId="1" fillId="0" borderId="101" xfId="0" applyNumberFormat="1" applyFont="1" applyFill="1" applyBorder="1" applyAlignment="1">
      <alignment horizontal="center" vertical="top"/>
    </xf>
    <xf numFmtId="0" fontId="1" fillId="7" borderId="48" xfId="0" applyFont="1" applyFill="1" applyBorder="1" applyAlignment="1">
      <alignment horizontal="center" vertical="top"/>
    </xf>
    <xf numFmtId="165" fontId="1" fillId="8" borderId="33" xfId="0" applyNumberFormat="1" applyFont="1" applyFill="1" applyBorder="1" applyAlignment="1">
      <alignment horizontal="center" vertical="top"/>
    </xf>
    <xf numFmtId="49" fontId="13" fillId="0" borderId="35" xfId="0" applyNumberFormat="1" applyFont="1" applyFill="1" applyBorder="1" applyAlignment="1">
      <alignment horizontal="center" vertical="top"/>
    </xf>
    <xf numFmtId="0" fontId="1" fillId="7" borderId="78" xfId="0" applyFont="1" applyFill="1" applyBorder="1" applyAlignment="1">
      <alignment vertical="top" wrapText="1"/>
    </xf>
    <xf numFmtId="0" fontId="1" fillId="7" borderId="77" xfId="0" applyFont="1" applyFill="1" applyBorder="1" applyAlignment="1">
      <alignment vertical="top" wrapText="1"/>
    </xf>
    <xf numFmtId="3" fontId="1" fillId="7" borderId="20" xfId="0" applyNumberFormat="1" applyFont="1" applyFill="1" applyBorder="1" applyAlignment="1">
      <alignment horizontal="center" vertical="center"/>
    </xf>
    <xf numFmtId="3" fontId="1" fillId="7" borderId="46" xfId="0" applyNumberFormat="1" applyFont="1" applyFill="1" applyBorder="1" applyAlignment="1">
      <alignment horizontal="center" vertical="center"/>
    </xf>
    <xf numFmtId="3" fontId="1" fillId="7" borderId="21" xfId="0" applyNumberFormat="1" applyFont="1" applyFill="1" applyBorder="1" applyAlignment="1">
      <alignment horizontal="center" vertical="center"/>
    </xf>
    <xf numFmtId="165" fontId="2" fillId="9" borderId="9" xfId="0" applyNumberFormat="1" applyFont="1" applyFill="1" applyBorder="1" applyAlignment="1">
      <alignment horizontal="center" vertical="top"/>
    </xf>
    <xf numFmtId="165" fontId="1" fillId="0" borderId="18" xfId="0" applyNumberFormat="1" applyFont="1" applyBorder="1" applyAlignment="1">
      <alignment horizontal="center" vertical="top" wrapText="1"/>
    </xf>
    <xf numFmtId="165" fontId="6" fillId="7" borderId="18" xfId="0" applyNumberFormat="1" applyFont="1" applyFill="1" applyBorder="1" applyAlignment="1">
      <alignment horizontal="center" vertical="center" wrapText="1"/>
    </xf>
    <xf numFmtId="0" fontId="6" fillId="7" borderId="48" xfId="0" applyFont="1" applyFill="1" applyBorder="1" applyAlignment="1">
      <alignment vertical="top" wrapText="1"/>
    </xf>
    <xf numFmtId="165" fontId="6" fillId="7" borderId="27" xfId="0" applyNumberFormat="1" applyFont="1" applyFill="1" applyBorder="1" applyAlignment="1">
      <alignment vertical="top" wrapText="1"/>
    </xf>
    <xf numFmtId="165" fontId="6" fillId="7" borderId="18" xfId="0" applyNumberFormat="1" applyFont="1" applyFill="1" applyBorder="1" applyAlignment="1">
      <alignment vertical="top" wrapText="1"/>
    </xf>
    <xf numFmtId="49" fontId="2" fillId="8" borderId="48" xfId="0" applyNumberFormat="1" applyFont="1" applyFill="1" applyBorder="1" applyAlignment="1">
      <alignment horizontal="center" vertical="top"/>
    </xf>
    <xf numFmtId="165" fontId="1" fillId="7" borderId="95" xfId="0" applyNumberFormat="1" applyFont="1" applyFill="1" applyBorder="1" applyAlignment="1">
      <alignment horizontal="center" vertical="top" wrapText="1"/>
    </xf>
    <xf numFmtId="165" fontId="1" fillId="7" borderId="86" xfId="0" applyNumberFormat="1" applyFont="1" applyFill="1" applyBorder="1" applyAlignment="1">
      <alignment vertical="top" wrapText="1"/>
    </xf>
    <xf numFmtId="0" fontId="1" fillId="7" borderId="108" xfId="0" applyNumberFormat="1" applyFont="1" applyFill="1" applyBorder="1" applyAlignment="1">
      <alignment horizontal="center" vertical="top"/>
    </xf>
    <xf numFmtId="3" fontId="13" fillId="7" borderId="11" xfId="0" applyNumberFormat="1" applyFont="1" applyFill="1" applyBorder="1" applyAlignment="1">
      <alignment horizontal="center" vertical="top"/>
    </xf>
    <xf numFmtId="165" fontId="13" fillId="7" borderId="30" xfId="0" applyNumberFormat="1" applyFont="1" applyFill="1" applyBorder="1" applyAlignment="1">
      <alignment vertical="top" wrapText="1"/>
    </xf>
    <xf numFmtId="165" fontId="27" fillId="7" borderId="30" xfId="0" applyNumberFormat="1" applyFont="1" applyFill="1" applyBorder="1" applyAlignment="1">
      <alignment horizontal="center" vertical="top" wrapText="1"/>
    </xf>
    <xf numFmtId="165" fontId="13" fillId="7" borderId="52" xfId="0" applyNumberFormat="1" applyFont="1" applyFill="1" applyBorder="1" applyAlignment="1">
      <alignment vertical="top" wrapText="1"/>
    </xf>
    <xf numFmtId="165" fontId="5" fillId="7" borderId="18" xfId="0" applyNumberFormat="1" applyFont="1" applyFill="1" applyBorder="1" applyAlignment="1">
      <alignment horizontal="center" vertical="top" wrapText="1"/>
    </xf>
    <xf numFmtId="3" fontId="1" fillId="7" borderId="78" xfId="0" applyNumberFormat="1" applyFont="1" applyFill="1" applyBorder="1" applyAlignment="1">
      <alignment horizontal="center" vertical="top"/>
    </xf>
    <xf numFmtId="49" fontId="1" fillId="7" borderId="90" xfId="0" applyNumberFormat="1" applyFont="1" applyFill="1" applyBorder="1" applyAlignment="1">
      <alignment horizontal="center" vertical="top"/>
    </xf>
    <xf numFmtId="0" fontId="1" fillId="7" borderId="21" xfId="0" applyFont="1" applyFill="1" applyBorder="1" applyAlignment="1">
      <alignment horizontal="center" vertical="top"/>
    </xf>
    <xf numFmtId="0" fontId="1" fillId="7" borderId="18" xfId="0" applyFont="1" applyFill="1" applyBorder="1" applyAlignment="1">
      <alignment horizontal="center" vertical="top"/>
    </xf>
    <xf numFmtId="0" fontId="2" fillId="7" borderId="48" xfId="0" applyFont="1" applyFill="1" applyBorder="1" applyAlignment="1">
      <alignment vertical="top" wrapText="1"/>
    </xf>
    <xf numFmtId="0" fontId="3" fillId="7" borderId="20" xfId="0" applyFont="1" applyFill="1" applyBorder="1" applyAlignment="1">
      <alignment horizontal="center" vertical="top" wrapText="1"/>
    </xf>
    <xf numFmtId="0" fontId="1" fillId="7" borderId="21" xfId="0" applyFont="1" applyFill="1" applyBorder="1" applyAlignment="1">
      <alignment vertical="top"/>
    </xf>
    <xf numFmtId="0" fontId="1" fillId="7" borderId="89" xfId="0" applyFont="1" applyFill="1" applyBorder="1" applyAlignment="1">
      <alignment horizontal="center" vertical="top"/>
    </xf>
    <xf numFmtId="3" fontId="13" fillId="7" borderId="48" xfId="0" applyNumberFormat="1" applyFont="1" applyFill="1" applyBorder="1" applyAlignment="1">
      <alignment horizontal="center" vertical="top"/>
    </xf>
    <xf numFmtId="49" fontId="1" fillId="7" borderId="18" xfId="0" applyNumberFormat="1" applyFont="1" applyFill="1" applyBorder="1" applyAlignment="1">
      <alignment horizontal="center" vertical="top" wrapText="1"/>
    </xf>
    <xf numFmtId="3" fontId="13" fillId="7" borderId="75" xfId="0" applyNumberFormat="1" applyFont="1" applyFill="1" applyBorder="1" applyAlignment="1">
      <alignment horizontal="center" vertical="top"/>
    </xf>
    <xf numFmtId="0" fontId="1" fillId="7" borderId="64" xfId="0" applyFont="1" applyFill="1" applyBorder="1" applyAlignment="1">
      <alignment vertical="top"/>
    </xf>
    <xf numFmtId="0" fontId="1" fillId="7" borderId="35" xfId="0" applyFont="1" applyFill="1" applyBorder="1" applyAlignment="1">
      <alignment vertical="top"/>
    </xf>
    <xf numFmtId="0" fontId="1" fillId="7" borderId="28" xfId="0" applyFont="1" applyFill="1" applyBorder="1" applyAlignment="1">
      <alignment vertical="top"/>
    </xf>
    <xf numFmtId="3" fontId="1" fillId="7" borderId="45" xfId="0" applyNumberFormat="1" applyFont="1" applyFill="1" applyBorder="1" applyAlignment="1">
      <alignment horizontal="center" vertical="top"/>
    </xf>
    <xf numFmtId="0" fontId="1" fillId="7" borderId="85" xfId="0" applyFont="1" applyFill="1" applyBorder="1" applyAlignment="1">
      <alignment horizontal="center" vertical="top"/>
    </xf>
    <xf numFmtId="3" fontId="13" fillId="7" borderId="20" xfId="0" applyNumberFormat="1" applyFont="1" applyFill="1" applyBorder="1" applyAlignment="1">
      <alignment horizontal="center" vertical="top"/>
    </xf>
    <xf numFmtId="165" fontId="1" fillId="7" borderId="77" xfId="0" applyNumberFormat="1" applyFont="1" applyFill="1" applyBorder="1" applyAlignment="1">
      <alignment vertical="top" wrapText="1"/>
    </xf>
    <xf numFmtId="49" fontId="1" fillId="7" borderId="109" xfId="0" applyNumberFormat="1" applyFont="1" applyFill="1" applyBorder="1" applyAlignment="1">
      <alignment horizontal="center" vertical="top"/>
    </xf>
    <xf numFmtId="0" fontId="1" fillId="0" borderId="82" xfId="0" applyFont="1" applyBorder="1" applyAlignment="1">
      <alignment vertical="top" wrapText="1"/>
    </xf>
    <xf numFmtId="49" fontId="2" fillId="8" borderId="1" xfId="0" applyNumberFormat="1" applyFont="1" applyFill="1" applyBorder="1" applyAlignment="1">
      <alignment horizontal="center" vertical="top"/>
    </xf>
    <xf numFmtId="165" fontId="1" fillId="8" borderId="1" xfId="0" applyNumberFormat="1" applyFont="1" applyFill="1" applyBorder="1" applyAlignment="1">
      <alignment horizontal="center" vertical="center" textRotation="90" wrapText="1"/>
    </xf>
    <xf numFmtId="165" fontId="1" fillId="8" borderId="17" xfId="0" applyNumberFormat="1" applyFont="1" applyFill="1" applyBorder="1" applyAlignment="1">
      <alignment horizontal="center" vertical="top" wrapText="1"/>
    </xf>
    <xf numFmtId="165" fontId="1" fillId="8" borderId="22" xfId="0" applyNumberFormat="1" applyFont="1" applyFill="1" applyBorder="1" applyAlignment="1">
      <alignment horizontal="center" vertical="top"/>
    </xf>
    <xf numFmtId="165" fontId="1" fillId="8" borderId="16" xfId="0" applyNumberFormat="1" applyFont="1" applyFill="1" applyBorder="1" applyAlignment="1">
      <alignment horizontal="left" vertical="top" wrapText="1"/>
    </xf>
    <xf numFmtId="165" fontId="1" fillId="8" borderId="62" xfId="0" applyNumberFormat="1" applyFont="1" applyFill="1" applyBorder="1" applyAlignment="1">
      <alignment horizontal="center" vertical="top"/>
    </xf>
    <xf numFmtId="165" fontId="1" fillId="8" borderId="17" xfId="0" applyNumberFormat="1" applyFont="1" applyFill="1" applyBorder="1" applyAlignment="1">
      <alignment horizontal="center" vertical="top"/>
    </xf>
    <xf numFmtId="3" fontId="1" fillId="7" borderId="35" xfId="1" applyNumberFormat="1" applyFont="1" applyFill="1" applyBorder="1" applyAlignment="1">
      <alignment horizontal="center" vertical="top" wrapText="1"/>
    </xf>
    <xf numFmtId="49" fontId="11" fillId="7" borderId="106" xfId="0" applyNumberFormat="1" applyFont="1" applyFill="1" applyBorder="1" applyAlignment="1">
      <alignment horizontal="center" vertical="top"/>
    </xf>
    <xf numFmtId="3" fontId="13" fillId="7" borderId="80" xfId="0" applyNumberFormat="1" applyFont="1" applyFill="1" applyBorder="1" applyAlignment="1">
      <alignment horizontal="center" vertical="top"/>
    </xf>
    <xf numFmtId="49" fontId="1" fillId="7" borderId="11" xfId="0" applyNumberFormat="1" applyFont="1" applyFill="1" applyBorder="1" applyAlignment="1">
      <alignment horizontal="left" vertical="top" wrapText="1"/>
    </xf>
    <xf numFmtId="49" fontId="1" fillId="7" borderId="11" xfId="0" applyNumberFormat="1" applyFont="1" applyFill="1" applyBorder="1" applyAlignment="1">
      <alignment horizontal="center" vertical="top"/>
    </xf>
    <xf numFmtId="0" fontId="1" fillId="7" borderId="101" xfId="0" applyFont="1" applyFill="1" applyBorder="1" applyAlignment="1">
      <alignment horizontal="center" vertical="top" wrapText="1"/>
    </xf>
    <xf numFmtId="0" fontId="1" fillId="7" borderId="93" xfId="0" applyFont="1" applyFill="1" applyBorder="1" applyAlignment="1">
      <alignment horizontal="center" vertical="top" wrapText="1"/>
    </xf>
    <xf numFmtId="0" fontId="3" fillId="10" borderId="20" xfId="0" applyFont="1" applyFill="1" applyBorder="1" applyAlignment="1">
      <alignment horizontal="center" vertical="top" wrapText="1"/>
    </xf>
    <xf numFmtId="0" fontId="3" fillId="10" borderId="11" xfId="0" applyFont="1" applyFill="1" applyBorder="1" applyAlignment="1">
      <alignment horizontal="center" vertical="top" wrapText="1"/>
    </xf>
    <xf numFmtId="165" fontId="2" fillId="10" borderId="48" xfId="0" applyNumberFormat="1" applyFont="1" applyFill="1" applyBorder="1" applyAlignment="1">
      <alignment horizontal="center" vertical="top" wrapText="1"/>
    </xf>
    <xf numFmtId="165" fontId="2" fillId="10" borderId="28" xfId="0" applyNumberFormat="1" applyFont="1" applyFill="1" applyBorder="1" applyAlignment="1">
      <alignment horizontal="center" vertical="top" wrapText="1"/>
    </xf>
    <xf numFmtId="165" fontId="2" fillId="10" borderId="11" xfId="0" applyNumberFormat="1" applyFont="1" applyFill="1" applyBorder="1" applyAlignment="1">
      <alignment horizontal="center" vertical="top"/>
    </xf>
    <xf numFmtId="165" fontId="2" fillId="10" borderId="11" xfId="0" applyNumberFormat="1" applyFont="1" applyFill="1" applyBorder="1" applyAlignment="1">
      <alignment horizontal="center" vertical="top" wrapText="1"/>
    </xf>
    <xf numFmtId="165" fontId="2" fillId="10" borderId="100" xfId="0" applyNumberFormat="1" applyFont="1" applyFill="1" applyBorder="1" applyAlignment="1">
      <alignment horizontal="center" vertical="top" wrapText="1"/>
    </xf>
    <xf numFmtId="165" fontId="1" fillId="10" borderId="90" xfId="0" applyNumberFormat="1" applyFont="1" applyFill="1" applyBorder="1" applyAlignment="1">
      <alignment vertical="top" wrapText="1"/>
    </xf>
    <xf numFmtId="165" fontId="1" fillId="10" borderId="94" xfId="0" applyNumberFormat="1" applyFont="1" applyFill="1" applyBorder="1" applyAlignment="1">
      <alignment horizontal="left" vertical="top" wrapText="1"/>
    </xf>
    <xf numFmtId="165" fontId="1" fillId="10" borderId="34" xfId="0" applyNumberFormat="1" applyFont="1" applyFill="1" applyBorder="1" applyAlignment="1">
      <alignment horizontal="center" vertical="top"/>
    </xf>
    <xf numFmtId="165" fontId="1" fillId="10" borderId="34" xfId="0" applyNumberFormat="1" applyFont="1" applyFill="1" applyBorder="1" applyAlignment="1">
      <alignment horizontal="center" vertical="top" wrapText="1"/>
    </xf>
    <xf numFmtId="165" fontId="2" fillId="10" borderId="28" xfId="0" applyNumberFormat="1" applyFont="1" applyFill="1" applyBorder="1" applyAlignment="1">
      <alignment horizontal="center" vertical="top" textRotation="90" wrapText="1"/>
    </xf>
    <xf numFmtId="0" fontId="2" fillId="10" borderId="11" xfId="0" applyFont="1" applyFill="1" applyBorder="1" applyAlignment="1">
      <alignment horizontal="center" vertical="top" wrapText="1"/>
    </xf>
    <xf numFmtId="0" fontId="1" fillId="10" borderId="28" xfId="0" applyFont="1" applyFill="1" applyBorder="1" applyAlignment="1">
      <alignment horizontal="center" vertical="center" wrapText="1"/>
    </xf>
    <xf numFmtId="0" fontId="6" fillId="7" borderId="11" xfId="0" applyFont="1" applyFill="1" applyBorder="1" applyAlignment="1">
      <alignment horizontal="center" vertical="top" wrapText="1"/>
    </xf>
    <xf numFmtId="49" fontId="2" fillId="7" borderId="20" xfId="0" applyNumberFormat="1" applyFont="1" applyFill="1" applyBorder="1" applyAlignment="1">
      <alignment horizontal="center" vertical="top" wrapText="1"/>
    </xf>
    <xf numFmtId="49" fontId="2" fillId="7" borderId="11" xfId="0" applyNumberFormat="1" applyFont="1" applyFill="1" applyBorder="1" applyAlignment="1">
      <alignment horizontal="center" vertical="top" wrapText="1"/>
    </xf>
    <xf numFmtId="165" fontId="1" fillId="10" borderId="35" xfId="0" applyNumberFormat="1" applyFont="1" applyFill="1" applyBorder="1" applyAlignment="1">
      <alignment horizontal="left" vertical="top" wrapText="1"/>
    </xf>
    <xf numFmtId="165" fontId="1" fillId="10" borderId="83" xfId="0" applyNumberFormat="1" applyFont="1" applyFill="1" applyBorder="1" applyAlignment="1">
      <alignment horizontal="left" vertical="top" wrapText="1"/>
    </xf>
    <xf numFmtId="165" fontId="2" fillId="10" borderId="83" xfId="0" applyNumberFormat="1" applyFont="1" applyFill="1" applyBorder="1" applyAlignment="1">
      <alignment horizontal="center" vertical="top" wrapText="1"/>
    </xf>
    <xf numFmtId="49" fontId="1" fillId="7" borderId="18" xfId="3" applyNumberFormat="1" applyFont="1" applyFill="1" applyBorder="1" applyAlignment="1">
      <alignment horizontal="center" vertical="top"/>
    </xf>
    <xf numFmtId="165" fontId="1" fillId="7" borderId="8" xfId="0" applyNumberFormat="1" applyFont="1" applyFill="1" applyBorder="1" applyAlignment="1">
      <alignment horizontal="center" vertical="center"/>
    </xf>
    <xf numFmtId="165" fontId="1" fillId="7" borderId="6" xfId="0" applyNumberFormat="1" applyFont="1" applyFill="1" applyBorder="1" applyAlignment="1">
      <alignment horizontal="center" vertical="center"/>
    </xf>
    <xf numFmtId="3" fontId="1" fillId="3" borderId="0" xfId="0" applyNumberFormat="1" applyFont="1" applyFill="1" applyBorder="1" applyAlignment="1">
      <alignment horizontal="center" vertical="top" wrapText="1"/>
    </xf>
    <xf numFmtId="3" fontId="1" fillId="3" borderId="18" xfId="0" applyNumberFormat="1" applyFont="1" applyFill="1" applyBorder="1" applyAlignment="1">
      <alignment horizontal="center" vertical="top" wrapText="1"/>
    </xf>
    <xf numFmtId="0" fontId="16" fillId="0" borderId="0" xfId="0" applyFont="1" applyAlignment="1">
      <alignment horizontal="center"/>
    </xf>
    <xf numFmtId="0" fontId="1" fillId="0" borderId="32" xfId="0" applyFont="1" applyBorder="1" applyAlignment="1">
      <alignment horizontal="center" vertical="center"/>
    </xf>
    <xf numFmtId="165" fontId="2" fillId="10" borderId="20" xfId="0" applyNumberFormat="1" applyFont="1" applyFill="1" applyBorder="1" applyAlignment="1">
      <alignment horizontal="center" vertical="center" wrapText="1"/>
    </xf>
    <xf numFmtId="0" fontId="0" fillId="0" borderId="0" xfId="0" applyFill="1" applyAlignment="1">
      <alignment horizontal="center" vertical="top" wrapText="1"/>
    </xf>
    <xf numFmtId="49" fontId="1" fillId="7" borderId="125" xfId="3" applyNumberFormat="1" applyFont="1" applyFill="1" applyBorder="1" applyAlignment="1">
      <alignment horizontal="center" vertical="top"/>
    </xf>
    <xf numFmtId="49" fontId="1" fillId="7" borderId="126" xfId="3" applyNumberFormat="1" applyFont="1" applyFill="1" applyBorder="1" applyAlignment="1">
      <alignment horizontal="center" vertical="top"/>
    </xf>
    <xf numFmtId="49" fontId="24" fillId="0" borderId="0" xfId="0" applyNumberFormat="1" applyFont="1" applyAlignment="1">
      <alignment horizontal="center" vertical="top"/>
    </xf>
    <xf numFmtId="49" fontId="2" fillId="0" borderId="32" xfId="0" applyNumberFormat="1" applyFont="1" applyBorder="1" applyAlignment="1">
      <alignment horizontal="center" vertical="top"/>
    </xf>
    <xf numFmtId="49" fontId="2" fillId="7" borderId="13" xfId="0" applyNumberFormat="1" applyFont="1" applyFill="1" applyBorder="1" applyAlignment="1">
      <alignment horizontal="center" vertical="top"/>
    </xf>
    <xf numFmtId="49" fontId="25" fillId="0" borderId="0" xfId="0" applyNumberFormat="1" applyFont="1" applyFill="1" applyAlignment="1">
      <alignment horizontal="center" vertical="top" wrapText="1"/>
    </xf>
    <xf numFmtId="49" fontId="2" fillId="0" borderId="0" xfId="0" applyNumberFormat="1" applyFont="1" applyAlignment="1">
      <alignment horizontal="center" vertical="top"/>
    </xf>
    <xf numFmtId="165" fontId="2" fillId="10" borderId="80" xfId="0" applyNumberFormat="1" applyFont="1" applyFill="1" applyBorder="1" applyAlignment="1">
      <alignment horizontal="center" vertical="center" wrapText="1"/>
    </xf>
    <xf numFmtId="165" fontId="2" fillId="10" borderId="78" xfId="0" applyNumberFormat="1" applyFont="1" applyFill="1" applyBorder="1" applyAlignment="1">
      <alignment horizontal="center" vertical="center" wrapText="1"/>
    </xf>
    <xf numFmtId="165" fontId="2" fillId="7" borderId="102" xfId="0" applyNumberFormat="1" applyFont="1" applyFill="1" applyBorder="1" applyAlignment="1">
      <alignment horizontal="center" vertical="top"/>
    </xf>
    <xf numFmtId="165" fontId="9" fillId="10" borderId="45" xfId="0" applyNumberFormat="1" applyFont="1" applyFill="1" applyBorder="1" applyAlignment="1">
      <alignment horizontal="center" vertical="top" wrapText="1"/>
    </xf>
    <xf numFmtId="165" fontId="1" fillId="7" borderId="118" xfId="0" applyNumberFormat="1" applyFont="1" applyFill="1" applyBorder="1" applyAlignment="1">
      <alignment horizontal="left" vertical="top" wrapText="1"/>
    </xf>
    <xf numFmtId="0" fontId="1" fillId="7" borderId="91" xfId="0" applyFont="1" applyFill="1" applyBorder="1" applyAlignment="1">
      <alignment horizontal="left" vertical="top" wrapText="1"/>
    </xf>
    <xf numFmtId="165" fontId="1" fillId="7" borderId="127" xfId="0" applyNumberFormat="1" applyFont="1" applyFill="1" applyBorder="1" applyAlignment="1">
      <alignment horizontal="left" vertical="top" wrapText="1"/>
    </xf>
    <xf numFmtId="165" fontId="1" fillId="7" borderId="116" xfId="0" applyNumberFormat="1" applyFont="1" applyFill="1" applyBorder="1" applyAlignment="1">
      <alignment horizontal="left" vertical="top" wrapText="1"/>
    </xf>
    <xf numFmtId="0" fontId="1" fillId="7" borderId="7" xfId="0" applyFont="1" applyFill="1" applyBorder="1" applyAlignment="1">
      <alignment horizontal="left" vertical="top" wrapText="1"/>
    </xf>
    <xf numFmtId="165" fontId="1" fillId="8" borderId="11" xfId="0" applyNumberFormat="1" applyFont="1" applyFill="1" applyBorder="1" applyAlignment="1">
      <alignment vertical="center" textRotation="90" wrapText="1"/>
    </xf>
    <xf numFmtId="165" fontId="2" fillId="11" borderId="11" xfId="0" applyNumberFormat="1" applyFont="1" applyFill="1" applyBorder="1" applyAlignment="1">
      <alignment horizontal="center" vertical="center" wrapText="1"/>
    </xf>
    <xf numFmtId="0" fontId="1" fillId="0" borderId="106" xfId="0" applyFont="1" applyBorder="1" applyAlignment="1">
      <alignment horizontal="center" vertical="top" wrapText="1"/>
    </xf>
    <xf numFmtId="165" fontId="11" fillId="7" borderId="93" xfId="0" applyNumberFormat="1" applyFont="1" applyFill="1" applyBorder="1" applyAlignment="1">
      <alignment horizontal="center" vertical="top"/>
    </xf>
    <xf numFmtId="0" fontId="2" fillId="0" borderId="34" xfId="0" applyFont="1" applyBorder="1" applyAlignment="1">
      <alignment vertical="top" wrapText="1"/>
    </xf>
    <xf numFmtId="0" fontId="0" fillId="0" borderId="0" xfId="0" applyFont="1" applyAlignment="1">
      <alignment vertical="top" wrapText="1"/>
    </xf>
    <xf numFmtId="0" fontId="2" fillId="0" borderId="34" xfId="0" applyFont="1" applyBorder="1" applyAlignment="1">
      <alignment horizontal="left" vertical="top" wrapText="1"/>
    </xf>
    <xf numFmtId="0" fontId="2" fillId="0" borderId="0" xfId="0" applyFont="1" applyBorder="1" applyAlignment="1">
      <alignment vertical="top" wrapText="1"/>
    </xf>
    <xf numFmtId="165" fontId="2" fillId="0" borderId="0" xfId="0" applyNumberFormat="1" applyFont="1" applyBorder="1" applyAlignment="1">
      <alignment vertical="top" wrapText="1"/>
    </xf>
    <xf numFmtId="0" fontId="2" fillId="0" borderId="34" xfId="0" applyFont="1" applyBorder="1" applyAlignment="1">
      <alignment vertical="top"/>
    </xf>
    <xf numFmtId="0" fontId="1" fillId="0" borderId="0" xfId="0" applyFont="1" applyBorder="1" applyAlignment="1">
      <alignment horizontal="left" vertical="top" wrapText="1"/>
    </xf>
    <xf numFmtId="165" fontId="1" fillId="0" borderId="0" xfId="0" applyNumberFormat="1" applyFont="1" applyFill="1" applyBorder="1" applyAlignment="1">
      <alignment vertical="top"/>
    </xf>
    <xf numFmtId="165" fontId="2" fillId="8" borderId="35" xfId="0" applyNumberFormat="1" applyFont="1" applyFill="1" applyBorder="1" applyAlignment="1">
      <alignment horizontal="center" vertical="top"/>
    </xf>
    <xf numFmtId="165" fontId="2" fillId="10" borderId="1" xfId="0" applyNumberFormat="1" applyFont="1" applyFill="1" applyBorder="1" applyAlignment="1">
      <alignment horizontal="center" vertical="center" wrapText="1"/>
    </xf>
    <xf numFmtId="165" fontId="2" fillId="10" borderId="87" xfId="0" applyNumberFormat="1" applyFont="1" applyFill="1" applyBorder="1" applyAlignment="1">
      <alignment horizontal="center" vertical="top" wrapText="1"/>
    </xf>
    <xf numFmtId="0" fontId="2" fillId="0" borderId="0" xfId="0" applyFont="1" applyBorder="1" applyAlignment="1">
      <alignment horizontal="left" vertical="top" wrapText="1"/>
    </xf>
    <xf numFmtId="3" fontId="11" fillId="7" borderId="18" xfId="0" applyNumberFormat="1" applyFont="1" applyFill="1" applyBorder="1" applyAlignment="1">
      <alignment horizontal="center" vertical="top"/>
    </xf>
    <xf numFmtId="3" fontId="1" fillId="7" borderId="109" xfId="0" applyNumberFormat="1" applyFont="1" applyFill="1" applyBorder="1" applyAlignment="1">
      <alignment horizontal="center" vertical="top" wrapText="1"/>
    </xf>
    <xf numFmtId="165" fontId="2" fillId="7" borderId="93" xfId="0" applyNumberFormat="1" applyFont="1" applyFill="1" applyBorder="1" applyAlignment="1">
      <alignment horizontal="center" vertical="top"/>
    </xf>
    <xf numFmtId="165" fontId="11" fillId="7" borderId="75" xfId="0" applyNumberFormat="1" applyFont="1" applyFill="1" applyBorder="1" applyAlignment="1">
      <alignment horizontal="center" vertical="top"/>
    </xf>
    <xf numFmtId="49" fontId="2" fillId="7" borderId="11" xfId="0" applyNumberFormat="1" applyFont="1" applyFill="1" applyBorder="1" applyAlignment="1">
      <alignment vertical="top"/>
    </xf>
    <xf numFmtId="49" fontId="2" fillId="7" borderId="28" xfId="0" applyNumberFormat="1" applyFont="1" applyFill="1" applyBorder="1" applyAlignment="1">
      <alignment vertical="top"/>
    </xf>
    <xf numFmtId="165" fontId="2" fillId="7" borderId="18" xfId="0" applyNumberFormat="1" applyFont="1" applyFill="1" applyBorder="1" applyAlignment="1">
      <alignment horizontal="center" vertical="top"/>
    </xf>
    <xf numFmtId="165" fontId="1" fillId="3" borderId="28" xfId="0" applyNumberFormat="1" applyFont="1" applyFill="1" applyBorder="1" applyAlignment="1">
      <alignment horizontal="center" vertical="center" textRotation="90" wrapText="1"/>
    </xf>
    <xf numFmtId="3" fontId="13" fillId="7" borderId="21" xfId="0" applyNumberFormat="1" applyFont="1" applyFill="1" applyBorder="1" applyAlignment="1">
      <alignment horizontal="center" vertical="top"/>
    </xf>
    <xf numFmtId="3" fontId="13" fillId="7" borderId="27" xfId="0" applyNumberFormat="1" applyFont="1" applyFill="1" applyBorder="1" applyAlignment="1">
      <alignment horizontal="center" vertical="top"/>
    </xf>
    <xf numFmtId="165" fontId="17" fillId="8" borderId="1" xfId="0" applyNumberFormat="1" applyFont="1" applyFill="1" applyBorder="1" applyAlignment="1">
      <alignment vertical="top" wrapText="1"/>
    </xf>
    <xf numFmtId="0" fontId="1" fillId="0" borderId="0" xfId="0" applyFont="1" applyAlignment="1">
      <alignment horizontal="center" vertical="center"/>
    </xf>
    <xf numFmtId="3" fontId="1" fillId="0" borderId="46" xfId="0" applyNumberFormat="1" applyFont="1" applyFill="1" applyBorder="1" applyAlignment="1">
      <alignment horizontal="center" vertical="top"/>
    </xf>
    <xf numFmtId="3" fontId="1" fillId="0" borderId="21" xfId="0" applyNumberFormat="1" applyFont="1" applyFill="1" applyBorder="1" applyAlignment="1">
      <alignment horizontal="center" vertical="top"/>
    </xf>
    <xf numFmtId="0" fontId="1" fillId="7" borderId="47" xfId="0" applyFont="1" applyFill="1" applyBorder="1" applyAlignment="1">
      <alignment vertical="top" wrapText="1"/>
    </xf>
    <xf numFmtId="165" fontId="1" fillId="7" borderId="113" xfId="0" applyNumberFormat="1" applyFont="1" applyFill="1" applyBorder="1" applyAlignment="1">
      <alignment vertical="top" wrapText="1"/>
    </xf>
    <xf numFmtId="165" fontId="1" fillId="2" borderId="32" xfId="0" applyNumberFormat="1" applyFont="1" applyFill="1" applyBorder="1" applyAlignment="1">
      <alignment horizontal="center" vertical="top" wrapText="1"/>
    </xf>
    <xf numFmtId="165" fontId="2" fillId="7" borderId="48" xfId="0" applyNumberFormat="1" applyFont="1" applyFill="1" applyBorder="1" applyAlignment="1">
      <alignment horizontal="center" vertical="top"/>
    </xf>
    <xf numFmtId="3" fontId="19" fillId="7" borderId="0" xfId="0" applyNumberFormat="1" applyFont="1" applyFill="1" applyAlignment="1">
      <alignment horizontal="left" vertical="top" wrapText="1"/>
    </xf>
    <xf numFmtId="165" fontId="9" fillId="10" borderId="20" xfId="0" applyNumberFormat="1" applyFont="1" applyFill="1" applyBorder="1" applyAlignment="1">
      <alignment horizontal="center" vertical="top" wrapText="1"/>
    </xf>
    <xf numFmtId="165" fontId="5" fillId="10" borderId="47" xfId="0" applyNumberFormat="1" applyFont="1" applyFill="1" applyBorder="1" applyAlignment="1">
      <alignment horizontal="center" vertical="center" textRotation="90" wrapText="1"/>
    </xf>
    <xf numFmtId="0" fontId="1" fillId="0" borderId="0" xfId="0" applyFont="1" applyAlignment="1">
      <alignment horizontal="left" vertical="top" wrapText="1"/>
    </xf>
    <xf numFmtId="165" fontId="1" fillId="7" borderId="11" xfId="0" applyNumberFormat="1" applyFont="1" applyFill="1" applyBorder="1" applyAlignment="1">
      <alignment vertical="center" textRotation="90" wrapText="1"/>
    </xf>
    <xf numFmtId="0" fontId="3" fillId="7" borderId="48" xfId="0" applyFont="1" applyFill="1" applyBorder="1" applyAlignment="1">
      <alignment horizontal="center" vertical="top" wrapText="1"/>
    </xf>
    <xf numFmtId="165" fontId="2" fillId="7" borderId="48" xfId="0" applyNumberFormat="1" applyFont="1" applyFill="1" applyBorder="1" applyAlignment="1">
      <alignment horizontal="center" vertical="center" wrapText="1"/>
    </xf>
    <xf numFmtId="165" fontId="12" fillId="7" borderId="48" xfId="0" applyNumberFormat="1" applyFont="1" applyFill="1" applyBorder="1" applyAlignment="1">
      <alignment horizontal="center" vertical="center" wrapText="1"/>
    </xf>
    <xf numFmtId="0" fontId="3" fillId="7" borderId="46" xfId="0" applyFont="1" applyFill="1" applyBorder="1" applyAlignment="1">
      <alignment horizontal="center" vertical="top" wrapText="1"/>
    </xf>
    <xf numFmtId="165" fontId="2" fillId="7" borderId="46" xfId="0" applyNumberFormat="1" applyFont="1" applyFill="1" applyBorder="1" applyAlignment="1">
      <alignment horizontal="center" vertical="center" wrapText="1"/>
    </xf>
    <xf numFmtId="165" fontId="12" fillId="7" borderId="35" xfId="0" applyNumberFormat="1" applyFont="1" applyFill="1" applyBorder="1" applyAlignment="1">
      <alignment horizontal="center" vertical="center" wrapText="1"/>
    </xf>
    <xf numFmtId="165" fontId="1" fillId="7" borderId="48" xfId="0" applyNumberFormat="1" applyFont="1" applyFill="1" applyBorder="1" applyAlignment="1">
      <alignment horizontal="center" vertical="center" textRotation="90" wrapText="1"/>
    </xf>
    <xf numFmtId="165" fontId="1" fillId="7" borderId="45" xfId="0" applyNumberFormat="1" applyFont="1" applyFill="1" applyBorder="1" applyAlignment="1">
      <alignment horizontal="center" vertical="top" wrapText="1"/>
    </xf>
    <xf numFmtId="0" fontId="1" fillId="7" borderId="93" xfId="0" applyFont="1" applyFill="1" applyBorder="1" applyAlignment="1">
      <alignment horizontal="center" vertical="top"/>
    </xf>
    <xf numFmtId="165" fontId="2" fillId="7" borderId="90" xfId="0" applyNumberFormat="1" applyFont="1" applyFill="1" applyBorder="1" applyAlignment="1">
      <alignment horizontal="center" vertical="top" wrapText="1"/>
    </xf>
    <xf numFmtId="165" fontId="2" fillId="7" borderId="35" xfId="0" applyNumberFormat="1" applyFont="1" applyFill="1" applyBorder="1" applyAlignment="1">
      <alignment horizontal="center" vertical="top" textRotation="90" wrapText="1"/>
    </xf>
    <xf numFmtId="165" fontId="9" fillId="7" borderId="46" xfId="0" applyNumberFormat="1" applyFont="1" applyFill="1" applyBorder="1" applyAlignment="1">
      <alignment horizontal="center" vertical="top" wrapText="1"/>
    </xf>
    <xf numFmtId="0" fontId="1" fillId="7" borderId="82" xfId="0" applyFont="1" applyFill="1" applyBorder="1" applyAlignment="1">
      <alignment vertical="top" wrapText="1"/>
    </xf>
    <xf numFmtId="165" fontId="9" fillId="7" borderId="59" xfId="0" applyNumberFormat="1" applyFont="1" applyFill="1" applyBorder="1" applyAlignment="1">
      <alignment horizontal="center" vertical="top" wrapText="1"/>
    </xf>
    <xf numFmtId="165" fontId="1" fillId="7" borderId="23" xfId="1" applyNumberFormat="1" applyFont="1" applyFill="1" applyBorder="1" applyAlignment="1">
      <alignment horizontal="center" vertical="top" wrapText="1"/>
    </xf>
    <xf numFmtId="165" fontId="1" fillId="7" borderId="48" xfId="0" applyNumberFormat="1" applyFont="1" applyFill="1" applyBorder="1" applyAlignment="1">
      <alignment horizontal="center" vertical="center" wrapText="1"/>
    </xf>
    <xf numFmtId="165" fontId="1" fillId="7" borderId="35" xfId="0" applyNumberFormat="1" applyFont="1" applyFill="1" applyBorder="1" applyAlignment="1">
      <alignment horizontal="center" vertical="center" wrapText="1"/>
    </xf>
    <xf numFmtId="165" fontId="2" fillId="7" borderId="20" xfId="0" applyNumberFormat="1" applyFont="1" applyFill="1" applyBorder="1" applyAlignment="1">
      <alignment vertical="top"/>
    </xf>
    <xf numFmtId="49" fontId="2" fillId="7" borderId="30" xfId="0" applyNumberFormat="1" applyFont="1" applyFill="1" applyBorder="1" applyAlignment="1">
      <alignment vertical="top"/>
    </xf>
    <xf numFmtId="49" fontId="2" fillId="9" borderId="9" xfId="0" applyNumberFormat="1" applyFont="1" applyFill="1" applyBorder="1" applyAlignment="1">
      <alignment vertical="top"/>
    </xf>
    <xf numFmtId="49" fontId="2" fillId="2" borderId="56" xfId="0" applyNumberFormat="1" applyFont="1" applyFill="1" applyBorder="1" applyAlignment="1">
      <alignment vertical="top"/>
    </xf>
    <xf numFmtId="0" fontId="6" fillId="7" borderId="105" xfId="0" applyFont="1" applyFill="1" applyBorder="1" applyAlignment="1">
      <alignment horizontal="center" vertical="top" wrapText="1"/>
    </xf>
    <xf numFmtId="0" fontId="6" fillId="7" borderId="94" xfId="0" applyFont="1" applyFill="1" applyBorder="1" applyAlignment="1">
      <alignment horizontal="center" vertical="top" wrapText="1"/>
    </xf>
    <xf numFmtId="165" fontId="2" fillId="2" borderId="70" xfId="0" applyNumberFormat="1" applyFont="1" applyFill="1" applyBorder="1" applyAlignment="1">
      <alignment horizontal="center" vertical="top"/>
    </xf>
    <xf numFmtId="165" fontId="1" fillId="7" borderId="103" xfId="0" applyNumberFormat="1" applyFont="1" applyFill="1" applyBorder="1" applyAlignment="1">
      <alignment horizontal="center" vertical="top"/>
    </xf>
    <xf numFmtId="165" fontId="2" fillId="7" borderId="6" xfId="0" applyNumberFormat="1" applyFont="1" applyFill="1" applyBorder="1" applyAlignment="1">
      <alignment horizontal="center" vertical="top"/>
    </xf>
    <xf numFmtId="165" fontId="1" fillId="7" borderId="41" xfId="0" applyNumberFormat="1" applyFont="1" applyFill="1" applyBorder="1" applyAlignment="1">
      <alignment vertical="top"/>
    </xf>
    <xf numFmtId="165" fontId="2" fillId="7" borderId="100" xfId="0" applyNumberFormat="1" applyFont="1" applyFill="1" applyBorder="1" applyAlignment="1">
      <alignment horizontal="center" vertical="top" wrapText="1"/>
    </xf>
    <xf numFmtId="165" fontId="2" fillId="7" borderId="1" xfId="0" applyNumberFormat="1" applyFont="1" applyFill="1" applyBorder="1" applyAlignment="1">
      <alignment horizontal="center" vertical="center" wrapText="1"/>
    </xf>
    <xf numFmtId="165" fontId="1" fillId="7" borderId="128" xfId="0" applyNumberFormat="1" applyFont="1" applyFill="1" applyBorder="1" applyAlignment="1">
      <alignment horizontal="left" vertical="top" wrapText="1"/>
    </xf>
    <xf numFmtId="165" fontId="1" fillId="7" borderId="127" xfId="0" applyNumberFormat="1" applyFont="1" applyFill="1" applyBorder="1" applyAlignment="1">
      <alignment vertical="top" wrapText="1"/>
    </xf>
    <xf numFmtId="165" fontId="1" fillId="7" borderId="128" xfId="0" applyNumberFormat="1" applyFont="1" applyFill="1" applyBorder="1" applyAlignment="1">
      <alignment vertical="top" wrapText="1"/>
    </xf>
    <xf numFmtId="165" fontId="1" fillId="0" borderId="81" xfId="0" applyNumberFormat="1" applyFont="1" applyFill="1" applyBorder="1" applyAlignment="1">
      <alignment horizontal="center" vertical="top"/>
    </xf>
    <xf numFmtId="165" fontId="2" fillId="7" borderId="94" xfId="0" applyNumberFormat="1" applyFont="1" applyFill="1" applyBorder="1" applyAlignment="1">
      <alignment horizontal="center" vertical="top" wrapText="1"/>
    </xf>
    <xf numFmtId="165" fontId="1" fillId="7" borderId="34" xfId="0" applyNumberFormat="1" applyFont="1" applyFill="1" applyBorder="1" applyAlignment="1">
      <alignment horizontal="left" vertical="top" wrapText="1"/>
    </xf>
    <xf numFmtId="3" fontId="5" fillId="7" borderId="35" xfId="0" applyNumberFormat="1" applyFont="1" applyFill="1" applyBorder="1" applyAlignment="1">
      <alignment horizontal="center" vertical="top"/>
    </xf>
    <xf numFmtId="3" fontId="5" fillId="7" borderId="27" xfId="0" applyNumberFormat="1" applyFont="1" applyFill="1" applyBorder="1" applyAlignment="1">
      <alignment horizontal="center" vertical="top"/>
    </xf>
    <xf numFmtId="3" fontId="5" fillId="7" borderId="28" xfId="0" applyNumberFormat="1" applyFont="1" applyFill="1" applyBorder="1" applyAlignment="1">
      <alignment horizontal="center" vertical="top"/>
    </xf>
    <xf numFmtId="0" fontId="2" fillId="7" borderId="11" xfId="0" applyFont="1" applyFill="1" applyBorder="1" applyAlignment="1">
      <alignment horizontal="center" vertical="top" wrapText="1"/>
    </xf>
    <xf numFmtId="0" fontId="1" fillId="7" borderId="28" xfId="0" applyFont="1" applyFill="1" applyBorder="1" applyAlignment="1">
      <alignment horizontal="center" vertical="center" wrapText="1"/>
    </xf>
    <xf numFmtId="165" fontId="2" fillId="7" borderId="18" xfId="0" applyNumberFormat="1" applyFont="1" applyFill="1" applyBorder="1" applyAlignment="1">
      <alignment horizontal="center" vertical="center" wrapText="1"/>
    </xf>
    <xf numFmtId="49" fontId="2" fillId="7" borderId="1" xfId="0" applyNumberFormat="1" applyFont="1" applyFill="1" applyBorder="1" applyAlignment="1">
      <alignment vertical="top"/>
    </xf>
    <xf numFmtId="165" fontId="2" fillId="0" borderId="1" xfId="0" applyNumberFormat="1" applyFont="1" applyFill="1" applyBorder="1" applyAlignment="1">
      <alignment horizontal="center" vertical="top" wrapText="1"/>
    </xf>
    <xf numFmtId="165" fontId="1" fillId="7" borderId="22" xfId="0" applyNumberFormat="1" applyFont="1" applyFill="1" applyBorder="1" applyAlignment="1">
      <alignment horizontal="center" vertical="top"/>
    </xf>
    <xf numFmtId="3" fontId="1" fillId="7" borderId="37" xfId="0" applyNumberFormat="1" applyFont="1" applyFill="1" applyBorder="1" applyAlignment="1">
      <alignment horizontal="center" vertical="top"/>
    </xf>
    <xf numFmtId="3" fontId="13" fillId="7" borderId="17" xfId="0" applyNumberFormat="1" applyFont="1" applyFill="1" applyBorder="1" applyAlignment="1">
      <alignment horizontal="center" vertical="top"/>
    </xf>
    <xf numFmtId="165" fontId="1" fillId="0" borderId="37" xfId="0" applyNumberFormat="1" applyFont="1" applyFill="1" applyBorder="1" applyAlignment="1">
      <alignment horizontal="left" vertical="top" wrapText="1"/>
    </xf>
    <xf numFmtId="49" fontId="2" fillId="7" borderId="20" xfId="0" applyNumberFormat="1" applyFont="1" applyFill="1" applyBorder="1" applyAlignment="1">
      <alignment vertical="top"/>
    </xf>
    <xf numFmtId="3" fontId="13" fillId="7" borderId="28" xfId="0" applyNumberFormat="1" applyFont="1" applyFill="1" applyBorder="1" applyAlignment="1">
      <alignment horizontal="center" vertical="top"/>
    </xf>
    <xf numFmtId="165" fontId="2" fillId="9" borderId="7" xfId="0" applyNumberFormat="1" applyFont="1" applyFill="1" applyBorder="1" applyAlignment="1">
      <alignment horizontal="center" vertical="top"/>
    </xf>
    <xf numFmtId="165" fontId="2" fillId="2"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1" fillId="7" borderId="45" xfId="0" applyNumberFormat="1" applyFont="1" applyFill="1" applyBorder="1" applyAlignment="1">
      <alignment horizontal="left" vertical="top" wrapText="1"/>
    </xf>
    <xf numFmtId="165" fontId="1" fillId="7" borderId="47" xfId="0" applyNumberFormat="1" applyFont="1" applyFill="1" applyBorder="1" applyAlignment="1">
      <alignment horizontal="left" vertical="top" wrapText="1"/>
    </xf>
    <xf numFmtId="165" fontId="1" fillId="7" borderId="20"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1" fillId="7" borderId="11" xfId="0" applyNumberFormat="1" applyFont="1" applyFill="1" applyBorder="1" applyAlignment="1">
      <alignment vertical="top" wrapText="1"/>
    </xf>
    <xf numFmtId="0" fontId="6" fillId="7" borderId="11" xfId="0" applyFont="1" applyFill="1" applyBorder="1" applyAlignment="1">
      <alignment vertical="top" wrapText="1"/>
    </xf>
    <xf numFmtId="165" fontId="2" fillId="7" borderId="11" xfId="0" applyNumberFormat="1" applyFont="1" applyFill="1" applyBorder="1" applyAlignment="1">
      <alignment horizontal="center" vertical="top" wrapText="1"/>
    </xf>
    <xf numFmtId="165" fontId="1" fillId="7" borderId="36"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165" fontId="1" fillId="7" borderId="7" xfId="0" applyNumberFormat="1" applyFont="1" applyFill="1" applyBorder="1" applyAlignment="1">
      <alignment vertical="top" wrapText="1"/>
    </xf>
    <xf numFmtId="165" fontId="1" fillId="7" borderId="7" xfId="0" applyNumberFormat="1" applyFont="1" applyFill="1" applyBorder="1" applyAlignment="1">
      <alignment horizontal="left" vertical="top" wrapText="1"/>
    </xf>
    <xf numFmtId="0" fontId="1" fillId="7" borderId="28" xfId="0" applyFont="1" applyFill="1" applyBorder="1" applyAlignment="1">
      <alignment horizontal="left" vertical="top" wrapText="1"/>
    </xf>
    <xf numFmtId="49" fontId="2" fillId="7" borderId="25" xfId="0" applyNumberFormat="1" applyFont="1" applyFill="1" applyBorder="1" applyAlignment="1">
      <alignment horizontal="center" vertical="top"/>
    </xf>
    <xf numFmtId="49" fontId="2" fillId="7" borderId="11" xfId="0" applyNumberFormat="1" applyFont="1" applyFill="1" applyBorder="1" applyAlignment="1">
      <alignment horizontal="center" vertical="top"/>
    </xf>
    <xf numFmtId="165" fontId="2" fillId="7" borderId="20"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5" fontId="2" fillId="7" borderId="28"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165" fontId="1" fillId="7" borderId="20" xfId="0" applyNumberFormat="1" applyFont="1" applyFill="1" applyBorder="1" applyAlignment="1">
      <alignment horizontal="center" vertical="center" textRotation="90" wrapText="1"/>
    </xf>
    <xf numFmtId="165" fontId="6" fillId="7" borderId="11" xfId="0" applyNumberFormat="1" applyFont="1" applyFill="1" applyBorder="1" applyAlignment="1">
      <alignment horizontal="center" vertical="center" textRotation="90" wrapText="1"/>
    </xf>
    <xf numFmtId="165" fontId="1" fillId="2" borderId="70" xfId="0" applyNumberFormat="1" applyFont="1" applyFill="1" applyBorder="1" applyAlignment="1">
      <alignment horizontal="center" vertical="top" wrapText="1"/>
    </xf>
    <xf numFmtId="165" fontId="1" fillId="2" borderId="71"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165" fontId="1" fillId="7" borderId="99" xfId="0" applyNumberFormat="1" applyFont="1" applyFill="1" applyBorder="1" applyAlignment="1">
      <alignment horizontal="left" vertical="top" wrapText="1"/>
    </xf>
    <xf numFmtId="165" fontId="1" fillId="7" borderId="29" xfId="0" applyNumberFormat="1" applyFont="1" applyFill="1" applyBorder="1" applyAlignment="1">
      <alignment horizontal="left" vertical="top" wrapText="1"/>
    </xf>
    <xf numFmtId="165" fontId="1" fillId="7" borderId="11" xfId="0" applyNumberFormat="1" applyFont="1" applyFill="1" applyBorder="1" applyAlignment="1">
      <alignment horizontal="center" vertical="center" textRotation="90" wrapText="1"/>
    </xf>
    <xf numFmtId="165" fontId="2" fillId="3" borderId="11" xfId="0" applyNumberFormat="1" applyFont="1" applyFill="1" applyBorder="1" applyAlignment="1">
      <alignment horizontal="center" vertical="top" wrapText="1"/>
    </xf>
    <xf numFmtId="165" fontId="1" fillId="7" borderId="100" xfId="0" applyNumberFormat="1" applyFont="1" applyFill="1" applyBorder="1" applyAlignment="1">
      <alignment horizontal="left" vertical="top" wrapText="1"/>
    </xf>
    <xf numFmtId="165" fontId="1" fillId="7" borderId="80" xfId="0" applyNumberFormat="1" applyFont="1" applyFill="1" applyBorder="1" applyAlignment="1">
      <alignment horizontal="left" vertical="top" wrapText="1"/>
    </xf>
    <xf numFmtId="165" fontId="1" fillId="7" borderId="36" xfId="0" applyNumberFormat="1" applyFont="1" applyFill="1" applyBorder="1" applyAlignment="1">
      <alignment vertical="top" wrapText="1"/>
    </xf>
    <xf numFmtId="0" fontId="1" fillId="7" borderId="99" xfId="0" applyFont="1" applyFill="1" applyBorder="1" applyAlignment="1">
      <alignment vertical="top" wrapText="1"/>
    </xf>
    <xf numFmtId="0" fontId="13" fillId="7" borderId="29" xfId="0" applyFont="1" applyFill="1" applyBorder="1" applyAlignment="1">
      <alignment vertical="top" wrapText="1"/>
    </xf>
    <xf numFmtId="165" fontId="1" fillId="7" borderId="19" xfId="0" applyNumberFormat="1" applyFont="1" applyFill="1" applyBorder="1" applyAlignment="1">
      <alignment horizontal="left" vertical="top" wrapText="1"/>
    </xf>
    <xf numFmtId="165" fontId="1" fillId="7" borderId="48" xfId="0" applyNumberFormat="1" applyFont="1" applyFill="1" applyBorder="1" applyAlignment="1">
      <alignment vertical="top" wrapText="1"/>
    </xf>
    <xf numFmtId="165" fontId="1" fillId="7" borderId="28" xfId="0" applyNumberFormat="1" applyFont="1" applyFill="1" applyBorder="1" applyAlignment="1">
      <alignment horizontal="center" vertical="center" textRotation="90" wrapText="1"/>
    </xf>
    <xf numFmtId="165" fontId="1" fillId="7" borderId="35" xfId="0" applyNumberFormat="1" applyFont="1" applyFill="1" applyBorder="1" applyAlignment="1">
      <alignment horizontal="left" vertical="top" wrapText="1"/>
    </xf>
    <xf numFmtId="49" fontId="2" fillId="7" borderId="48" xfId="0" applyNumberFormat="1" applyFont="1" applyFill="1" applyBorder="1" applyAlignment="1">
      <alignment horizontal="center" vertical="top"/>
    </xf>
    <xf numFmtId="165" fontId="2" fillId="9" borderId="34"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165" fontId="1" fillId="7" borderId="64" xfId="0" applyNumberFormat="1" applyFont="1" applyFill="1" applyBorder="1" applyAlignment="1">
      <alignment horizontal="left" vertical="top" wrapText="1"/>
    </xf>
    <xf numFmtId="49" fontId="1" fillId="0" borderId="21"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165" fontId="1" fillId="7" borderId="34" xfId="0" applyNumberFormat="1" applyFont="1" applyFill="1" applyBorder="1" applyAlignment="1">
      <alignment vertical="top" wrapText="1"/>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165" fontId="1" fillId="7" borderId="82" xfId="0" applyNumberFormat="1" applyFont="1" applyFill="1" applyBorder="1" applyAlignment="1">
      <alignment vertical="top" wrapText="1"/>
    </xf>
    <xf numFmtId="165" fontId="2" fillId="7" borderId="35" xfId="0" applyNumberFormat="1" applyFont="1" applyFill="1" applyBorder="1" applyAlignment="1">
      <alignment horizontal="center" vertical="top" wrapText="1"/>
    </xf>
    <xf numFmtId="0" fontId="1" fillId="7" borderId="29" xfId="0" applyFont="1" applyFill="1" applyBorder="1" applyAlignment="1">
      <alignment horizontal="left" vertical="top" wrapText="1"/>
    </xf>
    <xf numFmtId="165" fontId="2" fillId="7" borderId="48"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49" fontId="1" fillId="7" borderId="46"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0" fontId="1" fillId="7" borderId="11" xfId="0" applyFont="1" applyFill="1" applyBorder="1" applyAlignment="1">
      <alignment vertical="top" wrapText="1"/>
    </xf>
    <xf numFmtId="0" fontId="0" fillId="0" borderId="0" xfId="0" applyFont="1" applyBorder="1" applyAlignment="1">
      <alignment vertical="top" wrapText="1"/>
    </xf>
    <xf numFmtId="165" fontId="2" fillId="7" borderId="11"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top" wrapText="1"/>
    </xf>
    <xf numFmtId="49" fontId="2" fillId="7" borderId="11"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5" fontId="6" fillId="7" borderId="7" xfId="0" applyNumberFormat="1" applyFont="1" applyFill="1" applyBorder="1" applyAlignment="1">
      <alignment vertical="top" wrapText="1"/>
    </xf>
    <xf numFmtId="165" fontId="1" fillId="7" borderId="23"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49" fontId="2" fillId="7" borderId="11"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49" fontId="13" fillId="7" borderId="35" xfId="0" applyNumberFormat="1" applyFont="1" applyFill="1" applyBorder="1" applyAlignment="1">
      <alignment horizontal="center" vertical="top"/>
    </xf>
    <xf numFmtId="3" fontId="13" fillId="7" borderId="46" xfId="0" applyNumberFormat="1" applyFont="1" applyFill="1" applyBorder="1" applyAlignment="1">
      <alignment horizontal="center" vertical="top"/>
    </xf>
    <xf numFmtId="0" fontId="1" fillId="7" borderId="131" xfId="0" applyFont="1" applyFill="1" applyBorder="1" applyAlignment="1">
      <alignment vertical="top" wrapText="1"/>
    </xf>
    <xf numFmtId="165" fontId="1" fillId="7" borderId="132" xfId="0" applyNumberFormat="1" applyFont="1" applyFill="1" applyBorder="1" applyAlignment="1">
      <alignment horizontal="center" vertical="top"/>
    </xf>
    <xf numFmtId="165" fontId="1" fillId="7" borderId="133" xfId="0" applyNumberFormat="1" applyFont="1" applyFill="1" applyBorder="1" applyAlignment="1">
      <alignment horizontal="left" vertical="top" wrapText="1"/>
    </xf>
    <xf numFmtId="165" fontId="1" fillId="7" borderId="129" xfId="0" applyNumberFormat="1" applyFont="1" applyFill="1" applyBorder="1" applyAlignment="1">
      <alignment horizontal="center" vertical="top"/>
    </xf>
    <xf numFmtId="165" fontId="1" fillId="7" borderId="130" xfId="0" applyNumberFormat="1" applyFont="1" applyFill="1" applyBorder="1" applyAlignment="1">
      <alignment horizontal="center" vertical="top"/>
    </xf>
    <xf numFmtId="165" fontId="1" fillId="7" borderId="134" xfId="0" applyNumberFormat="1" applyFont="1" applyFill="1" applyBorder="1" applyAlignment="1">
      <alignment horizontal="center" vertical="top"/>
    </xf>
    <xf numFmtId="165" fontId="5" fillId="7" borderId="27" xfId="0" applyNumberFormat="1" applyFont="1" applyFill="1" applyBorder="1" applyAlignment="1">
      <alignment horizontal="center" vertical="center" textRotation="90" wrapText="1"/>
    </xf>
    <xf numFmtId="3" fontId="1" fillId="7" borderId="20" xfId="0" applyNumberFormat="1" applyFont="1" applyFill="1" applyBorder="1" applyAlignment="1">
      <alignment horizontal="center" vertical="top" wrapText="1"/>
    </xf>
    <xf numFmtId="3" fontId="1" fillId="7" borderId="28"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wrapText="1"/>
    </xf>
    <xf numFmtId="165" fontId="2" fillId="7" borderId="20"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top" wrapText="1"/>
    </xf>
    <xf numFmtId="165" fontId="2" fillId="2" borderId="48" xfId="0" applyNumberFormat="1" applyFont="1" applyFill="1" applyBorder="1" applyAlignment="1">
      <alignment horizontal="center" vertical="top"/>
    </xf>
    <xf numFmtId="165" fontId="2" fillId="9" borderId="34"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1" fillId="7" borderId="49" xfId="0" applyNumberFormat="1" applyFont="1" applyFill="1" applyBorder="1" applyAlignment="1">
      <alignment vertical="top" wrapText="1"/>
    </xf>
    <xf numFmtId="0" fontId="2" fillId="7" borderId="0" xfId="0" applyFont="1" applyFill="1" applyBorder="1" applyAlignment="1">
      <alignment vertical="top"/>
    </xf>
    <xf numFmtId="0" fontId="1" fillId="0" borderId="75" xfId="0" applyFont="1" applyBorder="1" applyAlignment="1">
      <alignment horizontal="center" vertical="center"/>
    </xf>
    <xf numFmtId="0" fontId="1" fillId="0" borderId="75" xfId="0" applyFont="1" applyBorder="1" applyAlignment="1">
      <alignment horizontal="center" vertical="top"/>
    </xf>
    <xf numFmtId="165" fontId="1" fillId="0" borderId="75" xfId="0" applyNumberFormat="1" applyFont="1" applyBorder="1" applyAlignment="1">
      <alignment vertical="top"/>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3" fontId="1" fillId="7" borderId="20" xfId="0" applyNumberFormat="1" applyFont="1" applyFill="1" applyBorder="1" applyAlignment="1">
      <alignment horizontal="center" vertical="top" wrapText="1"/>
    </xf>
    <xf numFmtId="3" fontId="1" fillId="7" borderId="28"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wrapText="1"/>
    </xf>
    <xf numFmtId="165" fontId="2" fillId="2" borderId="30" xfId="0" applyNumberFormat="1" applyFont="1" applyFill="1" applyBorder="1" applyAlignment="1">
      <alignment horizontal="center" vertical="top"/>
    </xf>
    <xf numFmtId="49" fontId="2" fillId="7" borderId="25"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165" fontId="1" fillId="7" borderId="99" xfId="0" applyNumberFormat="1" applyFont="1" applyFill="1" applyBorder="1" applyAlignment="1">
      <alignment horizontal="left" vertical="top" wrapText="1"/>
    </xf>
    <xf numFmtId="0" fontId="6" fillId="7" borderId="79" xfId="0" applyFont="1" applyFill="1" applyBorder="1" applyAlignment="1">
      <alignment vertical="top" wrapText="1"/>
    </xf>
    <xf numFmtId="0" fontId="1" fillId="0" borderId="0" xfId="0" applyFont="1" applyAlignment="1">
      <alignment horizontal="center" vertical="center"/>
    </xf>
    <xf numFmtId="165" fontId="1" fillId="7" borderId="36" xfId="0" applyNumberFormat="1" applyFont="1" applyFill="1" applyBorder="1" applyAlignment="1">
      <alignment vertical="top" wrapText="1"/>
    </xf>
    <xf numFmtId="165" fontId="1" fillId="7" borderId="48" xfId="0" applyNumberFormat="1" applyFont="1" applyFill="1" applyBorder="1" applyAlignment="1">
      <alignment horizontal="left" vertical="top" wrapText="1"/>
    </xf>
    <xf numFmtId="165" fontId="2" fillId="2" borderId="48" xfId="0" applyNumberFormat="1" applyFont="1" applyFill="1" applyBorder="1" applyAlignment="1">
      <alignment horizontal="center" vertical="top"/>
    </xf>
    <xf numFmtId="3" fontId="1" fillId="7" borderId="11"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xf>
    <xf numFmtId="49" fontId="2" fillId="7" borderId="48"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165" fontId="1" fillId="7"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xf>
    <xf numFmtId="165" fontId="2" fillId="7" borderId="34" xfId="0" applyNumberFormat="1" applyFont="1" applyFill="1" applyBorder="1" applyAlignment="1">
      <alignment horizontal="center" vertical="top"/>
    </xf>
    <xf numFmtId="49" fontId="1" fillId="7" borderId="88" xfId="0" applyNumberFormat="1" applyFont="1" applyFill="1" applyBorder="1" applyAlignment="1">
      <alignment horizontal="center" vertical="top" wrapText="1"/>
    </xf>
    <xf numFmtId="165" fontId="1" fillId="7" borderId="105" xfId="0" applyNumberFormat="1" applyFont="1" applyFill="1" applyBorder="1" applyAlignment="1">
      <alignment horizontal="center" vertical="top"/>
    </xf>
    <xf numFmtId="3" fontId="2" fillId="7" borderId="31" xfId="0" applyNumberFormat="1" applyFont="1" applyFill="1" applyBorder="1" applyAlignment="1">
      <alignment horizontal="center" vertical="top"/>
    </xf>
    <xf numFmtId="165" fontId="1" fillId="7" borderId="38" xfId="0" applyNumberFormat="1" applyFont="1" applyFill="1" applyBorder="1" applyAlignment="1">
      <alignment horizontal="center" vertical="center"/>
    </xf>
    <xf numFmtId="165" fontId="13" fillId="7" borderId="53" xfId="0" applyNumberFormat="1" applyFont="1" applyFill="1" applyBorder="1" applyAlignment="1">
      <alignment horizontal="center" vertical="top"/>
    </xf>
    <xf numFmtId="165" fontId="1" fillId="7" borderId="53" xfId="1" applyNumberFormat="1" applyFont="1" applyFill="1" applyBorder="1" applyAlignment="1">
      <alignment horizontal="center" vertical="top"/>
    </xf>
    <xf numFmtId="165" fontId="2" fillId="7" borderId="43" xfId="0" applyNumberFormat="1" applyFont="1" applyFill="1" applyBorder="1" applyAlignment="1">
      <alignment horizontal="center" vertical="top"/>
    </xf>
    <xf numFmtId="165" fontId="1" fillId="7" borderId="20" xfId="0" applyNumberFormat="1" applyFont="1" applyFill="1" applyBorder="1" applyAlignment="1">
      <alignment horizontal="center" vertical="center"/>
    </xf>
    <xf numFmtId="165" fontId="1" fillId="7" borderId="86" xfId="0" applyNumberFormat="1" applyFont="1" applyFill="1" applyBorder="1" applyAlignment="1">
      <alignment horizontal="center" vertical="top"/>
    </xf>
    <xf numFmtId="0" fontId="1" fillId="7" borderId="75" xfId="0" applyFont="1" applyFill="1" applyBorder="1" applyAlignment="1">
      <alignment vertical="top"/>
    </xf>
    <xf numFmtId="0" fontId="1" fillId="7" borderId="118" xfId="0" applyFont="1" applyFill="1" applyBorder="1" applyAlignment="1">
      <alignment vertical="top" wrapText="1"/>
    </xf>
    <xf numFmtId="49" fontId="1" fillId="7" borderId="48" xfId="3" applyNumberFormat="1" applyFont="1" applyFill="1" applyBorder="1" applyAlignment="1">
      <alignment horizontal="center" vertical="top"/>
    </xf>
    <xf numFmtId="49" fontId="1" fillId="7" borderId="135" xfId="3" applyNumberFormat="1" applyFont="1" applyFill="1" applyBorder="1" applyAlignment="1">
      <alignment horizontal="center" vertical="top"/>
    </xf>
    <xf numFmtId="49" fontId="1" fillId="0" borderId="90" xfId="0" applyNumberFormat="1" applyFont="1" applyFill="1" applyBorder="1" applyAlignment="1">
      <alignment horizontal="center" vertical="top"/>
    </xf>
    <xf numFmtId="0" fontId="1" fillId="7" borderId="128" xfId="0" applyFont="1" applyFill="1" applyBorder="1" applyAlignment="1">
      <alignment horizontal="left" vertical="top" wrapText="1"/>
    </xf>
    <xf numFmtId="0" fontId="22" fillId="7" borderId="127" xfId="0" applyFont="1" applyFill="1" applyBorder="1" applyAlignment="1">
      <alignment vertical="top" wrapText="1"/>
    </xf>
    <xf numFmtId="0" fontId="1" fillId="7" borderId="127" xfId="0" applyFont="1" applyFill="1" applyBorder="1" applyAlignment="1">
      <alignment vertical="top" wrapText="1"/>
    </xf>
    <xf numFmtId="3" fontId="13" fillId="7" borderId="18" xfId="0" applyNumberFormat="1" applyFont="1" applyFill="1" applyBorder="1" applyAlignment="1">
      <alignment horizontal="center" vertical="top"/>
    </xf>
    <xf numFmtId="3" fontId="1" fillId="7" borderId="18" xfId="1" applyNumberFormat="1" applyFont="1" applyFill="1" applyBorder="1" applyAlignment="1">
      <alignment horizontal="center" vertical="top" wrapText="1"/>
    </xf>
    <xf numFmtId="3" fontId="1" fillId="7" borderId="18" xfId="0" applyNumberFormat="1" applyFont="1" applyFill="1" applyBorder="1" applyAlignment="1">
      <alignment vertical="top"/>
    </xf>
    <xf numFmtId="3" fontId="1" fillId="7" borderId="18" xfId="0" applyNumberFormat="1" applyFont="1" applyFill="1" applyBorder="1" applyAlignment="1">
      <alignment horizontal="center" vertical="center"/>
    </xf>
    <xf numFmtId="0" fontId="2" fillId="0" borderId="50" xfId="0" applyFont="1" applyBorder="1" applyAlignment="1">
      <alignment vertical="center"/>
    </xf>
    <xf numFmtId="0" fontId="1" fillId="7" borderId="18" xfId="0" applyFont="1" applyFill="1" applyBorder="1" applyAlignment="1">
      <alignment vertical="center"/>
    </xf>
    <xf numFmtId="0" fontId="6" fillId="7" borderId="91" xfId="0" applyFont="1" applyFill="1" applyBorder="1" applyAlignment="1">
      <alignment vertical="top" wrapText="1"/>
    </xf>
    <xf numFmtId="165" fontId="1" fillId="7" borderId="91" xfId="0" applyNumberFormat="1" applyFont="1" applyFill="1" applyBorder="1" applyAlignment="1">
      <alignment vertical="top" wrapText="1"/>
    </xf>
    <xf numFmtId="165" fontId="1" fillId="7" borderId="43" xfId="0" applyNumberFormat="1" applyFont="1" applyFill="1" applyBorder="1" applyAlignment="1">
      <alignment vertical="top"/>
    </xf>
    <xf numFmtId="165" fontId="1" fillId="7" borderId="92" xfId="0" applyNumberFormat="1" applyFont="1" applyFill="1" applyBorder="1" applyAlignment="1">
      <alignment vertical="top" wrapText="1"/>
    </xf>
    <xf numFmtId="165" fontId="1" fillId="7" borderId="104" xfId="0" applyNumberFormat="1" applyFont="1" applyFill="1" applyBorder="1" applyAlignment="1">
      <alignment vertical="top" wrapText="1"/>
    </xf>
    <xf numFmtId="165" fontId="1" fillId="7" borderId="75" xfId="0" applyNumberFormat="1" applyFont="1" applyFill="1" applyBorder="1" applyAlignment="1">
      <alignment vertical="top" wrapText="1"/>
    </xf>
    <xf numFmtId="165" fontId="1" fillId="7" borderId="19" xfId="0" applyNumberFormat="1" applyFont="1" applyFill="1" applyBorder="1" applyAlignment="1">
      <alignment vertical="top" wrapText="1"/>
    </xf>
    <xf numFmtId="165" fontId="2" fillId="9" borderId="30" xfId="0" applyNumberFormat="1" applyFont="1" applyFill="1" applyBorder="1" applyAlignment="1">
      <alignment horizontal="center" vertical="top"/>
    </xf>
    <xf numFmtId="3" fontId="2" fillId="0" borderId="13" xfId="0" applyNumberFormat="1" applyFont="1" applyBorder="1" applyAlignment="1">
      <alignment horizontal="center" vertical="center" wrapText="1"/>
    </xf>
    <xf numFmtId="3" fontId="1" fillId="7" borderId="28" xfId="0" applyNumberFormat="1" applyFont="1" applyFill="1" applyBorder="1" applyAlignment="1">
      <alignment vertical="top" wrapText="1"/>
    </xf>
    <xf numFmtId="3" fontId="1" fillId="7" borderId="88" xfId="0" applyNumberFormat="1" applyFont="1" applyFill="1" applyBorder="1" applyAlignment="1">
      <alignment horizontal="center" vertical="top" wrapText="1"/>
    </xf>
    <xf numFmtId="3" fontId="1" fillId="7" borderId="87" xfId="0" applyNumberFormat="1" applyFont="1" applyFill="1" applyBorder="1" applyAlignment="1">
      <alignment vertical="top" wrapText="1"/>
    </xf>
    <xf numFmtId="3" fontId="1" fillId="7" borderId="95" xfId="0" applyNumberFormat="1" applyFont="1" applyFill="1" applyBorder="1" applyAlignment="1">
      <alignment horizontal="center" vertical="top" wrapText="1"/>
    </xf>
    <xf numFmtId="3" fontId="1" fillId="7" borderId="106" xfId="0" applyNumberFormat="1" applyFont="1" applyFill="1" applyBorder="1" applyAlignment="1">
      <alignment horizontal="center" vertical="top" wrapText="1"/>
    </xf>
    <xf numFmtId="165" fontId="1" fillId="7" borderId="44" xfId="0" applyNumberFormat="1" applyFont="1" applyFill="1" applyBorder="1" applyAlignment="1">
      <alignment vertical="top"/>
    </xf>
    <xf numFmtId="165" fontId="1" fillId="7" borderId="85" xfId="0" applyNumberFormat="1" applyFont="1" applyFill="1" applyBorder="1" applyAlignment="1">
      <alignment vertical="top"/>
    </xf>
    <xf numFmtId="49" fontId="1" fillId="0" borderId="81" xfId="0" applyNumberFormat="1" applyFont="1" applyFill="1" applyBorder="1" applyAlignment="1">
      <alignment horizontal="center" vertical="top"/>
    </xf>
    <xf numFmtId="165" fontId="1" fillId="0" borderId="68" xfId="0" applyNumberFormat="1" applyFont="1" applyBorder="1" applyAlignment="1">
      <alignment vertical="top"/>
    </xf>
    <xf numFmtId="165" fontId="1" fillId="7" borderId="77" xfId="0" applyNumberFormat="1" applyFont="1" applyFill="1" applyBorder="1" applyAlignment="1">
      <alignment vertical="top"/>
    </xf>
    <xf numFmtId="49" fontId="5" fillId="7" borderId="94"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3" fontId="1" fillId="7" borderId="78" xfId="0" applyNumberFormat="1" applyFont="1" applyFill="1" applyBorder="1" applyAlignment="1">
      <alignment horizontal="center" vertical="top" wrapText="1"/>
    </xf>
    <xf numFmtId="0" fontId="1" fillId="7" borderId="46" xfId="0" applyFont="1" applyFill="1" applyBorder="1" applyAlignment="1">
      <alignment horizontal="center" vertical="top"/>
    </xf>
    <xf numFmtId="165" fontId="2" fillId="5" borderId="15" xfId="0" applyNumberFormat="1" applyFont="1" applyFill="1" applyBorder="1" applyAlignment="1">
      <alignment horizontal="center" vertical="top" wrapText="1"/>
    </xf>
    <xf numFmtId="165" fontId="2" fillId="8" borderId="17" xfId="0" applyNumberFormat="1" applyFont="1" applyFill="1" applyBorder="1" applyAlignment="1">
      <alignment horizontal="center" vertical="top" wrapText="1"/>
    </xf>
    <xf numFmtId="165" fontId="1" fillId="0" borderId="27" xfId="0" applyNumberFormat="1" applyFont="1" applyBorder="1" applyAlignment="1">
      <alignment horizontal="center" vertical="top"/>
    </xf>
    <xf numFmtId="165" fontId="1" fillId="8" borderId="27" xfId="0" applyNumberFormat="1" applyFont="1" applyFill="1" applyBorder="1" applyAlignment="1">
      <alignment horizontal="center" vertical="top"/>
    </xf>
    <xf numFmtId="165" fontId="2" fillId="5" borderId="27" xfId="0" applyNumberFormat="1" applyFont="1" applyFill="1" applyBorder="1" applyAlignment="1">
      <alignment horizontal="center" vertical="top"/>
    </xf>
    <xf numFmtId="165" fontId="2" fillId="4" borderId="31" xfId="0" applyNumberFormat="1" applyFont="1" applyFill="1" applyBorder="1" applyAlignment="1">
      <alignment horizontal="center" vertical="top"/>
    </xf>
    <xf numFmtId="3" fontId="2" fillId="0" borderId="73" xfId="0" applyNumberFormat="1" applyFont="1" applyBorder="1" applyAlignment="1">
      <alignment horizontal="center" vertical="center" textRotation="90" wrapText="1"/>
    </xf>
    <xf numFmtId="165" fontId="2" fillId="5" borderId="76" xfId="0" applyNumberFormat="1" applyFont="1" applyFill="1" applyBorder="1" applyAlignment="1">
      <alignment horizontal="center" vertical="top"/>
    </xf>
    <xf numFmtId="165" fontId="13" fillId="7" borderId="7" xfId="0" applyNumberFormat="1" applyFont="1" applyFill="1" applyBorder="1" applyAlignment="1">
      <alignment horizontal="left" vertical="top" wrapText="1"/>
    </xf>
    <xf numFmtId="0" fontId="1" fillId="7" borderId="27" xfId="0" applyFont="1" applyFill="1" applyBorder="1" applyAlignment="1">
      <alignment vertical="top"/>
    </xf>
    <xf numFmtId="0" fontId="1" fillId="7" borderId="97" xfId="0" applyFont="1" applyFill="1" applyBorder="1" applyAlignment="1">
      <alignment horizontal="center" vertical="top"/>
    </xf>
    <xf numFmtId="165" fontId="1" fillId="7" borderId="49" xfId="0" applyNumberFormat="1" applyFont="1" applyFill="1" applyBorder="1" applyAlignment="1">
      <alignment horizontal="center" vertical="top" wrapText="1"/>
    </xf>
    <xf numFmtId="165" fontId="1" fillId="3" borderId="49" xfId="0" applyNumberFormat="1" applyFont="1" applyFill="1" applyBorder="1" applyAlignment="1">
      <alignment horizontal="center" vertical="top"/>
    </xf>
    <xf numFmtId="165" fontId="1" fillId="3" borderId="34" xfId="0" applyNumberFormat="1" applyFont="1" applyFill="1" applyBorder="1" applyAlignment="1">
      <alignment horizontal="center" vertical="top"/>
    </xf>
    <xf numFmtId="165" fontId="1" fillId="3" borderId="97" xfId="0" applyNumberFormat="1" applyFont="1" applyFill="1" applyBorder="1" applyAlignment="1">
      <alignment horizontal="center" vertical="top"/>
    </xf>
    <xf numFmtId="165" fontId="1" fillId="3" borderId="64" xfId="0" applyNumberFormat="1" applyFont="1" applyFill="1" applyBorder="1" applyAlignment="1">
      <alignment horizontal="center" vertical="top"/>
    </xf>
    <xf numFmtId="3" fontId="5" fillId="7" borderId="11"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165" fontId="11" fillId="7" borderId="101" xfId="0" applyNumberFormat="1" applyFont="1" applyFill="1" applyBorder="1" applyAlignment="1">
      <alignment horizontal="center" vertical="top"/>
    </xf>
    <xf numFmtId="165" fontId="11" fillId="7" borderId="20" xfId="0" applyNumberFormat="1" applyFont="1" applyFill="1" applyBorder="1" applyAlignment="1">
      <alignment horizontal="center" vertical="top"/>
    </xf>
    <xf numFmtId="3" fontId="1" fillId="7" borderId="87" xfId="0" applyNumberFormat="1" applyFont="1" applyFill="1" applyBorder="1" applyAlignment="1">
      <alignment horizontal="center" vertical="top" wrapText="1"/>
    </xf>
    <xf numFmtId="49" fontId="1" fillId="0" borderId="94" xfId="0" applyNumberFormat="1" applyFont="1" applyFill="1" applyBorder="1" applyAlignment="1">
      <alignment horizontal="center" vertical="top"/>
    </xf>
    <xf numFmtId="165" fontId="11" fillId="7" borderId="8" xfId="0" applyNumberFormat="1" applyFont="1" applyFill="1" applyBorder="1" applyAlignment="1">
      <alignment horizontal="center" vertical="top"/>
    </xf>
    <xf numFmtId="49" fontId="11" fillId="7" borderId="46" xfId="0" applyNumberFormat="1" applyFont="1" applyFill="1" applyBorder="1" applyAlignment="1">
      <alignment horizontal="center" vertical="top"/>
    </xf>
    <xf numFmtId="165" fontId="2" fillId="8" borderId="30" xfId="0" applyNumberFormat="1" applyFont="1" applyFill="1" applyBorder="1" applyAlignment="1">
      <alignment horizontal="center" vertical="top"/>
    </xf>
    <xf numFmtId="49" fontId="11" fillId="7" borderId="21" xfId="0" applyNumberFormat="1" applyFont="1" applyFill="1" applyBorder="1" applyAlignment="1">
      <alignment horizontal="center" vertical="top"/>
    </xf>
    <xf numFmtId="0" fontId="6" fillId="7" borderId="29" xfId="0" applyFont="1" applyFill="1" applyBorder="1" applyAlignment="1">
      <alignment vertical="top" wrapText="1"/>
    </xf>
    <xf numFmtId="165" fontId="1" fillId="7" borderId="8" xfId="0" applyNumberFormat="1" applyFont="1" applyFill="1" applyBorder="1" applyAlignment="1">
      <alignment horizontal="center" vertical="top"/>
    </xf>
    <xf numFmtId="165" fontId="2" fillId="7" borderId="11"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xf>
    <xf numFmtId="14" fontId="1" fillId="0" borderId="0" xfId="0" applyNumberFormat="1" applyFont="1" applyBorder="1" applyAlignment="1">
      <alignment vertical="top"/>
    </xf>
    <xf numFmtId="49" fontId="1" fillId="7" borderId="28" xfId="0" applyNumberFormat="1" applyFont="1" applyFill="1" applyBorder="1" applyAlignment="1">
      <alignment horizontal="center" vertical="top"/>
    </xf>
    <xf numFmtId="3" fontId="1" fillId="7" borderId="18" xfId="0" applyNumberFormat="1" applyFont="1" applyFill="1" applyBorder="1" applyAlignment="1">
      <alignment vertical="top" wrapText="1"/>
    </xf>
    <xf numFmtId="165" fontId="9" fillId="10" borderId="19" xfId="0" applyNumberFormat="1" applyFont="1" applyFill="1" applyBorder="1" applyAlignment="1">
      <alignment horizontal="center" vertical="top" wrapText="1"/>
    </xf>
    <xf numFmtId="165" fontId="11" fillId="7" borderId="59" xfId="0" applyNumberFormat="1" applyFont="1" applyFill="1" applyBorder="1" applyAlignment="1">
      <alignment horizontal="center" vertical="top"/>
    </xf>
    <xf numFmtId="49" fontId="2" fillId="7" borderId="11"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165" fontId="1" fillId="0" borderId="1" xfId="0" applyNumberFormat="1" applyFont="1" applyBorder="1" applyAlignment="1">
      <alignment horizontal="center" vertical="top"/>
    </xf>
    <xf numFmtId="165" fontId="1" fillId="0" borderId="19" xfId="0" applyNumberFormat="1" applyFont="1" applyBorder="1" applyAlignment="1">
      <alignment horizontal="center" vertical="top"/>
    </xf>
    <xf numFmtId="165" fontId="1" fillId="8" borderId="75" xfId="0" applyNumberFormat="1" applyFont="1" applyFill="1" applyBorder="1" applyAlignment="1">
      <alignment horizontal="center" vertical="top"/>
    </xf>
    <xf numFmtId="165" fontId="1" fillId="8" borderId="19" xfId="0" applyNumberFormat="1" applyFont="1" applyFill="1" applyBorder="1" applyAlignment="1">
      <alignment horizontal="center" vertical="top"/>
    </xf>
    <xf numFmtId="165" fontId="2" fillId="9" borderId="7" xfId="0" applyNumberFormat="1" applyFont="1" applyFill="1" applyBorder="1" applyAlignment="1">
      <alignment horizontal="center" vertical="top"/>
    </xf>
    <xf numFmtId="165" fontId="2" fillId="2"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1" fillId="7" borderId="20"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2" fillId="2" borderId="48" xfId="0" applyNumberFormat="1" applyFont="1" applyFill="1" applyBorder="1" applyAlignment="1">
      <alignment horizontal="center" vertical="top"/>
    </xf>
    <xf numFmtId="165" fontId="2" fillId="9" borderId="34" xfId="0" applyNumberFormat="1" applyFont="1" applyFill="1" applyBorder="1" applyAlignment="1">
      <alignment horizontal="center" vertical="top"/>
    </xf>
    <xf numFmtId="165" fontId="1" fillId="7" borderId="20" xfId="0" applyNumberFormat="1" applyFont="1" applyFill="1" applyBorder="1" applyAlignment="1">
      <alignment horizontal="center" vertical="center" textRotation="90" wrapText="1"/>
    </xf>
    <xf numFmtId="165" fontId="1" fillId="7" borderId="11" xfId="0" applyNumberFormat="1" applyFont="1" applyFill="1" applyBorder="1" applyAlignment="1">
      <alignment horizontal="center" vertical="center" textRotation="90" wrapText="1"/>
    </xf>
    <xf numFmtId="165" fontId="1" fillId="7" borderId="28" xfId="0" applyNumberFormat="1" applyFont="1" applyFill="1" applyBorder="1" applyAlignment="1">
      <alignment horizontal="center" vertical="center" textRotation="90" wrapText="1"/>
    </xf>
    <xf numFmtId="165" fontId="2" fillId="7" borderId="35" xfId="0" applyNumberFormat="1" applyFont="1" applyFill="1" applyBorder="1" applyAlignment="1">
      <alignment horizontal="center" vertical="top" wrapText="1"/>
    </xf>
    <xf numFmtId="0" fontId="0" fillId="0" borderId="0" xfId="0" applyFont="1" applyBorder="1" applyAlignment="1">
      <alignment vertical="top" wrapText="1"/>
    </xf>
    <xf numFmtId="165" fontId="1" fillId="7" borderId="35" xfId="0" applyNumberFormat="1" applyFont="1" applyFill="1" applyBorder="1" applyAlignment="1">
      <alignment horizontal="left" vertical="top" wrapText="1"/>
    </xf>
    <xf numFmtId="0" fontId="1" fillId="7" borderId="28" xfId="0" applyFont="1" applyFill="1" applyBorder="1" applyAlignment="1">
      <alignment horizontal="left" vertical="top" wrapText="1"/>
    </xf>
    <xf numFmtId="165" fontId="2" fillId="7" borderId="48" xfId="0" applyNumberFormat="1" applyFont="1" applyFill="1" applyBorder="1" applyAlignment="1">
      <alignment horizontal="center" vertical="top" wrapText="1"/>
    </xf>
    <xf numFmtId="165" fontId="1" fillId="7" borderId="47" xfId="0" applyNumberFormat="1" applyFont="1" applyFill="1" applyBorder="1" applyAlignment="1">
      <alignment horizontal="left" vertical="top" wrapText="1"/>
    </xf>
    <xf numFmtId="165" fontId="2" fillId="7" borderId="27" xfId="0" applyNumberFormat="1" applyFont="1" applyFill="1" applyBorder="1" applyAlignment="1">
      <alignment horizontal="center" vertical="top" wrapText="1"/>
    </xf>
    <xf numFmtId="165" fontId="1" fillId="7" borderId="48" xfId="0" applyNumberFormat="1" applyFont="1" applyFill="1" applyBorder="1" applyAlignment="1">
      <alignment vertical="top" wrapText="1"/>
    </xf>
    <xf numFmtId="165" fontId="1" fillId="7" borderId="80" xfId="0" applyNumberFormat="1" applyFont="1" applyFill="1" applyBorder="1" applyAlignment="1">
      <alignment horizontal="left" vertical="top" wrapText="1"/>
    </xf>
    <xf numFmtId="165" fontId="2" fillId="7" borderId="20"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2" fillId="7" borderId="28" xfId="0" applyNumberFormat="1" applyFont="1" applyFill="1" applyBorder="1" applyAlignment="1">
      <alignment horizontal="center" vertical="top" wrapText="1"/>
    </xf>
    <xf numFmtId="165" fontId="6" fillId="7" borderId="11" xfId="0" applyNumberFormat="1" applyFont="1" applyFill="1" applyBorder="1" applyAlignment="1">
      <alignment horizontal="center" vertical="center" textRotation="90" wrapText="1"/>
    </xf>
    <xf numFmtId="49" fontId="2" fillId="7" borderId="1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5" fontId="1" fillId="7" borderId="75" xfId="0" applyNumberFormat="1" applyFont="1" applyFill="1" applyBorder="1" applyAlignment="1">
      <alignment horizontal="left" vertical="top" wrapText="1"/>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0" xfId="0" applyNumberFormat="1" applyFont="1" applyFill="1" applyBorder="1" applyAlignment="1">
      <alignment vertical="top" wrapText="1"/>
    </xf>
    <xf numFmtId="165" fontId="1" fillId="7" borderId="59" xfId="0" applyNumberFormat="1" applyFont="1" applyFill="1" applyBorder="1" applyAlignment="1">
      <alignment vertical="top" wrapText="1"/>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116" xfId="0" applyNumberFormat="1" applyFont="1" applyFill="1" applyBorder="1" applyAlignment="1">
      <alignment horizontal="left" vertical="top" wrapText="1"/>
    </xf>
    <xf numFmtId="165" fontId="2" fillId="3" borderId="11" xfId="0" applyNumberFormat="1" applyFont="1" applyFill="1" applyBorder="1" applyAlignment="1">
      <alignment horizontal="center" vertical="top" wrapText="1"/>
    </xf>
    <xf numFmtId="165" fontId="1" fillId="7" borderId="38" xfId="0" applyNumberFormat="1" applyFont="1" applyFill="1" applyBorder="1" applyAlignment="1">
      <alignment horizontal="center" vertical="top" wrapText="1"/>
    </xf>
    <xf numFmtId="0" fontId="1" fillId="7" borderId="35" xfId="0" applyFont="1" applyFill="1" applyBorder="1" applyAlignment="1">
      <alignment horizontal="right" vertical="center"/>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2" fillId="0" borderId="6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9"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49" fontId="1" fillId="7" borderId="0" xfId="0" applyNumberFormat="1" applyFont="1" applyFill="1" applyBorder="1" applyAlignment="1">
      <alignment horizontal="center" vertical="top"/>
    </xf>
    <xf numFmtId="165" fontId="11" fillId="7" borderId="11"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xf>
    <xf numFmtId="165" fontId="1" fillId="2" borderId="70" xfId="0" applyNumberFormat="1" applyFont="1" applyFill="1" applyBorder="1" applyAlignment="1">
      <alignment horizontal="center" vertical="top" wrapText="1"/>
    </xf>
    <xf numFmtId="165" fontId="1" fillId="2" borderId="71" xfId="0" applyNumberFormat="1" applyFont="1" applyFill="1" applyBorder="1" applyAlignment="1">
      <alignment horizontal="center" vertical="top" wrapText="1"/>
    </xf>
    <xf numFmtId="165" fontId="1" fillId="7" borderId="28"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67" xfId="0" applyNumberFormat="1" applyFont="1" applyFill="1" applyBorder="1" applyAlignment="1">
      <alignment vertical="top" wrapText="1"/>
    </xf>
    <xf numFmtId="3" fontId="1" fillId="7" borderId="17" xfId="0" applyNumberFormat="1" applyFont="1" applyFill="1" applyBorder="1" applyAlignment="1">
      <alignment horizontal="center" vertical="top"/>
    </xf>
    <xf numFmtId="165" fontId="2" fillId="9" borderId="7"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3" fontId="11" fillId="7" borderId="94" xfId="0" applyNumberFormat="1" applyFont="1" applyFill="1" applyBorder="1" applyAlignment="1">
      <alignment horizontal="center" vertical="top"/>
    </xf>
    <xf numFmtId="165" fontId="11" fillId="7" borderId="102" xfId="0" applyNumberFormat="1" applyFont="1" applyFill="1" applyBorder="1" applyAlignment="1">
      <alignment horizontal="center" vertical="top"/>
    </xf>
    <xf numFmtId="165" fontId="1" fillId="7" borderId="20" xfId="0" applyNumberFormat="1" applyFont="1" applyFill="1" applyBorder="1" applyAlignment="1">
      <alignment horizontal="left" vertical="top" wrapText="1"/>
    </xf>
    <xf numFmtId="165" fontId="1" fillId="7" borderId="11" xfId="0" applyNumberFormat="1" applyFont="1" applyFill="1" applyBorder="1" applyAlignment="1">
      <alignment horizontal="left" vertical="top" wrapText="1"/>
    </xf>
    <xf numFmtId="165" fontId="1" fillId="7" borderId="80" xfId="0" applyNumberFormat="1" applyFont="1" applyFill="1" applyBorder="1" applyAlignment="1">
      <alignment horizontal="left" vertical="top" wrapText="1"/>
    </xf>
    <xf numFmtId="165" fontId="1" fillId="7" borderId="36" xfId="0" applyNumberFormat="1" applyFont="1" applyFill="1" applyBorder="1" applyAlignment="1">
      <alignment horizontal="left" vertical="top" wrapText="1"/>
    </xf>
    <xf numFmtId="165" fontId="1" fillId="7" borderId="29" xfId="0" applyNumberFormat="1" applyFont="1" applyFill="1" applyBorder="1" applyAlignment="1">
      <alignment horizontal="left" vertical="top" wrapText="1"/>
    </xf>
    <xf numFmtId="165" fontId="1" fillId="7" borderId="7" xfId="0" applyNumberFormat="1" applyFont="1" applyFill="1" applyBorder="1" applyAlignment="1">
      <alignment horizontal="left" vertical="top" wrapText="1"/>
    </xf>
    <xf numFmtId="165" fontId="1" fillId="2" borderId="70" xfId="0" applyNumberFormat="1" applyFont="1" applyFill="1" applyBorder="1" applyAlignment="1">
      <alignment horizontal="center" vertical="top" wrapText="1"/>
    </xf>
    <xf numFmtId="165" fontId="1" fillId="2" borderId="71" xfId="0" applyNumberFormat="1" applyFont="1" applyFill="1" applyBorder="1" applyAlignment="1">
      <alignment horizontal="center" vertical="top" wrapText="1"/>
    </xf>
    <xf numFmtId="165" fontId="2" fillId="9" borderId="7" xfId="0" applyNumberFormat="1" applyFont="1" applyFill="1" applyBorder="1" applyAlignment="1">
      <alignment horizontal="center" vertical="top"/>
    </xf>
    <xf numFmtId="165" fontId="2" fillId="2" borderId="11" xfId="0" applyNumberFormat="1" applyFont="1" applyFill="1" applyBorder="1" applyAlignment="1">
      <alignment horizontal="center" vertical="top"/>
    </xf>
    <xf numFmtId="49" fontId="2" fillId="7" borderId="11" xfId="0" applyNumberFormat="1" applyFont="1" applyFill="1" applyBorder="1" applyAlignment="1">
      <alignment horizontal="center" vertical="top"/>
    </xf>
    <xf numFmtId="165" fontId="1" fillId="7" borderId="28" xfId="0" applyNumberFormat="1" applyFont="1" applyFill="1" applyBorder="1" applyAlignment="1">
      <alignment vertical="top" wrapText="1"/>
    </xf>
    <xf numFmtId="165" fontId="2" fillId="7" borderId="20"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top" wrapText="1"/>
    </xf>
    <xf numFmtId="0" fontId="1" fillId="7" borderId="36" xfId="0" applyFont="1" applyFill="1" applyBorder="1" applyAlignment="1">
      <alignment vertical="top" wrapText="1"/>
    </xf>
    <xf numFmtId="0" fontId="1" fillId="7" borderId="11" xfId="0" applyFont="1" applyFill="1" applyBorder="1" applyAlignment="1">
      <alignment vertical="top" wrapText="1"/>
    </xf>
    <xf numFmtId="49" fontId="2" fillId="9"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0" fontId="6" fillId="7" borderId="11" xfId="0" applyFont="1" applyFill="1" applyBorder="1" applyAlignment="1">
      <alignment vertical="top" wrapText="1"/>
    </xf>
    <xf numFmtId="165" fontId="1" fillId="7" borderId="48" xfId="0" applyNumberFormat="1" applyFont="1" applyFill="1" applyBorder="1" applyAlignment="1">
      <alignment vertical="top" wrapText="1"/>
    </xf>
    <xf numFmtId="0" fontId="6" fillId="7" borderId="35" xfId="0" applyFont="1" applyFill="1" applyBorder="1" applyAlignment="1">
      <alignment vertical="top" wrapText="1"/>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165" fontId="1" fillId="7" borderId="34" xfId="0" applyNumberFormat="1" applyFont="1" applyFill="1" applyBorder="1" applyAlignment="1">
      <alignment vertical="top" wrapText="1"/>
    </xf>
    <xf numFmtId="0" fontId="1" fillId="7" borderId="28" xfId="0" applyFont="1" applyFill="1" applyBorder="1" applyAlignment="1">
      <alignment horizontal="left" vertical="top" wrapText="1"/>
    </xf>
    <xf numFmtId="3" fontId="1" fillId="7" borderId="2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165" fontId="1" fillId="7" borderId="20" xfId="0" applyNumberFormat="1" applyFont="1" applyFill="1" applyBorder="1" applyAlignment="1">
      <alignment horizontal="center" vertical="center" textRotation="90" wrapText="1"/>
    </xf>
    <xf numFmtId="165" fontId="1" fillId="7" borderId="11" xfId="0" applyNumberFormat="1" applyFont="1" applyFill="1" applyBorder="1" applyAlignment="1">
      <alignment horizontal="center" vertical="center" textRotation="90" wrapText="1"/>
    </xf>
    <xf numFmtId="165" fontId="6" fillId="7" borderId="11" xfId="0" applyNumberFormat="1" applyFont="1" applyFill="1" applyBorder="1" applyAlignment="1">
      <alignment horizontal="center" vertical="center" textRotation="90" wrapText="1"/>
    </xf>
    <xf numFmtId="165" fontId="1" fillId="0" borderId="0" xfId="0" applyNumberFormat="1" applyFont="1" applyBorder="1" applyAlignment="1">
      <alignment horizontal="left" vertical="top" wrapText="1"/>
    </xf>
    <xf numFmtId="165" fontId="1" fillId="7" borderId="28" xfId="0" applyNumberFormat="1" applyFont="1" applyFill="1" applyBorder="1" applyAlignment="1">
      <alignment horizontal="left" vertical="top" wrapText="1"/>
    </xf>
    <xf numFmtId="165" fontId="1" fillId="7" borderId="45" xfId="0" applyNumberFormat="1" applyFont="1" applyFill="1" applyBorder="1" applyAlignment="1">
      <alignment horizontal="left" vertical="top" wrapText="1"/>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2" fillId="7" borderId="11" xfId="0" applyNumberFormat="1" applyFont="1" applyFill="1" applyBorder="1" applyAlignment="1">
      <alignment horizontal="center" vertical="top" wrapText="1"/>
    </xf>
    <xf numFmtId="165" fontId="2" fillId="2" borderId="48" xfId="0" applyNumberFormat="1" applyFont="1" applyFill="1" applyBorder="1" applyAlignment="1">
      <alignment horizontal="center" vertical="top"/>
    </xf>
    <xf numFmtId="49" fontId="1" fillId="7" borderId="46"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7" borderId="99" xfId="0" applyFont="1" applyFill="1" applyBorder="1" applyAlignment="1">
      <alignment vertical="top" wrapText="1"/>
    </xf>
    <xf numFmtId="165" fontId="1" fillId="7" borderId="100" xfId="0" applyNumberFormat="1" applyFont="1" applyFill="1" applyBorder="1" applyAlignment="1">
      <alignment horizontal="left" vertical="top" wrapText="1"/>
    </xf>
    <xf numFmtId="165" fontId="1" fillId="7" borderId="48" xfId="0" applyNumberFormat="1" applyFont="1" applyFill="1" applyBorder="1" applyAlignment="1">
      <alignment horizontal="left" vertical="top" wrapText="1"/>
    </xf>
    <xf numFmtId="165" fontId="1" fillId="7" borderId="35" xfId="0" applyNumberFormat="1" applyFont="1" applyFill="1" applyBorder="1" applyAlignment="1">
      <alignment horizontal="left" vertical="top" wrapText="1"/>
    </xf>
    <xf numFmtId="165" fontId="2" fillId="7" borderId="48" xfId="0" applyNumberFormat="1" applyFont="1" applyFill="1" applyBorder="1" applyAlignment="1">
      <alignment horizontal="center" vertical="top" wrapText="1"/>
    </xf>
    <xf numFmtId="0" fontId="1" fillId="7" borderId="29" xfId="0" applyFont="1" applyFill="1" applyBorder="1" applyAlignment="1">
      <alignment horizontal="left" vertical="top" wrapText="1"/>
    </xf>
    <xf numFmtId="165" fontId="2" fillId="9" borderId="34" xfId="0" applyNumberFormat="1" applyFont="1" applyFill="1" applyBorder="1" applyAlignment="1">
      <alignment horizontal="center" vertical="top"/>
    </xf>
    <xf numFmtId="165" fontId="1" fillId="7" borderId="28" xfId="0" applyNumberFormat="1" applyFont="1" applyFill="1" applyBorder="1" applyAlignment="1">
      <alignment horizontal="center" vertical="center" textRotation="90" wrapText="1"/>
    </xf>
    <xf numFmtId="0" fontId="6" fillId="7" borderId="7" xfId="0" applyFont="1" applyFill="1" applyBorder="1" applyAlignment="1">
      <alignment horizontal="left" vertical="top" wrapText="1"/>
    </xf>
    <xf numFmtId="165" fontId="1" fillId="7" borderId="82" xfId="0" applyNumberFormat="1" applyFont="1" applyFill="1" applyBorder="1" applyAlignment="1">
      <alignment vertical="top" wrapText="1"/>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0" xfId="0" applyNumberFormat="1" applyFont="1" applyFill="1" applyBorder="1" applyAlignment="1">
      <alignment vertical="top" wrapText="1"/>
    </xf>
    <xf numFmtId="0" fontId="1" fillId="7" borderId="45" xfId="0" applyFont="1" applyFill="1" applyBorder="1" applyAlignment="1">
      <alignment vertical="top" wrapText="1"/>
    </xf>
    <xf numFmtId="165" fontId="1" fillId="7" borderId="28"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165" fontId="1" fillId="7" borderId="18" xfId="0" applyNumberFormat="1" applyFont="1" applyFill="1" applyBorder="1" applyAlignment="1">
      <alignment horizontal="center" vertical="top" wrapText="1"/>
    </xf>
    <xf numFmtId="165" fontId="2" fillId="8" borderId="11" xfId="0" applyNumberFormat="1" applyFont="1" applyFill="1" applyBorder="1" applyAlignment="1">
      <alignment horizontal="center" vertical="top"/>
    </xf>
    <xf numFmtId="49" fontId="2" fillId="7" borderId="20"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2" fillId="7" borderId="28" xfId="0" applyNumberFormat="1" applyFont="1" applyFill="1" applyBorder="1" applyAlignment="1">
      <alignment horizontal="center" vertical="top"/>
    </xf>
    <xf numFmtId="165" fontId="2" fillId="11" borderId="28" xfId="0" applyNumberFormat="1" applyFont="1" applyFill="1" applyBorder="1" applyAlignment="1">
      <alignment horizontal="center" vertical="top" wrapText="1"/>
    </xf>
    <xf numFmtId="165" fontId="1" fillId="7" borderId="21" xfId="0" applyNumberFormat="1" applyFont="1" applyFill="1" applyBorder="1" applyAlignment="1">
      <alignment horizontal="center" vertical="top" wrapText="1"/>
    </xf>
    <xf numFmtId="165" fontId="6" fillId="7" borderId="29" xfId="0" applyNumberFormat="1" applyFont="1" applyFill="1" applyBorder="1" applyAlignment="1">
      <alignment vertical="top" wrapText="1"/>
    </xf>
    <xf numFmtId="165" fontId="1" fillId="7" borderId="18" xfId="0" applyNumberFormat="1" applyFont="1" applyFill="1" applyBorder="1" applyAlignment="1">
      <alignment horizontal="center" vertical="center" wrapText="1"/>
    </xf>
    <xf numFmtId="165" fontId="2" fillId="0" borderId="28" xfId="0" applyNumberFormat="1" applyFont="1" applyFill="1" applyBorder="1" applyAlignment="1">
      <alignment horizontal="center" vertical="top" wrapText="1"/>
    </xf>
    <xf numFmtId="0" fontId="6" fillId="0" borderId="27" xfId="0" applyFont="1" applyBorder="1" applyAlignment="1">
      <alignment horizontal="center" vertical="top" wrapText="1"/>
    </xf>
    <xf numFmtId="49" fontId="2" fillId="7" borderId="35" xfId="0" applyNumberFormat="1" applyFont="1" applyFill="1" applyBorder="1" applyAlignment="1">
      <alignment horizontal="center" vertical="top"/>
    </xf>
    <xf numFmtId="165" fontId="1" fillId="7" borderId="7" xfId="0" applyNumberFormat="1" applyFont="1" applyFill="1" applyBorder="1" applyAlignment="1">
      <alignment vertical="top" wrapText="1"/>
    </xf>
    <xf numFmtId="0" fontId="1" fillId="7" borderId="7" xfId="0" applyFont="1" applyFill="1" applyBorder="1" applyAlignment="1">
      <alignment vertical="top" wrapText="1"/>
    </xf>
    <xf numFmtId="0" fontId="6" fillId="10" borderId="11" xfId="0" applyFont="1" applyFill="1" applyBorder="1" applyAlignment="1">
      <alignment horizontal="left" vertical="top" wrapText="1"/>
    </xf>
    <xf numFmtId="165" fontId="6" fillId="7" borderId="18" xfId="0" applyNumberFormat="1" applyFont="1" applyFill="1" applyBorder="1" applyAlignment="1">
      <alignment horizontal="center" vertical="top" wrapText="1"/>
    </xf>
    <xf numFmtId="165" fontId="1" fillId="10" borderId="28" xfId="0" applyNumberFormat="1" applyFont="1" applyFill="1" applyBorder="1" applyAlignment="1">
      <alignment vertical="top" wrapText="1"/>
    </xf>
    <xf numFmtId="0" fontId="0" fillId="0" borderId="34" xfId="0" applyFont="1" applyBorder="1" applyAlignment="1">
      <alignment vertical="top" wrapText="1"/>
    </xf>
    <xf numFmtId="165" fontId="1" fillId="7" borderId="23"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0" fontId="0" fillId="0" borderId="18" xfId="0" applyFont="1" applyBorder="1" applyAlignment="1">
      <alignment vertical="top" wrapText="1"/>
    </xf>
    <xf numFmtId="49" fontId="1" fillId="7" borderId="59" xfId="0" applyNumberFormat="1" applyFont="1" applyFill="1" applyBorder="1" applyAlignment="1">
      <alignment horizontal="center" vertical="top" wrapText="1"/>
    </xf>
    <xf numFmtId="0" fontId="0" fillId="7" borderId="18" xfId="0" applyFont="1" applyFill="1" applyBorder="1" applyAlignment="1">
      <alignment vertical="top" wrapText="1"/>
    </xf>
    <xf numFmtId="0" fontId="1" fillId="7" borderId="27" xfId="0" applyFont="1" applyFill="1" applyBorder="1" applyAlignment="1">
      <alignment horizontal="right" vertical="center"/>
    </xf>
    <xf numFmtId="49" fontId="1" fillId="7" borderId="106" xfId="0" applyNumberFormat="1" applyFont="1" applyFill="1" applyBorder="1" applyAlignment="1">
      <alignment horizontal="center" vertical="top"/>
    </xf>
    <xf numFmtId="0" fontId="0" fillId="8" borderId="32" xfId="0" applyFont="1" applyFill="1" applyBorder="1" applyAlignment="1">
      <alignment vertical="top" wrapText="1"/>
    </xf>
    <xf numFmtId="0" fontId="0" fillId="8" borderId="32" xfId="0" applyFont="1" applyFill="1" applyBorder="1" applyAlignment="1">
      <alignment horizontal="center" textRotation="90" wrapText="1"/>
    </xf>
    <xf numFmtId="0" fontId="2" fillId="0" borderId="10" xfId="0" applyFont="1" applyBorder="1" applyAlignment="1">
      <alignment horizontal="center" vertical="center" wrapText="1"/>
    </xf>
    <xf numFmtId="165" fontId="11" fillId="0" borderId="100" xfId="0" applyNumberFormat="1" applyFont="1" applyFill="1" applyBorder="1" applyAlignment="1">
      <alignment horizontal="center" vertical="top"/>
    </xf>
    <xf numFmtId="165" fontId="11" fillId="0" borderId="83" xfId="0" applyNumberFormat="1" applyFont="1" applyFill="1" applyBorder="1" applyAlignment="1">
      <alignment horizontal="center" vertical="top"/>
    </xf>
    <xf numFmtId="165" fontId="11" fillId="7" borderId="11" xfId="0" applyNumberFormat="1" applyFont="1" applyFill="1" applyBorder="1" applyAlignment="1">
      <alignment horizontal="center" vertical="top"/>
    </xf>
    <xf numFmtId="3" fontId="11" fillId="7" borderId="11" xfId="0" applyNumberFormat="1" applyFont="1" applyFill="1" applyBorder="1" applyAlignment="1">
      <alignment horizontal="center" vertical="top"/>
    </xf>
    <xf numFmtId="3" fontId="11" fillId="7" borderId="35" xfId="0" applyNumberFormat="1" applyFont="1" applyFill="1" applyBorder="1" applyAlignment="1">
      <alignment horizontal="center" vertical="top"/>
    </xf>
    <xf numFmtId="0" fontId="1" fillId="7" borderId="87" xfId="0" applyNumberFormat="1" applyFont="1" applyFill="1" applyBorder="1" applyAlignment="1">
      <alignment horizontal="center" vertical="top"/>
    </xf>
    <xf numFmtId="49" fontId="1" fillId="7" borderId="20" xfId="0" applyNumberFormat="1" applyFont="1" applyFill="1" applyBorder="1" applyAlignment="1">
      <alignment horizontal="center" vertical="top" wrapText="1"/>
    </xf>
    <xf numFmtId="49" fontId="1" fillId="7" borderId="11" xfId="0" applyNumberFormat="1" applyFont="1" applyFill="1" applyBorder="1" applyAlignment="1">
      <alignment horizontal="center" vertical="top" wrapText="1"/>
    </xf>
    <xf numFmtId="49" fontId="1" fillId="7" borderId="28" xfId="0" applyNumberFormat="1" applyFont="1" applyFill="1" applyBorder="1" applyAlignment="1">
      <alignment horizontal="center" vertical="top" wrapText="1"/>
    </xf>
    <xf numFmtId="49" fontId="1" fillId="7" borderId="80" xfId="0" applyNumberFormat="1" applyFont="1" applyFill="1" applyBorder="1" applyAlignment="1">
      <alignment horizontal="center" vertical="top"/>
    </xf>
    <xf numFmtId="0" fontId="1" fillId="7" borderId="48" xfId="0" applyNumberFormat="1" applyFont="1" applyFill="1" applyBorder="1" applyAlignment="1">
      <alignment horizontal="center" vertical="top"/>
    </xf>
    <xf numFmtId="165" fontId="11" fillId="7" borderId="111" xfId="0" applyNumberFormat="1" applyFont="1" applyFill="1" applyBorder="1" applyAlignment="1">
      <alignment horizontal="center" vertical="top"/>
    </xf>
    <xf numFmtId="0" fontId="11" fillId="7" borderId="87" xfId="0" applyNumberFormat="1" applyFont="1" applyFill="1" applyBorder="1" applyAlignment="1">
      <alignment horizontal="center" vertical="top"/>
    </xf>
    <xf numFmtId="49" fontId="1" fillId="7" borderId="78" xfId="0" applyNumberFormat="1" applyFont="1" applyFill="1" applyBorder="1" applyAlignment="1">
      <alignment horizontal="center" vertical="top"/>
    </xf>
    <xf numFmtId="49" fontId="1" fillId="7" borderId="100" xfId="0" applyNumberFormat="1" applyFont="1" applyFill="1" applyBorder="1" applyAlignment="1">
      <alignment horizontal="center" vertical="top"/>
    </xf>
    <xf numFmtId="49" fontId="1" fillId="7" borderId="87" xfId="0" applyNumberFormat="1" applyFont="1" applyFill="1" applyBorder="1" applyAlignment="1">
      <alignment horizontal="center" vertical="top"/>
    </xf>
    <xf numFmtId="165" fontId="11" fillId="7" borderId="49" xfId="0" applyNumberFormat="1" applyFont="1" applyFill="1" applyBorder="1" applyAlignment="1">
      <alignment horizontal="center" vertical="top"/>
    </xf>
    <xf numFmtId="165" fontId="11" fillId="7" borderId="64" xfId="0" applyNumberFormat="1" applyFont="1" applyFill="1" applyBorder="1" applyAlignment="1">
      <alignment horizontal="center" vertical="top"/>
    </xf>
    <xf numFmtId="165" fontId="2" fillId="2" borderId="66" xfId="0" applyNumberFormat="1" applyFont="1" applyFill="1" applyBorder="1" applyAlignment="1">
      <alignment horizontal="center" vertical="top"/>
    </xf>
    <xf numFmtId="3" fontId="11" fillId="7" borderId="27" xfId="0" applyNumberFormat="1" applyFont="1" applyFill="1" applyBorder="1" applyAlignment="1">
      <alignment horizontal="center" vertical="top"/>
    </xf>
    <xf numFmtId="165" fontId="11" fillId="7" borderId="36" xfId="0" applyNumberFormat="1" applyFont="1" applyFill="1" applyBorder="1" applyAlignment="1">
      <alignment vertical="top" wrapText="1"/>
    </xf>
    <xf numFmtId="3" fontId="11" fillId="7" borderId="46" xfId="0" applyNumberFormat="1" applyFont="1" applyFill="1" applyBorder="1" applyAlignment="1">
      <alignment horizontal="center" vertical="top"/>
    </xf>
    <xf numFmtId="3" fontId="11" fillId="7" borderId="20" xfId="0" applyNumberFormat="1" applyFont="1" applyFill="1" applyBorder="1" applyAlignment="1">
      <alignment horizontal="center" vertical="top"/>
    </xf>
    <xf numFmtId="3" fontId="11" fillId="7" borderId="21" xfId="0" applyNumberFormat="1" applyFont="1" applyFill="1" applyBorder="1" applyAlignment="1">
      <alignment horizontal="center" vertical="top"/>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165" fontId="2" fillId="2" borderId="48" xfId="0" applyNumberFormat="1" applyFont="1" applyFill="1" applyBorder="1" applyAlignment="1">
      <alignment horizontal="center" vertical="top"/>
    </xf>
    <xf numFmtId="165" fontId="2" fillId="7" borderId="35" xfId="0" applyNumberFormat="1" applyFont="1" applyFill="1" applyBorder="1" applyAlignment="1">
      <alignment horizontal="center" vertical="top" wrapText="1"/>
    </xf>
    <xf numFmtId="165" fontId="2" fillId="7" borderId="48" xfId="0" applyNumberFormat="1" applyFont="1" applyFill="1" applyBorder="1" applyAlignment="1">
      <alignment horizontal="center" vertical="top" wrapText="1"/>
    </xf>
    <xf numFmtId="165" fontId="1" fillId="7" borderId="19" xfId="0" applyNumberFormat="1" applyFont="1" applyFill="1" applyBorder="1" applyAlignment="1">
      <alignment horizontal="left" vertical="top" wrapText="1"/>
    </xf>
    <xf numFmtId="49" fontId="1" fillId="7" borderId="46"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2" fillId="7" borderId="28" xfId="0" applyNumberFormat="1" applyFont="1" applyFill="1" applyBorder="1" applyAlignment="1">
      <alignment horizontal="center" vertical="top" wrapText="1"/>
    </xf>
    <xf numFmtId="165" fontId="1" fillId="0" borderId="0" xfId="0" applyNumberFormat="1" applyFont="1" applyBorder="1" applyAlignment="1">
      <alignment horizontal="left" vertical="top" wrapText="1"/>
    </xf>
    <xf numFmtId="0" fontId="1" fillId="0" borderId="0" xfId="0" applyFont="1" applyAlignment="1">
      <alignment horizontal="left" vertical="top" wrapText="1"/>
    </xf>
    <xf numFmtId="49" fontId="2" fillId="7" borderId="11" xfId="0" applyNumberFormat="1" applyFont="1" applyFill="1" applyBorder="1" applyAlignment="1">
      <alignment horizontal="center" vertical="top"/>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18" xfId="0" applyNumberFormat="1" applyFont="1" applyFill="1" applyBorder="1" applyAlignment="1">
      <alignment horizontal="center" vertical="top" wrapText="1"/>
    </xf>
    <xf numFmtId="0" fontId="1" fillId="7" borderId="7" xfId="0" applyFont="1" applyFill="1" applyBorder="1" applyAlignment="1">
      <alignment vertical="top" wrapText="1"/>
    </xf>
    <xf numFmtId="49" fontId="2" fillId="7" borderId="28" xfId="0" applyNumberFormat="1" applyFont="1" applyFill="1" applyBorder="1" applyAlignment="1">
      <alignment horizontal="center" vertical="top"/>
    </xf>
    <xf numFmtId="165" fontId="2" fillId="8" borderId="11" xfId="0" applyNumberFormat="1" applyFont="1" applyFill="1" applyBorder="1" applyAlignment="1">
      <alignment horizontal="center" vertical="top"/>
    </xf>
    <xf numFmtId="0" fontId="1" fillId="7" borderId="99" xfId="0" applyFont="1" applyFill="1" applyBorder="1" applyAlignment="1">
      <alignment horizontal="left" vertical="top" wrapText="1"/>
    </xf>
    <xf numFmtId="49" fontId="1" fillId="7" borderId="20"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0" fontId="1" fillId="0" borderId="100" xfId="0" applyNumberFormat="1" applyFont="1" applyFill="1" applyBorder="1" applyAlignment="1">
      <alignment horizontal="left" vertical="top" wrapText="1"/>
    </xf>
    <xf numFmtId="165" fontId="30" fillId="7" borderId="128" xfId="0" applyNumberFormat="1" applyFont="1" applyFill="1" applyBorder="1" applyAlignment="1">
      <alignment horizontal="left" vertical="top" wrapText="1"/>
    </xf>
    <xf numFmtId="3" fontId="30" fillId="7" borderId="87" xfId="0" applyNumberFormat="1" applyFont="1" applyFill="1" applyBorder="1" applyAlignment="1">
      <alignment horizontal="center" vertical="top"/>
    </xf>
    <xf numFmtId="3" fontId="30" fillId="7" borderId="88" xfId="0" applyNumberFormat="1" applyFont="1" applyFill="1" applyBorder="1" applyAlignment="1">
      <alignment horizontal="center" vertical="top"/>
    </xf>
    <xf numFmtId="49" fontId="1" fillId="0" borderId="0" xfId="0" applyNumberFormat="1" applyFont="1" applyAlignment="1">
      <alignment horizontal="left" vertical="top" wrapText="1"/>
    </xf>
    <xf numFmtId="49" fontId="1" fillId="0" borderId="63" xfId="0" applyNumberFormat="1" applyFont="1" applyBorder="1" applyAlignment="1">
      <alignment horizontal="center" vertical="center" textRotation="90"/>
    </xf>
    <xf numFmtId="49" fontId="1" fillId="7" borderId="20" xfId="0" applyNumberFormat="1" applyFont="1" applyFill="1" applyBorder="1" applyAlignment="1">
      <alignment vertical="top"/>
    </xf>
    <xf numFmtId="49" fontId="1" fillId="7" borderId="11" xfId="0" applyNumberFormat="1" applyFont="1" applyFill="1" applyBorder="1" applyAlignment="1">
      <alignment vertical="top"/>
    </xf>
    <xf numFmtId="49" fontId="1" fillId="7" borderId="28" xfId="0" applyNumberFormat="1" applyFont="1" applyFill="1" applyBorder="1" applyAlignment="1">
      <alignment vertical="top"/>
    </xf>
    <xf numFmtId="49" fontId="1" fillId="7" borderId="75" xfId="0" applyNumberFormat="1" applyFont="1" applyFill="1" applyBorder="1" applyAlignment="1">
      <alignment horizontal="center" vertical="top" wrapText="1"/>
    </xf>
    <xf numFmtId="49" fontId="5" fillId="7" borderId="46" xfId="0" applyNumberFormat="1" applyFont="1" applyFill="1" applyBorder="1" applyAlignment="1">
      <alignment horizontal="center" vertical="top" wrapText="1"/>
    </xf>
    <xf numFmtId="49" fontId="5" fillId="7" borderId="35" xfId="0" applyNumberFormat="1" applyFont="1" applyFill="1" applyBorder="1" applyAlignment="1">
      <alignment horizontal="center" vertical="center" wrapText="1"/>
    </xf>
    <xf numFmtId="49" fontId="5" fillId="7" borderId="48" xfId="0" applyNumberFormat="1" applyFont="1" applyFill="1" applyBorder="1" applyAlignment="1">
      <alignment horizontal="center" vertical="center" wrapText="1"/>
    </xf>
    <xf numFmtId="49" fontId="22" fillId="7" borderId="59" xfId="0" applyNumberFormat="1" applyFont="1" applyFill="1" applyBorder="1" applyAlignment="1">
      <alignment horizontal="center" vertical="top"/>
    </xf>
    <xf numFmtId="49" fontId="22" fillId="7" borderId="0" xfId="0" applyNumberFormat="1" applyFont="1" applyFill="1" applyBorder="1" applyAlignment="1">
      <alignment horizontal="center" vertical="top"/>
    </xf>
    <xf numFmtId="49" fontId="13" fillId="7" borderId="75" xfId="0" applyNumberFormat="1" applyFont="1" applyFill="1" applyBorder="1" applyAlignment="1">
      <alignment horizontal="center" vertical="top"/>
    </xf>
    <xf numFmtId="49" fontId="1" fillId="7" borderId="45" xfId="0" applyNumberFormat="1" applyFont="1" applyFill="1" applyBorder="1" applyAlignment="1">
      <alignment horizontal="center" vertical="top"/>
    </xf>
    <xf numFmtId="49" fontId="1" fillId="7" borderId="75" xfId="1" applyNumberFormat="1" applyFont="1" applyFill="1" applyBorder="1" applyAlignment="1">
      <alignment horizontal="center" vertical="top" wrapText="1"/>
    </xf>
    <xf numFmtId="49" fontId="1" fillId="7" borderId="47" xfId="0" applyNumberFormat="1" applyFont="1" applyFill="1" applyBorder="1" applyAlignment="1">
      <alignment horizontal="center" vertical="top"/>
    </xf>
    <xf numFmtId="49" fontId="1" fillId="7" borderId="78" xfId="0" applyNumberFormat="1" applyFont="1" applyFill="1" applyBorder="1" applyAlignment="1">
      <alignment horizontal="center" vertical="center"/>
    </xf>
    <xf numFmtId="49" fontId="1" fillId="7" borderId="100" xfId="0" applyNumberFormat="1" applyFont="1" applyFill="1" applyBorder="1" applyAlignment="1">
      <alignment horizontal="center" vertical="top" wrapText="1"/>
    </xf>
    <xf numFmtId="49" fontId="1" fillId="7" borderId="80" xfId="0" applyNumberFormat="1" applyFont="1" applyFill="1" applyBorder="1" applyAlignment="1">
      <alignment horizontal="center" vertical="top" wrapText="1"/>
    </xf>
    <xf numFmtId="49" fontId="1" fillId="7" borderId="48" xfId="0" applyNumberFormat="1" applyFont="1" applyFill="1" applyBorder="1" applyAlignment="1">
      <alignment horizontal="center" vertical="top" wrapText="1"/>
    </xf>
    <xf numFmtId="49" fontId="1" fillId="7" borderId="20" xfId="0" applyNumberFormat="1" applyFont="1" applyFill="1" applyBorder="1" applyAlignment="1">
      <alignment horizontal="center" vertical="center"/>
    </xf>
    <xf numFmtId="49" fontId="1" fillId="7" borderId="32" xfId="0" applyNumberFormat="1" applyFont="1" applyFill="1" applyBorder="1" applyAlignment="1">
      <alignment horizontal="center" vertical="top"/>
    </xf>
    <xf numFmtId="49" fontId="1" fillId="2" borderId="32" xfId="0" applyNumberFormat="1" applyFont="1" applyFill="1" applyBorder="1" applyAlignment="1">
      <alignment horizontal="center" vertical="top" wrapText="1"/>
    </xf>
    <xf numFmtId="49" fontId="1" fillId="7" borderId="25" xfId="0" applyNumberFormat="1" applyFont="1" applyFill="1" applyBorder="1" applyAlignment="1">
      <alignment vertical="top"/>
    </xf>
    <xf numFmtId="49" fontId="1" fillId="7" borderId="78" xfId="0" applyNumberFormat="1" applyFont="1" applyFill="1" applyBorder="1" applyAlignment="1">
      <alignment vertical="top"/>
    </xf>
    <xf numFmtId="49" fontId="11" fillId="7" borderId="102" xfId="0" applyNumberFormat="1" applyFont="1" applyFill="1" applyBorder="1" applyAlignment="1">
      <alignment horizontal="center" vertical="top" wrapText="1"/>
    </xf>
    <xf numFmtId="49" fontId="1" fillId="7" borderId="46" xfId="0" applyNumberFormat="1" applyFont="1" applyFill="1" applyBorder="1" applyAlignment="1">
      <alignment vertical="top"/>
    </xf>
    <xf numFmtId="49" fontId="1" fillId="7" borderId="107" xfId="0" applyNumberFormat="1" applyFont="1" applyFill="1" applyBorder="1" applyAlignment="1">
      <alignment horizontal="center" vertical="top"/>
    </xf>
    <xf numFmtId="49" fontId="1" fillId="7" borderId="108" xfId="0" applyNumberFormat="1" applyFont="1" applyFill="1" applyBorder="1" applyAlignment="1">
      <alignment horizontal="center" vertical="top"/>
    </xf>
    <xf numFmtId="49" fontId="1" fillId="7" borderId="41"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49" fontId="5" fillId="7" borderId="11" xfId="0" applyNumberFormat="1" applyFont="1" applyFill="1" applyBorder="1" applyAlignment="1">
      <alignment horizontal="center" vertical="top" wrapText="1"/>
    </xf>
    <xf numFmtId="49" fontId="5" fillId="7" borderId="28" xfId="0" applyNumberFormat="1" applyFont="1" applyFill="1" applyBorder="1" applyAlignment="1">
      <alignment horizontal="center" vertical="top" wrapText="1"/>
    </xf>
    <xf numFmtId="49" fontId="5" fillId="7" borderId="75"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xf>
    <xf numFmtId="49" fontId="1" fillId="7" borderId="51" xfId="0" applyNumberFormat="1" applyFont="1" applyFill="1" applyBorder="1" applyAlignment="1">
      <alignment horizontal="center" vertical="top"/>
    </xf>
    <xf numFmtId="49" fontId="13" fillId="7" borderId="11" xfId="0" applyNumberFormat="1" applyFont="1" applyFill="1" applyBorder="1" applyAlignment="1">
      <alignment horizontal="center" vertical="top"/>
    </xf>
    <xf numFmtId="49" fontId="13" fillId="7" borderId="48" xfId="0" applyNumberFormat="1" applyFont="1" applyFill="1" applyBorder="1" applyAlignment="1">
      <alignment horizontal="center" vertical="top"/>
    </xf>
    <xf numFmtId="49" fontId="1" fillId="0" borderId="48"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49" fontId="30" fillId="7" borderId="87" xfId="0" applyNumberFormat="1" applyFont="1" applyFill="1" applyBorder="1" applyAlignment="1">
      <alignment horizontal="center" vertical="top"/>
    </xf>
    <xf numFmtId="3" fontId="1" fillId="7" borderId="95" xfId="0" applyNumberFormat="1" applyFont="1" applyFill="1" applyBorder="1" applyAlignment="1">
      <alignment horizontal="left" vertical="top" wrapText="1"/>
    </xf>
    <xf numFmtId="165" fontId="1" fillId="0" borderId="81" xfId="0" applyNumberFormat="1" applyFont="1" applyFill="1" applyBorder="1" applyAlignment="1">
      <alignment horizontal="left" vertical="top" wrapText="1"/>
    </xf>
    <xf numFmtId="165" fontId="11" fillId="7" borderId="47" xfId="0" applyNumberFormat="1" applyFont="1" applyFill="1" applyBorder="1" applyAlignment="1">
      <alignment horizontal="center" vertical="top"/>
    </xf>
    <xf numFmtId="165" fontId="11" fillId="7" borderId="80" xfId="0" applyNumberFormat="1" applyFont="1" applyFill="1" applyBorder="1" applyAlignment="1">
      <alignment horizontal="center" vertical="top"/>
    </xf>
    <xf numFmtId="165" fontId="11" fillId="7" borderId="91" xfId="0" applyNumberFormat="1" applyFont="1" applyFill="1" applyBorder="1" applyAlignment="1">
      <alignment horizontal="center" vertical="top"/>
    </xf>
    <xf numFmtId="165" fontId="11" fillId="7" borderId="0" xfId="0" applyNumberFormat="1" applyFont="1" applyFill="1" applyBorder="1" applyAlignment="1">
      <alignment horizontal="center" vertical="top"/>
    </xf>
    <xf numFmtId="165" fontId="1" fillId="7" borderId="106" xfId="0" applyNumberFormat="1" applyFont="1" applyFill="1" applyBorder="1" applyAlignment="1">
      <alignment vertical="top" wrapText="1"/>
    </xf>
    <xf numFmtId="0" fontId="1" fillId="7" borderId="105" xfId="0" applyNumberFormat="1" applyFont="1" applyFill="1" applyBorder="1" applyAlignment="1">
      <alignment horizontal="center" vertical="top" wrapText="1"/>
    </xf>
    <xf numFmtId="0" fontId="1" fillId="7" borderId="103" xfId="0" applyNumberFormat="1" applyFont="1" applyFill="1" applyBorder="1" applyAlignment="1">
      <alignment horizontal="center" vertical="top" wrapText="1"/>
    </xf>
    <xf numFmtId="0" fontId="0" fillId="7" borderId="27" xfId="0" applyFont="1" applyFill="1" applyBorder="1" applyAlignment="1">
      <alignment horizontal="center" vertical="top" wrapText="1"/>
    </xf>
    <xf numFmtId="165" fontId="1" fillId="7" borderId="99" xfId="0" applyNumberFormat="1" applyFont="1" applyFill="1" applyBorder="1" applyAlignment="1">
      <alignment horizontal="center" vertical="top"/>
    </xf>
    <xf numFmtId="165" fontId="30" fillId="7" borderId="7" xfId="0" applyNumberFormat="1" applyFont="1" applyFill="1" applyBorder="1" applyAlignment="1">
      <alignment horizontal="left" vertical="top" wrapText="1"/>
    </xf>
    <xf numFmtId="3" fontId="30" fillId="7" borderId="11" xfId="0" applyNumberFormat="1" applyFont="1" applyFill="1" applyBorder="1" applyAlignment="1">
      <alignment horizontal="center" vertical="top"/>
    </xf>
    <xf numFmtId="165" fontId="1" fillId="7" borderId="18" xfId="0" applyNumberFormat="1" applyFont="1" applyFill="1" applyBorder="1" applyAlignment="1">
      <alignment horizontal="left" vertical="top"/>
    </xf>
    <xf numFmtId="3" fontId="1" fillId="7" borderId="18" xfId="0" applyNumberFormat="1" applyFont="1" applyFill="1" applyBorder="1" applyAlignment="1">
      <alignment horizontal="left" vertical="top"/>
    </xf>
    <xf numFmtId="49" fontId="1" fillId="7" borderId="94" xfId="0" applyNumberFormat="1" applyFont="1" applyFill="1" applyBorder="1" applyAlignment="1">
      <alignment horizontal="center" vertical="top" wrapText="1"/>
    </xf>
    <xf numFmtId="0" fontId="1" fillId="7" borderId="94" xfId="0" applyNumberFormat="1" applyFont="1" applyFill="1" applyBorder="1" applyAlignment="1">
      <alignment horizontal="center" vertical="top" wrapText="1"/>
    </xf>
    <xf numFmtId="0" fontId="1" fillId="7" borderId="81" xfId="0" applyNumberFormat="1" applyFont="1" applyFill="1" applyBorder="1" applyAlignment="1">
      <alignment horizontal="center" vertical="top" wrapText="1"/>
    </xf>
    <xf numFmtId="165" fontId="2" fillId="7" borderId="87" xfId="0" applyNumberFormat="1" applyFont="1" applyFill="1" applyBorder="1" applyAlignment="1">
      <alignment horizontal="center" vertical="top" wrapText="1"/>
    </xf>
    <xf numFmtId="165" fontId="1" fillId="7" borderId="108" xfId="0" applyNumberFormat="1" applyFont="1" applyFill="1" applyBorder="1" applyAlignment="1">
      <alignment horizontal="center" vertical="top"/>
    </xf>
    <xf numFmtId="165" fontId="2" fillId="7" borderId="78" xfId="0" applyNumberFormat="1" applyFont="1" applyFill="1" applyBorder="1" applyAlignment="1">
      <alignment horizontal="center" vertical="top"/>
    </xf>
    <xf numFmtId="49" fontId="1" fillId="7" borderId="78" xfId="0" applyNumberFormat="1" applyFont="1" applyFill="1" applyBorder="1" applyAlignment="1">
      <alignment horizontal="left" vertical="top" wrapText="1"/>
    </xf>
    <xf numFmtId="165" fontId="11" fillId="7" borderId="87" xfId="0" applyNumberFormat="1" applyFont="1" applyFill="1" applyBorder="1" applyAlignment="1">
      <alignment horizontal="center" vertical="top"/>
    </xf>
    <xf numFmtId="165" fontId="11" fillId="7" borderId="108" xfId="0" applyNumberFormat="1" applyFont="1" applyFill="1" applyBorder="1" applyAlignment="1">
      <alignment horizontal="center" vertical="top"/>
    </xf>
    <xf numFmtId="3" fontId="30" fillId="7" borderId="18" xfId="0" applyNumberFormat="1" applyFont="1" applyFill="1" applyBorder="1" applyAlignment="1">
      <alignment horizontal="center" vertical="top"/>
    </xf>
    <xf numFmtId="0" fontId="1" fillId="7" borderId="95" xfId="0" applyNumberFormat="1" applyFont="1" applyFill="1" applyBorder="1" applyAlignment="1">
      <alignment horizontal="left" vertical="top" wrapText="1"/>
    </xf>
    <xf numFmtId="165" fontId="11" fillId="7" borderId="124" xfId="0" applyNumberFormat="1" applyFont="1" applyFill="1" applyBorder="1" applyAlignment="1">
      <alignment horizontal="center" vertical="top"/>
    </xf>
    <xf numFmtId="0" fontId="1" fillId="7" borderId="48" xfId="0" applyFont="1" applyFill="1" applyBorder="1" applyAlignment="1">
      <alignment horizontal="right" vertical="center"/>
    </xf>
    <xf numFmtId="49" fontId="11" fillId="7" borderId="78" xfId="0" applyNumberFormat="1" applyFont="1" applyFill="1" applyBorder="1" applyAlignment="1">
      <alignment horizontal="center" vertical="top"/>
    </xf>
    <xf numFmtId="49" fontId="11" fillId="7" borderId="35" xfId="0" applyNumberFormat="1" applyFont="1" applyFill="1" applyBorder="1" applyAlignment="1">
      <alignment horizontal="center" vertical="top"/>
    </xf>
    <xf numFmtId="165" fontId="11" fillId="7" borderId="38" xfId="0" applyNumberFormat="1" applyFont="1" applyFill="1" applyBorder="1" applyAlignment="1">
      <alignment horizontal="center" vertical="top"/>
    </xf>
    <xf numFmtId="165" fontId="2" fillId="9" borderId="56" xfId="0" applyNumberFormat="1" applyFont="1" applyFill="1" applyBorder="1" applyAlignment="1">
      <alignment horizontal="center" vertical="top"/>
    </xf>
    <xf numFmtId="165" fontId="2" fillId="5" borderId="74" xfId="0" applyNumberFormat="1" applyFont="1" applyFill="1" applyBorder="1" applyAlignment="1">
      <alignment horizontal="center" vertical="top"/>
    </xf>
    <xf numFmtId="165" fontId="2" fillId="9" borderId="32" xfId="0" applyNumberFormat="1" applyFont="1" applyFill="1" applyBorder="1" applyAlignment="1">
      <alignment horizontal="center" vertical="top"/>
    </xf>
    <xf numFmtId="165" fontId="2" fillId="5" borderId="70" xfId="0" applyNumberFormat="1" applyFont="1" applyFill="1" applyBorder="1" applyAlignment="1">
      <alignment horizontal="center" vertical="top"/>
    </xf>
    <xf numFmtId="165" fontId="13" fillId="7" borderId="9" xfId="0" applyNumberFormat="1" applyFont="1" applyFill="1" applyBorder="1" applyAlignment="1">
      <alignment vertical="top" wrapText="1"/>
    </xf>
    <xf numFmtId="165" fontId="2" fillId="2" borderId="32" xfId="0" applyNumberFormat="1" applyFont="1" applyFill="1" applyBorder="1" applyAlignment="1">
      <alignment horizontal="center" vertical="top"/>
    </xf>
    <xf numFmtId="165" fontId="2" fillId="2" borderId="33"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0" fontId="6" fillId="7" borderId="7" xfId="0" applyFont="1" applyFill="1" applyBorder="1" applyAlignment="1">
      <alignment horizontal="left" vertical="top" wrapText="1"/>
    </xf>
    <xf numFmtId="165" fontId="1" fillId="7" borderId="7" xfId="0" applyNumberFormat="1" applyFont="1" applyFill="1" applyBorder="1" applyAlignment="1">
      <alignment horizontal="left" vertical="top" wrapText="1"/>
    </xf>
    <xf numFmtId="165" fontId="2" fillId="9" borderId="7" xfId="0" applyNumberFormat="1" applyFont="1" applyFill="1" applyBorder="1" applyAlignment="1">
      <alignment horizontal="center" vertical="top"/>
    </xf>
    <xf numFmtId="165" fontId="2" fillId="2"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1" fillId="7" borderId="20"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2" fillId="2" borderId="48" xfId="0" applyNumberFormat="1" applyFont="1" applyFill="1" applyBorder="1" applyAlignment="1">
      <alignment horizontal="center" vertical="top"/>
    </xf>
    <xf numFmtId="165" fontId="2" fillId="9" borderId="34" xfId="0" applyNumberFormat="1" applyFont="1" applyFill="1" applyBorder="1" applyAlignment="1">
      <alignment horizontal="center" vertical="top"/>
    </xf>
    <xf numFmtId="165" fontId="1" fillId="7" borderId="20" xfId="0" applyNumberFormat="1" applyFont="1" applyFill="1" applyBorder="1" applyAlignment="1">
      <alignment horizontal="center" vertical="center" textRotation="90" wrapText="1"/>
    </xf>
    <xf numFmtId="165" fontId="1" fillId="7" borderId="11" xfId="0" applyNumberFormat="1" applyFont="1" applyFill="1" applyBorder="1" applyAlignment="1">
      <alignment horizontal="center" vertical="center" textRotation="90" wrapText="1"/>
    </xf>
    <xf numFmtId="165" fontId="1" fillId="7" borderId="28" xfId="0" applyNumberFormat="1" applyFont="1" applyFill="1" applyBorder="1" applyAlignment="1">
      <alignment horizontal="center" vertical="center" textRotation="90" wrapText="1"/>
    </xf>
    <xf numFmtId="0" fontId="6" fillId="7" borderId="11" xfId="0" applyFont="1" applyFill="1" applyBorder="1" applyAlignment="1">
      <alignment vertical="top" wrapText="1"/>
    </xf>
    <xf numFmtId="165" fontId="2" fillId="7" borderId="35" xfId="0" applyNumberFormat="1" applyFont="1" applyFill="1" applyBorder="1" applyAlignment="1">
      <alignment horizontal="center" vertical="top" wrapText="1"/>
    </xf>
    <xf numFmtId="0" fontId="0" fillId="0" borderId="0" xfId="0" applyFont="1" applyBorder="1" applyAlignment="1">
      <alignment vertical="top" wrapText="1"/>
    </xf>
    <xf numFmtId="165" fontId="1" fillId="7" borderId="35" xfId="0" applyNumberFormat="1" applyFont="1" applyFill="1" applyBorder="1" applyAlignment="1">
      <alignment horizontal="left" vertical="top" wrapText="1"/>
    </xf>
    <xf numFmtId="0" fontId="1" fillId="7" borderId="28" xfId="0" applyFont="1" applyFill="1" applyBorder="1" applyAlignment="1">
      <alignment horizontal="left" vertical="top" wrapText="1"/>
    </xf>
    <xf numFmtId="165" fontId="2" fillId="7" borderId="48" xfId="0" applyNumberFormat="1" applyFont="1" applyFill="1" applyBorder="1" applyAlignment="1">
      <alignment horizontal="center" vertical="top" wrapText="1"/>
    </xf>
    <xf numFmtId="165" fontId="1" fillId="7" borderId="47" xfId="0" applyNumberFormat="1" applyFont="1" applyFill="1" applyBorder="1" applyAlignment="1">
      <alignment horizontal="left" vertical="top" wrapText="1"/>
    </xf>
    <xf numFmtId="165" fontId="2" fillId="7" borderId="27" xfId="0" applyNumberFormat="1" applyFont="1" applyFill="1" applyBorder="1" applyAlignment="1">
      <alignment horizontal="center" vertical="top" wrapText="1"/>
    </xf>
    <xf numFmtId="165" fontId="1" fillId="7" borderId="48" xfId="0" applyNumberFormat="1" applyFont="1" applyFill="1" applyBorder="1" applyAlignment="1">
      <alignment vertical="top" wrapText="1"/>
    </xf>
    <xf numFmtId="165" fontId="1" fillId="7" borderId="100" xfId="0" applyNumberFormat="1" applyFont="1" applyFill="1" applyBorder="1" applyAlignment="1">
      <alignment horizontal="left" vertical="top" wrapText="1"/>
    </xf>
    <xf numFmtId="165" fontId="1" fillId="7" borderId="80" xfId="0" applyNumberFormat="1" applyFont="1" applyFill="1" applyBorder="1" applyAlignment="1">
      <alignment horizontal="left" vertical="top" wrapText="1"/>
    </xf>
    <xf numFmtId="165" fontId="2" fillId="7" borderId="20"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wrapText="1"/>
    </xf>
    <xf numFmtId="165" fontId="1" fillId="7" borderId="19" xfId="0" applyNumberFormat="1" applyFont="1" applyFill="1" applyBorder="1" applyAlignment="1">
      <alignment horizontal="left" vertical="top" wrapText="1"/>
    </xf>
    <xf numFmtId="49" fontId="1" fillId="7" borderId="48"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1" fillId="7" borderId="45" xfId="0" applyNumberFormat="1" applyFont="1" applyFill="1" applyBorder="1" applyAlignment="1">
      <alignment horizontal="left" vertical="top" wrapText="1"/>
    </xf>
    <xf numFmtId="165" fontId="2" fillId="7" borderId="28" xfId="0" applyNumberFormat="1" applyFont="1" applyFill="1" applyBorder="1" applyAlignment="1">
      <alignment horizontal="center" vertical="top" wrapText="1"/>
    </xf>
    <xf numFmtId="165" fontId="1" fillId="2" borderId="70" xfId="0" applyNumberFormat="1" applyFont="1" applyFill="1" applyBorder="1" applyAlignment="1">
      <alignment horizontal="center" vertical="top" wrapText="1"/>
    </xf>
    <xf numFmtId="165" fontId="1" fillId="2" borderId="71" xfId="0" applyNumberFormat="1" applyFont="1" applyFill="1" applyBorder="1" applyAlignment="1">
      <alignment horizontal="center" vertical="top" wrapText="1"/>
    </xf>
    <xf numFmtId="165" fontId="6" fillId="7" borderId="11" xfId="0" applyNumberFormat="1" applyFont="1" applyFill="1" applyBorder="1" applyAlignment="1">
      <alignment horizontal="center" vertical="center" textRotation="90" wrapText="1"/>
    </xf>
    <xf numFmtId="165" fontId="1" fillId="0" borderId="0" xfId="0" applyNumberFormat="1" applyFont="1" applyBorder="1" applyAlignment="1">
      <alignment horizontal="left" vertical="top" wrapText="1"/>
    </xf>
    <xf numFmtId="49" fontId="2" fillId="7" borderId="11" xfId="0" applyNumberFormat="1" applyFont="1" applyFill="1" applyBorder="1" applyAlignment="1">
      <alignment horizontal="center" vertical="top"/>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0" fontId="1" fillId="7" borderId="36" xfId="0" applyFont="1" applyFill="1" applyBorder="1" applyAlignment="1">
      <alignment vertical="top" wrapText="1"/>
    </xf>
    <xf numFmtId="0" fontId="1" fillId="7" borderId="11" xfId="0" applyFont="1" applyFill="1" applyBorder="1" applyAlignment="1">
      <alignment vertical="top" wrapText="1"/>
    </xf>
    <xf numFmtId="49" fontId="2" fillId="9"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5" fontId="1" fillId="7" borderId="75" xfId="0" applyNumberFormat="1" applyFont="1" applyFill="1" applyBorder="1" applyAlignment="1">
      <alignment horizontal="left" vertical="top" wrapText="1"/>
    </xf>
    <xf numFmtId="49" fontId="1" fillId="0" borderId="48"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165" fontId="1" fillId="7" borderId="118" xfId="0" applyNumberFormat="1" applyFont="1" applyFill="1" applyBorder="1" applyAlignment="1">
      <alignment vertical="top" wrapText="1"/>
    </xf>
    <xf numFmtId="0" fontId="1" fillId="7" borderId="116" xfId="0" applyFont="1" applyFill="1" applyBorder="1" applyAlignment="1">
      <alignment vertical="top" wrapText="1"/>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0" xfId="0" applyNumberFormat="1" applyFont="1" applyFill="1" applyBorder="1" applyAlignment="1">
      <alignment vertical="top" wrapText="1"/>
    </xf>
    <xf numFmtId="165" fontId="1" fillId="7" borderId="59" xfId="0" applyNumberFormat="1" applyFont="1" applyFill="1" applyBorder="1" applyAlignment="1">
      <alignment vertical="top" wrapText="1"/>
    </xf>
    <xf numFmtId="49" fontId="1" fillId="7" borderId="20"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0" fontId="1" fillId="7" borderId="83" xfId="0" applyNumberFormat="1" applyFont="1" applyFill="1" applyBorder="1" applyAlignment="1">
      <alignment horizontal="left" vertical="top" wrapText="1"/>
    </xf>
    <xf numFmtId="165" fontId="1" fillId="7" borderId="116" xfId="0" applyNumberFormat="1" applyFont="1" applyFill="1" applyBorder="1" applyAlignment="1">
      <alignment horizontal="left" vertical="top" wrapText="1"/>
    </xf>
    <xf numFmtId="0" fontId="1" fillId="7" borderId="7" xfId="0" applyFont="1" applyFill="1" applyBorder="1" applyAlignment="1">
      <alignment vertical="top" wrapText="1"/>
    </xf>
    <xf numFmtId="165" fontId="2" fillId="3" borderId="11" xfId="0" applyNumberFormat="1" applyFont="1" applyFill="1" applyBorder="1" applyAlignment="1">
      <alignment horizontal="center" vertical="top" wrapText="1"/>
    </xf>
    <xf numFmtId="165" fontId="9" fillId="7" borderId="11" xfId="0" applyNumberFormat="1" applyFont="1" applyFill="1" applyBorder="1" applyAlignment="1">
      <alignment horizontal="center" vertical="center" wrapText="1"/>
    </xf>
    <xf numFmtId="0" fontId="1" fillId="7" borderId="45" xfId="0" applyFont="1" applyFill="1" applyBorder="1" applyAlignment="1">
      <alignment vertical="top" wrapText="1"/>
    </xf>
    <xf numFmtId="49" fontId="1" fillId="7" borderId="46"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165" fontId="1" fillId="7" borderId="47" xfId="0" applyNumberFormat="1" applyFont="1" applyFill="1" applyBorder="1" applyAlignment="1">
      <alignment vertical="top" wrapText="1"/>
    </xf>
    <xf numFmtId="49" fontId="1" fillId="0" borderId="46" xfId="0" applyNumberFormat="1" applyFont="1" applyFill="1" applyBorder="1" applyAlignment="1">
      <alignment horizontal="center" vertical="top"/>
    </xf>
    <xf numFmtId="0" fontId="11" fillId="7" borderId="6" xfId="0" applyFont="1" applyFill="1" applyBorder="1" applyAlignment="1">
      <alignment horizontal="center" vertical="center"/>
    </xf>
    <xf numFmtId="165" fontId="11" fillId="7" borderId="6" xfId="0" applyNumberFormat="1" applyFont="1" applyFill="1" applyBorder="1" applyAlignment="1">
      <alignment horizontal="center" vertical="center"/>
    </xf>
    <xf numFmtId="0" fontId="11" fillId="7" borderId="11" xfId="0" applyFont="1" applyFill="1" applyBorder="1" applyAlignment="1">
      <alignment horizontal="center" vertical="center"/>
    </xf>
    <xf numFmtId="3" fontId="11" fillId="3" borderId="59" xfId="0" applyNumberFormat="1" applyFont="1" applyFill="1" applyBorder="1" applyAlignment="1">
      <alignment horizontal="center" vertical="top" wrapText="1"/>
    </xf>
    <xf numFmtId="165" fontId="11" fillId="7" borderId="43" xfId="0" applyNumberFormat="1" applyFont="1" applyFill="1" applyBorder="1" applyAlignment="1">
      <alignment horizontal="center" vertical="top"/>
    </xf>
    <xf numFmtId="165" fontId="11" fillId="7" borderId="28" xfId="0" applyNumberFormat="1" applyFont="1" applyFill="1" applyBorder="1" applyAlignment="1">
      <alignment horizontal="center" vertical="top"/>
    </xf>
    <xf numFmtId="165" fontId="11" fillId="7" borderId="53" xfId="0" applyNumberFormat="1" applyFont="1" applyFill="1" applyBorder="1" applyAlignment="1">
      <alignment horizontal="center" vertical="top"/>
    </xf>
    <xf numFmtId="49" fontId="30" fillId="7" borderId="75" xfId="0" applyNumberFormat="1" applyFont="1" applyFill="1" applyBorder="1" applyAlignment="1">
      <alignment horizontal="center" vertical="top"/>
    </xf>
    <xf numFmtId="49" fontId="30" fillId="7" borderId="0" xfId="0" applyNumberFormat="1" applyFont="1" applyFill="1" applyBorder="1" applyAlignment="1">
      <alignment horizontal="center" vertical="top"/>
    </xf>
    <xf numFmtId="165" fontId="1" fillId="7" borderId="106" xfId="0" applyNumberFormat="1" applyFont="1" applyFill="1" applyBorder="1" applyAlignment="1">
      <alignment horizontal="center" vertical="top"/>
    </xf>
    <xf numFmtId="165" fontId="11" fillId="7" borderId="84" xfId="0" applyNumberFormat="1" applyFont="1" applyFill="1" applyBorder="1" applyAlignment="1">
      <alignment horizontal="center" vertical="top"/>
    </xf>
    <xf numFmtId="165" fontId="11" fillId="7" borderId="51" xfId="0" applyNumberFormat="1" applyFont="1" applyFill="1" applyBorder="1" applyAlignment="1">
      <alignment horizontal="center" vertical="top"/>
    </xf>
    <xf numFmtId="165" fontId="11" fillId="7" borderId="50"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11" fillId="0" borderId="23" xfId="0" applyNumberFormat="1" applyFont="1" applyBorder="1" applyAlignment="1">
      <alignment horizontal="center" vertical="top"/>
    </xf>
    <xf numFmtId="165" fontId="11" fillId="0" borderId="64" xfId="0" applyNumberFormat="1" applyFont="1" applyBorder="1" applyAlignment="1">
      <alignment horizontal="center" vertical="top"/>
    </xf>
    <xf numFmtId="165" fontId="2" fillId="2" borderId="52" xfId="0" applyNumberFormat="1" applyFont="1" applyFill="1" applyBorder="1" applyAlignment="1">
      <alignment horizontal="center" vertical="top"/>
    </xf>
    <xf numFmtId="165" fontId="2" fillId="5" borderId="71" xfId="0" applyNumberFormat="1" applyFont="1" applyFill="1" applyBorder="1" applyAlignment="1">
      <alignment horizontal="center" vertical="top"/>
    </xf>
    <xf numFmtId="0" fontId="1" fillId="7" borderId="29" xfId="0" applyFont="1" applyFill="1" applyBorder="1" applyAlignment="1">
      <alignment horizontal="left" vertical="top" wrapText="1"/>
    </xf>
    <xf numFmtId="49" fontId="1" fillId="7" borderId="102"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wrapText="1"/>
    </xf>
    <xf numFmtId="165" fontId="2" fillId="9" borderId="7"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165" fontId="11" fillId="7" borderId="19" xfId="0" applyNumberFormat="1" applyFont="1" applyFill="1" applyBorder="1" applyAlignment="1">
      <alignment horizontal="left" vertical="top" wrapText="1"/>
    </xf>
    <xf numFmtId="165" fontId="20" fillId="7" borderId="100" xfId="0" applyNumberFormat="1" applyFont="1" applyFill="1" applyBorder="1" applyAlignment="1">
      <alignment horizontal="center" vertical="top" wrapText="1"/>
    </xf>
    <xf numFmtId="165" fontId="31" fillId="7" borderId="101" xfId="0" applyNumberFormat="1" applyFont="1" applyFill="1" applyBorder="1" applyAlignment="1">
      <alignment horizontal="center" vertical="top"/>
    </xf>
    <xf numFmtId="165" fontId="31" fillId="7" borderId="104" xfId="0" applyNumberFormat="1" applyFont="1" applyFill="1" applyBorder="1" applyAlignment="1">
      <alignment horizontal="center" vertical="top"/>
    </xf>
    <xf numFmtId="165" fontId="31" fillId="7" borderId="100" xfId="0" applyNumberFormat="1" applyFont="1" applyFill="1" applyBorder="1" applyAlignment="1">
      <alignment horizontal="center" vertical="top"/>
    </xf>
    <xf numFmtId="165" fontId="31" fillId="7" borderId="113" xfId="0" applyNumberFormat="1" applyFont="1" applyFill="1" applyBorder="1" applyAlignment="1">
      <alignment horizontal="center" vertical="top"/>
    </xf>
    <xf numFmtId="165" fontId="31" fillId="7" borderId="114" xfId="0" applyNumberFormat="1" applyFont="1" applyFill="1" applyBorder="1" applyAlignment="1">
      <alignment horizontal="center" vertical="top"/>
    </xf>
    <xf numFmtId="165" fontId="31" fillId="7" borderId="99" xfId="0" applyNumberFormat="1" applyFont="1" applyFill="1" applyBorder="1" applyAlignment="1">
      <alignment horizontal="center" vertical="top"/>
    </xf>
    <xf numFmtId="165" fontId="20" fillId="7" borderId="28" xfId="0" applyNumberFormat="1" applyFont="1" applyFill="1" applyBorder="1" applyAlignment="1">
      <alignment horizontal="center" vertical="top" wrapText="1"/>
    </xf>
    <xf numFmtId="165" fontId="31" fillId="7" borderId="23" xfId="0" applyNumberFormat="1" applyFont="1" applyFill="1" applyBorder="1" applyAlignment="1">
      <alignment horizontal="center" vertical="top"/>
    </xf>
    <xf numFmtId="165" fontId="31" fillId="7" borderId="75" xfId="0" applyNumberFormat="1" applyFont="1" applyFill="1" applyBorder="1" applyAlignment="1">
      <alignment horizontal="center" vertical="top"/>
    </xf>
    <xf numFmtId="165" fontId="31" fillId="7" borderId="28" xfId="0" applyNumberFormat="1" applyFont="1" applyFill="1" applyBorder="1" applyAlignment="1">
      <alignment horizontal="center" vertical="top"/>
    </xf>
    <xf numFmtId="165" fontId="31" fillId="7" borderId="64" xfId="0" applyNumberFormat="1" applyFont="1" applyFill="1" applyBorder="1" applyAlignment="1">
      <alignment horizontal="center" vertical="top"/>
    </xf>
    <xf numFmtId="165" fontId="31" fillId="7" borderId="53" xfId="0" applyNumberFormat="1" applyFont="1" applyFill="1" applyBorder="1" applyAlignment="1">
      <alignment horizontal="center" vertical="top"/>
    </xf>
    <xf numFmtId="165" fontId="1" fillId="7" borderId="36" xfId="0" applyNumberFormat="1" applyFont="1" applyFill="1" applyBorder="1" applyAlignment="1">
      <alignment horizontal="left" vertical="top" wrapText="1"/>
    </xf>
    <xf numFmtId="165" fontId="1" fillId="7" borderId="7" xfId="0" applyNumberFormat="1" applyFont="1" applyFill="1" applyBorder="1" applyAlignment="1">
      <alignment horizontal="left" vertical="top" wrapText="1"/>
    </xf>
    <xf numFmtId="165" fontId="1" fillId="7" borderId="29" xfId="0" applyNumberFormat="1" applyFont="1" applyFill="1" applyBorder="1" applyAlignment="1">
      <alignment horizontal="left" vertical="top" wrapText="1"/>
    </xf>
    <xf numFmtId="49" fontId="1" fillId="7" borderId="35" xfId="0" applyNumberFormat="1" applyFont="1" applyFill="1" applyBorder="1" applyAlignment="1">
      <alignment horizontal="center" vertical="top"/>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0" fontId="11" fillId="7" borderId="79" xfId="0" applyFont="1" applyFill="1" applyBorder="1" applyAlignment="1">
      <alignment horizontal="left" vertical="top" wrapText="1"/>
    </xf>
    <xf numFmtId="0" fontId="1" fillId="7" borderId="99" xfId="0" applyFont="1" applyFill="1" applyBorder="1" applyAlignment="1">
      <alignment horizontal="left" vertical="top" wrapText="1"/>
    </xf>
    <xf numFmtId="0" fontId="1" fillId="7" borderId="79" xfId="0" applyFont="1" applyFill="1" applyBorder="1" applyAlignment="1">
      <alignment horizontal="left" vertical="top" wrapText="1"/>
    </xf>
    <xf numFmtId="0" fontId="1" fillId="7" borderId="7" xfId="0" applyFont="1" applyFill="1" applyBorder="1" applyAlignment="1">
      <alignment horizontal="left" vertical="top" wrapText="1"/>
    </xf>
    <xf numFmtId="165" fontId="2" fillId="9" borderId="7" xfId="0" applyNumberFormat="1" applyFont="1" applyFill="1" applyBorder="1" applyAlignment="1">
      <alignment horizontal="center" vertical="top"/>
    </xf>
    <xf numFmtId="49" fontId="2" fillId="7" borderId="1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165" fontId="2" fillId="7" borderId="48" xfId="0" applyNumberFormat="1" applyFont="1" applyFill="1" applyBorder="1" applyAlignment="1">
      <alignment horizontal="center" vertical="top" wrapText="1"/>
    </xf>
    <xf numFmtId="165" fontId="1" fillId="7" borderId="18" xfId="0" applyNumberFormat="1" applyFont="1" applyFill="1" applyBorder="1" applyAlignment="1">
      <alignment horizontal="center" vertical="top" wrapText="1"/>
    </xf>
    <xf numFmtId="165" fontId="2" fillId="8" borderId="11" xfId="0" applyNumberFormat="1" applyFont="1" applyFill="1" applyBorder="1" applyAlignment="1">
      <alignment horizontal="center" vertical="top"/>
    </xf>
    <xf numFmtId="0" fontId="1" fillId="7" borderId="7" xfId="0" applyFont="1" applyFill="1" applyBorder="1" applyAlignment="1">
      <alignment horizontal="left" vertical="top" wrapText="1"/>
    </xf>
    <xf numFmtId="165" fontId="11" fillId="12" borderId="6" xfId="0" applyNumberFormat="1" applyFont="1" applyFill="1" applyBorder="1" applyAlignment="1">
      <alignment horizontal="center" vertical="top"/>
    </xf>
    <xf numFmtId="165" fontId="2" fillId="7" borderId="48" xfId="0" applyNumberFormat="1" applyFont="1" applyFill="1" applyBorder="1" applyAlignment="1">
      <alignment horizontal="center" vertical="top" wrapText="1"/>
    </xf>
    <xf numFmtId="49" fontId="1" fillId="7" borderId="48"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18"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165" fontId="1" fillId="7" borderId="45" xfId="0" applyNumberFormat="1" applyFont="1" applyFill="1" applyBorder="1" applyAlignment="1">
      <alignment horizontal="center" vertical="center"/>
    </xf>
    <xf numFmtId="49" fontId="30" fillId="13" borderId="48" xfId="0" applyNumberFormat="1" applyFont="1" applyFill="1" applyBorder="1" applyAlignment="1">
      <alignment horizontal="center" vertical="top"/>
    </xf>
    <xf numFmtId="49" fontId="1" fillId="13" borderId="48" xfId="0" applyNumberFormat="1" applyFont="1" applyFill="1" applyBorder="1" applyAlignment="1">
      <alignment horizontal="center" vertical="top"/>
    </xf>
    <xf numFmtId="49" fontId="1" fillId="13" borderId="35" xfId="0" applyNumberFormat="1" applyFont="1" applyFill="1" applyBorder="1" applyAlignment="1">
      <alignment horizontal="center" vertical="top"/>
    </xf>
    <xf numFmtId="3" fontId="1" fillId="13" borderId="35" xfId="0" applyNumberFormat="1" applyFont="1" applyFill="1" applyBorder="1" applyAlignment="1">
      <alignment horizontal="center" vertical="top"/>
    </xf>
    <xf numFmtId="0" fontId="1" fillId="13" borderId="7" xfId="0" applyFont="1" applyFill="1" applyBorder="1" applyAlignment="1">
      <alignment vertical="top" wrapText="1"/>
    </xf>
    <xf numFmtId="165" fontId="1" fillId="7" borderId="18" xfId="0" applyNumberFormat="1" applyFont="1" applyFill="1" applyBorder="1" applyAlignment="1">
      <alignment vertical="top" wrapText="1"/>
    </xf>
    <xf numFmtId="49" fontId="1" fillId="3" borderId="0" xfId="0" applyNumberFormat="1" applyFont="1" applyFill="1" applyBorder="1" applyAlignment="1">
      <alignment horizontal="center" vertical="top" wrapText="1"/>
    </xf>
    <xf numFmtId="0" fontId="1" fillId="7" borderId="47"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87" xfId="0" applyNumberFormat="1" applyFont="1" applyFill="1" applyBorder="1" applyAlignment="1">
      <alignment vertical="top" wrapText="1"/>
    </xf>
    <xf numFmtId="3" fontId="1" fillId="7" borderId="18"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49" fontId="1" fillId="7" borderId="48"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 fillId="7" borderId="116" xfId="0" applyNumberFormat="1" applyFont="1" applyFill="1" applyBorder="1" applyAlignment="1">
      <alignment horizontal="left" vertical="top" wrapText="1"/>
    </xf>
    <xf numFmtId="0" fontId="1" fillId="7" borderId="7" xfId="0" applyFont="1" applyFill="1" applyBorder="1" applyAlignment="1">
      <alignment vertical="top" wrapText="1"/>
    </xf>
    <xf numFmtId="3" fontId="5" fillId="7" borderId="95" xfId="0" applyNumberFormat="1" applyFont="1" applyFill="1" applyBorder="1" applyAlignment="1">
      <alignment horizontal="center" vertical="top"/>
    </xf>
    <xf numFmtId="165" fontId="1" fillId="7" borderId="81" xfId="0" applyNumberFormat="1" applyFont="1" applyFill="1" applyBorder="1" applyAlignment="1">
      <alignment vertical="top" wrapText="1"/>
    </xf>
    <xf numFmtId="165" fontId="1" fillId="7" borderId="84" xfId="0" applyNumberFormat="1" applyFont="1" applyFill="1" applyBorder="1" applyAlignment="1">
      <alignment vertical="top" wrapText="1"/>
    </xf>
    <xf numFmtId="49" fontId="1" fillId="7" borderId="0" xfId="0" applyNumberFormat="1" applyFont="1" applyFill="1" applyBorder="1" applyAlignment="1">
      <alignment horizontal="center" vertical="top" wrapText="1"/>
    </xf>
    <xf numFmtId="165" fontId="1" fillId="7" borderId="136" xfId="0" applyNumberFormat="1" applyFont="1" applyFill="1" applyBorder="1" applyAlignment="1">
      <alignment horizontal="left" vertical="top" wrapText="1"/>
    </xf>
    <xf numFmtId="165" fontId="2" fillId="8" borderId="3" xfId="0" applyNumberFormat="1" applyFont="1" applyFill="1" applyBorder="1" applyAlignment="1">
      <alignment horizontal="center" vertical="top"/>
    </xf>
    <xf numFmtId="0" fontId="1" fillId="7" borderId="86" xfId="0" applyFont="1" applyFill="1" applyBorder="1" applyAlignment="1">
      <alignment vertical="top" wrapText="1"/>
    </xf>
    <xf numFmtId="49" fontId="13" fillId="7" borderId="80" xfId="0" applyNumberFormat="1" applyFont="1" applyFill="1" applyBorder="1" applyAlignment="1">
      <alignment horizontal="center" vertical="top"/>
    </xf>
    <xf numFmtId="165" fontId="1" fillId="7" borderId="86" xfId="0" applyNumberFormat="1" applyFont="1" applyFill="1" applyBorder="1" applyAlignment="1">
      <alignment horizontal="left" vertical="top" wrapText="1"/>
    </xf>
    <xf numFmtId="0" fontId="1" fillId="7" borderId="100" xfId="0" applyNumberFormat="1" applyFont="1" applyFill="1" applyBorder="1" applyAlignment="1">
      <alignment horizontal="center" vertical="top" wrapText="1"/>
    </xf>
    <xf numFmtId="165" fontId="1" fillId="7" borderId="3" xfId="0" applyNumberFormat="1" applyFont="1" applyFill="1" applyBorder="1" applyAlignment="1">
      <alignment horizontal="center" vertical="top"/>
    </xf>
    <xf numFmtId="49" fontId="22" fillId="7" borderId="78" xfId="0" applyNumberFormat="1" applyFont="1" applyFill="1" applyBorder="1" applyAlignment="1">
      <alignment horizontal="center" vertical="top"/>
    </xf>
    <xf numFmtId="3" fontId="1" fillId="7" borderId="106" xfId="0" applyNumberFormat="1" applyFont="1" applyFill="1" applyBorder="1" applyAlignment="1">
      <alignment vertical="top" wrapText="1"/>
    </xf>
    <xf numFmtId="3" fontId="1" fillId="7" borderId="27" xfId="0" applyNumberFormat="1" applyFont="1" applyFill="1" applyBorder="1" applyAlignment="1">
      <alignment vertical="top" wrapText="1"/>
    </xf>
    <xf numFmtId="165" fontId="11" fillId="7" borderId="95"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0" fontId="11" fillId="7" borderId="89" xfId="0" applyFont="1" applyFill="1" applyBorder="1" applyAlignment="1">
      <alignment horizontal="center" vertical="top"/>
    </xf>
    <xf numFmtId="165" fontId="11" fillId="7" borderId="83" xfId="0" applyNumberFormat="1" applyFont="1" applyFill="1" applyBorder="1" applyAlignment="1">
      <alignment horizontal="center" vertical="top"/>
    </xf>
    <xf numFmtId="165" fontId="2" fillId="2" borderId="76" xfId="0" applyNumberFormat="1" applyFont="1" applyFill="1" applyBorder="1" applyAlignment="1">
      <alignment horizontal="center" vertical="top"/>
    </xf>
    <xf numFmtId="165" fontId="2" fillId="8" borderId="63" xfId="0" applyNumberFormat="1" applyFont="1" applyFill="1" applyBorder="1" applyAlignment="1">
      <alignment horizontal="center" vertical="top"/>
    </xf>
    <xf numFmtId="165" fontId="2" fillId="8" borderId="137" xfId="0" applyNumberFormat="1" applyFont="1" applyFill="1" applyBorder="1" applyAlignment="1">
      <alignment horizontal="center" vertical="top"/>
    </xf>
    <xf numFmtId="165" fontId="13" fillId="7" borderId="137" xfId="0" applyNumberFormat="1" applyFont="1" applyFill="1" applyBorder="1" applyAlignment="1">
      <alignment vertical="top" wrapText="1"/>
    </xf>
    <xf numFmtId="49" fontId="11" fillId="7" borderId="75" xfId="0" applyNumberFormat="1" applyFont="1" applyFill="1" applyBorder="1" applyAlignment="1">
      <alignment horizontal="center" vertical="top"/>
    </xf>
    <xf numFmtId="49" fontId="11" fillId="7" borderId="87" xfId="0" applyNumberFormat="1" applyFont="1" applyFill="1" applyBorder="1" applyAlignment="1">
      <alignment horizontal="center" vertical="top" wrapText="1"/>
    </xf>
    <xf numFmtId="165" fontId="2" fillId="7" borderId="103" xfId="0" applyNumberFormat="1" applyFont="1" applyFill="1" applyBorder="1" applyAlignment="1">
      <alignment horizontal="center" vertical="top" wrapText="1"/>
    </xf>
    <xf numFmtId="165" fontId="11" fillId="7" borderId="18" xfId="0" applyNumberFormat="1" applyFont="1" applyFill="1" applyBorder="1" applyAlignment="1">
      <alignment horizontal="center" vertical="top"/>
    </xf>
    <xf numFmtId="165" fontId="11" fillId="7" borderId="7" xfId="0" applyNumberFormat="1" applyFont="1" applyFill="1" applyBorder="1" applyAlignment="1">
      <alignment horizontal="center" vertical="top"/>
    </xf>
    <xf numFmtId="165" fontId="11" fillId="7" borderId="99" xfId="0" applyNumberFormat="1" applyFont="1" applyFill="1" applyBorder="1" applyAlignment="1">
      <alignment horizontal="center" vertical="top"/>
    </xf>
    <xf numFmtId="165" fontId="2" fillId="7" borderId="81" xfId="0" applyNumberFormat="1" applyFont="1" applyFill="1" applyBorder="1" applyAlignment="1">
      <alignment horizontal="center" vertical="top" wrapText="1"/>
    </xf>
    <xf numFmtId="165" fontId="11" fillId="7" borderId="81" xfId="0" applyNumberFormat="1" applyFont="1" applyFill="1" applyBorder="1" applyAlignment="1">
      <alignment horizontal="center" vertical="top"/>
    </xf>
    <xf numFmtId="165" fontId="2" fillId="7" borderId="80" xfId="0" applyNumberFormat="1" applyFont="1" applyFill="1" applyBorder="1" applyAlignment="1">
      <alignment horizontal="center" vertical="top" wrapText="1"/>
    </xf>
    <xf numFmtId="165" fontId="2" fillId="7" borderId="83" xfId="0" applyNumberFormat="1" applyFont="1" applyFill="1" applyBorder="1" applyAlignment="1">
      <alignment horizontal="center" vertical="top" wrapText="1"/>
    </xf>
    <xf numFmtId="165" fontId="11" fillId="7" borderId="118"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2" fillId="8" borderId="138" xfId="0" applyNumberFormat="1" applyFont="1" applyFill="1" applyBorder="1" applyAlignment="1">
      <alignment horizontal="center" vertical="top"/>
    </xf>
    <xf numFmtId="165" fontId="11" fillId="7" borderId="39" xfId="0" applyNumberFormat="1" applyFont="1" applyFill="1" applyBorder="1" applyAlignment="1">
      <alignment horizontal="center" vertical="top"/>
    </xf>
    <xf numFmtId="165" fontId="11" fillId="7" borderId="25" xfId="0" applyNumberFormat="1" applyFont="1" applyFill="1" applyBorder="1" applyAlignment="1">
      <alignment horizontal="center" vertical="top"/>
    </xf>
    <xf numFmtId="165" fontId="11" fillId="7" borderId="21" xfId="0" applyNumberFormat="1" applyFont="1" applyFill="1" applyBorder="1" applyAlignment="1">
      <alignment horizontal="center" vertical="top"/>
    </xf>
    <xf numFmtId="165" fontId="6" fillId="7" borderId="48" xfId="0" applyNumberFormat="1" applyFont="1" applyFill="1" applyBorder="1" applyAlignment="1">
      <alignment horizontal="center" vertical="center" textRotation="90" wrapText="1"/>
    </xf>
    <xf numFmtId="165" fontId="1" fillId="7" borderId="109" xfId="0" applyNumberFormat="1" applyFont="1" applyFill="1" applyBorder="1" applyAlignment="1">
      <alignment horizontal="center" vertical="top"/>
    </xf>
    <xf numFmtId="165" fontId="11" fillId="7" borderId="89" xfId="0" applyNumberFormat="1" applyFont="1" applyFill="1" applyBorder="1" applyAlignment="1">
      <alignment horizontal="center" vertical="top"/>
    </xf>
    <xf numFmtId="165" fontId="1" fillId="7" borderId="107" xfId="0" applyNumberFormat="1" applyFont="1" applyFill="1" applyBorder="1" applyAlignment="1">
      <alignment vertical="top" wrapText="1"/>
    </xf>
    <xf numFmtId="165" fontId="11" fillId="7" borderId="26" xfId="0" applyNumberFormat="1" applyFont="1" applyFill="1" applyBorder="1" applyAlignment="1">
      <alignment horizontal="center" vertical="top"/>
    </xf>
    <xf numFmtId="0" fontId="1" fillId="0" borderId="107" xfId="0" applyFont="1" applyBorder="1" applyAlignment="1">
      <alignment vertical="top"/>
    </xf>
    <xf numFmtId="0" fontId="1" fillId="0" borderId="106" xfId="0" applyFont="1" applyBorder="1" applyAlignment="1">
      <alignment vertical="top"/>
    </xf>
    <xf numFmtId="0" fontId="1" fillId="0" borderId="77" xfId="0" applyFont="1" applyBorder="1" applyAlignment="1">
      <alignment vertical="top"/>
    </xf>
    <xf numFmtId="0" fontId="1" fillId="0" borderId="110" xfId="0" applyFont="1" applyBorder="1" applyAlignment="1">
      <alignment horizontal="center" vertical="top"/>
    </xf>
    <xf numFmtId="165" fontId="11" fillId="7" borderId="6" xfId="0" applyNumberFormat="1" applyFont="1" applyFill="1" applyBorder="1" applyAlignment="1">
      <alignment horizontal="center" vertical="top" wrapText="1"/>
    </xf>
    <xf numFmtId="49" fontId="11" fillId="7" borderId="35" xfId="0" applyNumberFormat="1" applyFont="1" applyFill="1" applyBorder="1" applyAlignment="1">
      <alignment horizontal="center" vertical="top" wrapText="1"/>
    </xf>
    <xf numFmtId="3" fontId="11" fillId="7" borderId="90" xfId="0" applyNumberFormat="1" applyFont="1" applyFill="1" applyBorder="1" applyAlignment="1">
      <alignment horizontal="center" vertical="top"/>
    </xf>
    <xf numFmtId="49" fontId="11" fillId="7" borderId="90" xfId="0" applyNumberFormat="1" applyFont="1" applyFill="1" applyBorder="1" applyAlignment="1">
      <alignment horizontal="center" vertical="top" wrapText="1"/>
    </xf>
    <xf numFmtId="165" fontId="11" fillId="7" borderId="27" xfId="0" applyNumberFormat="1" applyFont="1" applyFill="1" applyBorder="1" applyAlignment="1">
      <alignment horizontal="center" vertical="top"/>
    </xf>
    <xf numFmtId="165" fontId="11" fillId="7" borderId="19" xfId="0" applyNumberFormat="1" applyFont="1" applyFill="1" applyBorder="1" applyAlignment="1">
      <alignment horizontal="center" vertical="top"/>
    </xf>
    <xf numFmtId="165" fontId="11" fillId="7" borderId="45" xfId="0" applyNumberFormat="1" applyFont="1" applyFill="1" applyBorder="1" applyAlignment="1">
      <alignment horizontal="center" vertical="top"/>
    </xf>
    <xf numFmtId="3" fontId="11" fillId="7" borderId="48" xfId="0" applyNumberFormat="1" applyFont="1" applyFill="1" applyBorder="1" applyAlignment="1">
      <alignment horizontal="center" vertical="top" wrapText="1"/>
    </xf>
    <xf numFmtId="3" fontId="30" fillId="7" borderId="46" xfId="0" applyNumberFormat="1" applyFont="1" applyFill="1" applyBorder="1" applyAlignment="1">
      <alignment horizontal="center" vertical="top" wrapText="1"/>
    </xf>
    <xf numFmtId="49" fontId="11" fillId="7" borderId="92" xfId="0" applyNumberFormat="1" applyFont="1" applyFill="1" applyBorder="1" applyAlignment="1">
      <alignment horizontal="center" vertical="top" wrapText="1"/>
    </xf>
    <xf numFmtId="3" fontId="11" fillId="7" borderId="90" xfId="0" applyNumberFormat="1" applyFont="1" applyFill="1" applyBorder="1" applyAlignment="1">
      <alignment horizontal="center" vertical="top" wrapText="1"/>
    </xf>
    <xf numFmtId="165" fontId="11" fillId="7" borderId="18" xfId="0" applyNumberFormat="1" applyFont="1" applyFill="1" applyBorder="1" applyAlignment="1">
      <alignment horizontal="center" vertical="top" wrapText="1"/>
    </xf>
    <xf numFmtId="167" fontId="11" fillId="7" borderId="43" xfId="0" applyNumberFormat="1" applyFont="1" applyFill="1" applyBorder="1" applyAlignment="1">
      <alignment horizontal="center" vertical="center"/>
    </xf>
    <xf numFmtId="0" fontId="11" fillId="7" borderId="47" xfId="0" applyFont="1" applyFill="1" applyBorder="1" applyAlignment="1">
      <alignment horizontal="center" vertical="center"/>
    </xf>
    <xf numFmtId="0" fontId="6" fillId="7" borderId="11" xfId="0" applyFont="1" applyFill="1" applyBorder="1" applyAlignment="1">
      <alignment vertical="top" wrapText="1"/>
    </xf>
    <xf numFmtId="165" fontId="2" fillId="7" borderId="35" xfId="0" applyNumberFormat="1" applyFont="1" applyFill="1" applyBorder="1" applyAlignment="1">
      <alignment horizontal="center" vertical="top" wrapText="1"/>
    </xf>
    <xf numFmtId="165" fontId="2" fillId="7" borderId="48"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xf>
    <xf numFmtId="0" fontId="1" fillId="7" borderId="11" xfId="0" applyFont="1" applyFill="1" applyBorder="1" applyAlignment="1">
      <alignment vertical="top" wrapText="1"/>
    </xf>
    <xf numFmtId="165" fontId="1" fillId="7" borderId="48" xfId="0" applyNumberFormat="1" applyFont="1" applyFill="1" applyBorder="1" applyAlignment="1">
      <alignment horizontal="center" vertical="center" textRotation="90" wrapText="1"/>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0" fontId="0" fillId="0" borderId="0" xfId="0" applyAlignment="1">
      <alignment horizontal="left"/>
    </xf>
    <xf numFmtId="0" fontId="1" fillId="7" borderId="0" xfId="0" applyFont="1" applyFill="1" applyBorder="1" applyAlignment="1">
      <alignment horizontal="left" vertical="top"/>
    </xf>
    <xf numFmtId="165" fontId="11" fillId="7" borderId="106" xfId="0" applyNumberFormat="1" applyFont="1" applyFill="1" applyBorder="1" applyAlignment="1">
      <alignment horizontal="center" vertical="top"/>
    </xf>
    <xf numFmtId="0" fontId="11" fillId="7" borderId="8" xfId="0" applyFont="1" applyFill="1" applyBorder="1" applyAlignment="1">
      <alignment horizontal="center" vertical="top"/>
    </xf>
    <xf numFmtId="165" fontId="11" fillId="7" borderId="78" xfId="0" applyNumberFormat="1" applyFont="1" applyFill="1" applyBorder="1" applyAlignment="1">
      <alignment horizontal="center" vertical="top"/>
    </xf>
    <xf numFmtId="165" fontId="11" fillId="7" borderId="92" xfId="0" applyNumberFormat="1" applyFont="1" applyFill="1" applyBorder="1" applyAlignment="1">
      <alignment horizontal="center" vertical="top"/>
    </xf>
    <xf numFmtId="0" fontId="11" fillId="7" borderId="111" xfId="0" applyFont="1" applyFill="1" applyBorder="1" applyAlignment="1">
      <alignment horizontal="center" vertical="top"/>
    </xf>
    <xf numFmtId="165" fontId="11" fillId="7" borderId="112" xfId="0" applyNumberFormat="1" applyFont="1" applyFill="1" applyBorder="1" applyAlignment="1">
      <alignment horizontal="center" vertical="top"/>
    </xf>
    <xf numFmtId="0" fontId="11" fillId="7" borderId="93" xfId="0" applyFont="1" applyFill="1" applyBorder="1" applyAlignment="1">
      <alignment horizontal="center" vertical="top"/>
    </xf>
    <xf numFmtId="0" fontId="1" fillId="7" borderId="18" xfId="0" applyFont="1" applyFill="1" applyBorder="1" applyAlignment="1">
      <alignment vertical="top" wrapText="1"/>
    </xf>
    <xf numFmtId="0" fontId="1" fillId="7" borderId="27" xfId="0" applyFont="1" applyFill="1" applyBorder="1" applyAlignment="1">
      <alignment vertical="top" wrapText="1"/>
    </xf>
    <xf numFmtId="165" fontId="11" fillId="7" borderId="23" xfId="0" applyNumberFormat="1" applyFont="1" applyFill="1" applyBorder="1" applyAlignment="1">
      <alignment horizontal="center" vertical="top" wrapText="1"/>
    </xf>
    <xf numFmtId="49" fontId="1" fillId="7" borderId="48" xfId="0" applyNumberFormat="1" applyFont="1" applyFill="1" applyBorder="1" applyAlignment="1">
      <alignment horizontal="center" vertical="top"/>
    </xf>
    <xf numFmtId="0" fontId="6" fillId="7" borderId="48" xfId="0" applyFont="1" applyFill="1" applyBorder="1" applyAlignment="1">
      <alignment horizontal="center" vertical="top" wrapText="1"/>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165" fontId="1" fillId="7" borderId="11" xfId="0" applyNumberFormat="1" applyFont="1" applyFill="1" applyBorder="1" applyAlignment="1">
      <alignment horizontal="left" vertical="top" wrapText="1"/>
    </xf>
    <xf numFmtId="167" fontId="1" fillId="0" borderId="0" xfId="0" applyNumberFormat="1" applyFont="1" applyBorder="1" applyAlignment="1">
      <alignment vertical="top"/>
    </xf>
    <xf numFmtId="165" fontId="11" fillId="7" borderId="96" xfId="0" applyNumberFormat="1" applyFont="1" applyFill="1" applyBorder="1" applyAlignment="1">
      <alignment horizontal="center" vertical="top"/>
    </xf>
    <xf numFmtId="165" fontId="11" fillId="7" borderId="29" xfId="0" applyNumberFormat="1" applyFont="1" applyFill="1" applyBorder="1" applyAlignment="1">
      <alignment horizontal="center" vertical="top"/>
    </xf>
    <xf numFmtId="0" fontId="1" fillId="0" borderId="29" xfId="0" applyFont="1" applyBorder="1" applyAlignment="1">
      <alignment vertical="top"/>
    </xf>
    <xf numFmtId="165" fontId="33" fillId="7" borderId="34" xfId="0" applyNumberFormat="1" applyFont="1" applyFill="1" applyBorder="1" applyAlignment="1">
      <alignment horizontal="center" vertical="top" wrapText="1"/>
    </xf>
    <xf numFmtId="165" fontId="33" fillId="7" borderId="11" xfId="0" applyNumberFormat="1" applyFont="1" applyFill="1" applyBorder="1" applyAlignment="1">
      <alignment horizontal="center" vertical="top" wrapText="1"/>
    </xf>
    <xf numFmtId="165" fontId="33" fillId="7" borderId="0" xfId="0" applyNumberFormat="1" applyFont="1" applyFill="1" applyBorder="1" applyAlignment="1">
      <alignment horizontal="center" vertical="top" wrapText="1"/>
    </xf>
    <xf numFmtId="49" fontId="30" fillId="7" borderId="59" xfId="0" applyNumberFormat="1" applyFont="1" applyFill="1" applyBorder="1" applyAlignment="1">
      <alignment horizontal="center" vertical="top" wrapText="1"/>
    </xf>
    <xf numFmtId="0" fontId="11" fillId="7" borderId="23" xfId="0" applyFont="1" applyFill="1" applyBorder="1" applyAlignment="1">
      <alignment horizontal="center" vertical="top"/>
    </xf>
    <xf numFmtId="0" fontId="11" fillId="7" borderId="43" xfId="0" applyFont="1" applyFill="1" applyBorder="1" applyAlignment="1">
      <alignment horizontal="center" vertical="center"/>
    </xf>
    <xf numFmtId="0" fontId="11" fillId="7" borderId="6" xfId="0" applyFont="1" applyFill="1" applyBorder="1" applyAlignment="1">
      <alignment horizontal="center" vertical="top"/>
    </xf>
    <xf numFmtId="0" fontId="11" fillId="7" borderId="7" xfId="0" applyFont="1" applyFill="1" applyBorder="1" applyAlignment="1">
      <alignment horizontal="center" vertical="center"/>
    </xf>
    <xf numFmtId="165" fontId="11" fillId="7" borderId="117" xfId="0" applyNumberFormat="1" applyFont="1" applyFill="1" applyBorder="1" applyAlignment="1">
      <alignment horizontal="center" vertical="top"/>
    </xf>
    <xf numFmtId="165" fontId="11" fillId="7" borderId="97" xfId="0" applyNumberFormat="1" applyFont="1" applyFill="1" applyBorder="1" applyAlignment="1">
      <alignment horizontal="center" vertical="top"/>
    </xf>
    <xf numFmtId="165" fontId="11" fillId="7" borderId="90" xfId="0" applyNumberFormat="1" applyFont="1" applyFill="1" applyBorder="1" applyAlignment="1">
      <alignment horizontal="center" vertical="top"/>
    </xf>
    <xf numFmtId="165" fontId="11" fillId="7" borderId="113" xfId="0" applyNumberFormat="1" applyFont="1" applyFill="1" applyBorder="1" applyAlignment="1">
      <alignment horizontal="center" vertical="top"/>
    </xf>
    <xf numFmtId="165" fontId="1" fillId="7" borderId="48" xfId="0" applyNumberFormat="1" applyFont="1" applyFill="1" applyBorder="1" applyAlignment="1">
      <alignment horizontal="left" vertical="top" wrapText="1"/>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0" fontId="1" fillId="7" borderId="29" xfId="0" applyFont="1" applyFill="1" applyBorder="1" applyAlignment="1">
      <alignment horizontal="left" vertical="top" wrapText="1"/>
    </xf>
    <xf numFmtId="165" fontId="1" fillId="7" borderId="105" xfId="0" applyNumberFormat="1" applyFont="1" applyFill="1" applyBorder="1" applyAlignment="1">
      <alignment horizontal="center" vertical="center" textRotation="90" wrapText="1"/>
    </xf>
    <xf numFmtId="165" fontId="11" fillId="7" borderId="36" xfId="0" applyNumberFormat="1" applyFont="1" applyFill="1" applyBorder="1" applyAlignment="1">
      <alignment horizontal="center" vertical="top"/>
    </xf>
    <xf numFmtId="165" fontId="11" fillId="7" borderId="100" xfId="0" applyNumberFormat="1" applyFont="1" applyFill="1" applyBorder="1" applyAlignment="1">
      <alignment horizontal="center" vertical="top"/>
    </xf>
    <xf numFmtId="165" fontId="11" fillId="7" borderId="103" xfId="0" applyNumberFormat="1" applyFont="1" applyFill="1" applyBorder="1" applyAlignment="1">
      <alignment horizontal="center" vertical="top"/>
    </xf>
    <xf numFmtId="49" fontId="1" fillId="0" borderId="28" xfId="0" applyNumberFormat="1" applyFont="1" applyBorder="1" applyAlignment="1">
      <alignment vertical="top"/>
    </xf>
    <xf numFmtId="3" fontId="1" fillId="3" borderId="28" xfId="0" applyNumberFormat="1" applyFont="1" applyFill="1" applyBorder="1" applyAlignment="1">
      <alignment horizontal="center" vertical="top" wrapText="1"/>
    </xf>
    <xf numFmtId="165" fontId="11" fillId="7" borderId="77" xfId="0" applyNumberFormat="1" applyFont="1" applyFill="1" applyBorder="1" applyAlignment="1">
      <alignment horizontal="left" vertical="top" wrapText="1"/>
    </xf>
    <xf numFmtId="165" fontId="11" fillId="7" borderId="107" xfId="0" applyNumberFormat="1" applyFont="1" applyFill="1" applyBorder="1" applyAlignment="1">
      <alignment horizontal="center" vertical="top"/>
    </xf>
    <xf numFmtId="165" fontId="11" fillId="7" borderId="115" xfId="0" applyNumberFormat="1" applyFont="1" applyFill="1" applyBorder="1" applyAlignment="1">
      <alignment horizontal="center" vertical="top"/>
    </xf>
    <xf numFmtId="165" fontId="2" fillId="7" borderId="27" xfId="0" applyNumberFormat="1" applyFont="1" applyFill="1" applyBorder="1" applyAlignment="1">
      <alignment horizontal="center" vertical="center" wrapText="1"/>
    </xf>
    <xf numFmtId="165" fontId="12" fillId="7" borderId="27" xfId="0" applyNumberFormat="1" applyFont="1" applyFill="1" applyBorder="1" applyAlignment="1">
      <alignment horizontal="center" vertical="center" wrapText="1"/>
    </xf>
    <xf numFmtId="165" fontId="11" fillId="7" borderId="110" xfId="0" applyNumberFormat="1" applyFont="1" applyFill="1" applyBorder="1" applyAlignment="1">
      <alignment horizontal="center" vertical="top"/>
    </xf>
    <xf numFmtId="0" fontId="34" fillId="7" borderId="46" xfId="0" applyFont="1" applyFill="1" applyBorder="1" applyAlignment="1">
      <alignment horizontal="center" vertical="top" wrapText="1"/>
    </xf>
    <xf numFmtId="165" fontId="35" fillId="7" borderId="48" xfId="0" applyNumberFormat="1" applyFont="1" applyFill="1" applyBorder="1" applyAlignment="1">
      <alignment horizontal="center" vertical="top" wrapText="1"/>
    </xf>
    <xf numFmtId="165" fontId="11" fillId="7" borderId="34" xfId="0" applyNumberFormat="1" applyFont="1" applyFill="1" applyBorder="1" applyAlignment="1">
      <alignment horizontal="center" vertical="top" wrapText="1"/>
    </xf>
    <xf numFmtId="0" fontId="33" fillId="7" borderId="47" xfId="0" applyFont="1" applyFill="1" applyBorder="1" applyAlignment="1">
      <alignment horizontal="center" vertical="center"/>
    </xf>
    <xf numFmtId="0" fontId="33" fillId="7" borderId="11" xfId="0" applyFont="1" applyFill="1" applyBorder="1" applyAlignment="1">
      <alignment horizontal="center" vertical="center"/>
    </xf>
    <xf numFmtId="167" fontId="33" fillId="7" borderId="43" xfId="0" applyNumberFormat="1" applyFont="1" applyFill="1" applyBorder="1" applyAlignment="1">
      <alignment horizontal="center" vertical="center"/>
    </xf>
    <xf numFmtId="165" fontId="33" fillId="7" borderId="49" xfId="0" applyNumberFormat="1" applyFont="1" applyFill="1" applyBorder="1" applyAlignment="1">
      <alignment horizontal="center" vertical="top"/>
    </xf>
    <xf numFmtId="165" fontId="33" fillId="7" borderId="20" xfId="0" applyNumberFormat="1" applyFont="1" applyFill="1" applyBorder="1" applyAlignment="1">
      <alignment horizontal="center" vertical="top"/>
    </xf>
    <xf numFmtId="165" fontId="33" fillId="7" borderId="59" xfId="0" applyNumberFormat="1" applyFont="1" applyFill="1" applyBorder="1" applyAlignment="1">
      <alignment horizontal="center" vertical="top"/>
    </xf>
    <xf numFmtId="165" fontId="36" fillId="7" borderId="48" xfId="0" applyNumberFormat="1" applyFont="1" applyFill="1" applyBorder="1" applyAlignment="1">
      <alignment horizontal="center" vertical="top" wrapText="1"/>
    </xf>
    <xf numFmtId="0" fontId="33" fillId="7" borderId="43" xfId="0" applyFont="1" applyFill="1" applyBorder="1" applyAlignment="1">
      <alignment horizontal="center" vertical="center"/>
    </xf>
    <xf numFmtId="165" fontId="33" fillId="7" borderId="11" xfId="0" applyNumberFormat="1" applyFont="1" applyFill="1" applyBorder="1" applyAlignment="1">
      <alignment horizontal="left" vertical="top" wrapText="1"/>
    </xf>
    <xf numFmtId="165" fontId="1" fillId="7" borderId="11" xfId="0" applyNumberFormat="1" applyFont="1" applyFill="1" applyBorder="1" applyAlignment="1">
      <alignment horizontal="center" vertical="center" textRotation="90" wrapText="1"/>
    </xf>
    <xf numFmtId="165" fontId="1" fillId="7" borderId="23" xfId="0" applyNumberFormat="1" applyFont="1" applyFill="1" applyBorder="1" applyAlignment="1">
      <alignment horizontal="center" vertical="top"/>
    </xf>
    <xf numFmtId="165" fontId="2" fillId="7" borderId="11" xfId="0" applyNumberFormat="1" applyFont="1" applyFill="1" applyBorder="1" applyAlignment="1">
      <alignment horizontal="center" vertical="top" wrapText="1"/>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165" fontId="11" fillId="7" borderId="8" xfId="0" applyNumberFormat="1" applyFont="1" applyFill="1" applyBorder="1" applyAlignment="1">
      <alignment horizontal="center" vertical="center"/>
    </xf>
    <xf numFmtId="165" fontId="11" fillId="7" borderId="59" xfId="0" applyNumberFormat="1" applyFont="1" applyFill="1" applyBorder="1" applyAlignment="1">
      <alignment horizontal="center" vertical="center" wrapText="1"/>
    </xf>
    <xf numFmtId="165" fontId="11" fillId="7" borderId="20" xfId="0" applyNumberFormat="1" applyFont="1" applyFill="1" applyBorder="1" applyAlignment="1">
      <alignment horizontal="center" vertical="center" wrapText="1"/>
    </xf>
    <xf numFmtId="165" fontId="11" fillId="7" borderId="49" xfId="0" applyNumberFormat="1" applyFont="1" applyFill="1" applyBorder="1" applyAlignment="1">
      <alignment horizontal="center" vertical="center"/>
    </xf>
    <xf numFmtId="165" fontId="11" fillId="7" borderId="20" xfId="0" applyNumberFormat="1" applyFont="1" applyFill="1" applyBorder="1" applyAlignment="1">
      <alignment horizontal="center" vertical="center"/>
    </xf>
    <xf numFmtId="165" fontId="11" fillId="7" borderId="38" xfId="0" applyNumberFormat="1" applyFont="1" applyFill="1" applyBorder="1" applyAlignment="1">
      <alignment horizontal="center" vertical="center"/>
    </xf>
    <xf numFmtId="49" fontId="1" fillId="7" borderId="18" xfId="0" applyNumberFormat="1" applyFont="1" applyFill="1" applyBorder="1" applyAlignment="1">
      <alignment vertical="top" wrapText="1"/>
    </xf>
    <xf numFmtId="49" fontId="30" fillId="7" borderId="11" xfId="0" applyNumberFormat="1" applyFont="1" applyFill="1" applyBorder="1" applyAlignment="1">
      <alignment horizontal="center" vertical="top"/>
    </xf>
    <xf numFmtId="49" fontId="11" fillId="7" borderId="11" xfId="0" applyNumberFormat="1" applyFont="1" applyFill="1" applyBorder="1" applyAlignment="1">
      <alignment horizontal="center" vertical="top"/>
    </xf>
    <xf numFmtId="49" fontId="30" fillId="7" borderId="59" xfId="0" applyNumberFormat="1" applyFont="1" applyFill="1" applyBorder="1" applyAlignment="1">
      <alignment horizontal="center" vertical="top"/>
    </xf>
    <xf numFmtId="165" fontId="1" fillId="7" borderId="36" xfId="0" applyNumberFormat="1" applyFont="1" applyFill="1" applyBorder="1" applyAlignment="1">
      <alignment horizontal="left" vertical="top" wrapText="1"/>
    </xf>
    <xf numFmtId="165" fontId="1" fillId="7" borderId="29" xfId="0" applyNumberFormat="1" applyFont="1" applyFill="1" applyBorder="1" applyAlignment="1">
      <alignment horizontal="left" vertical="top" wrapText="1"/>
    </xf>
    <xf numFmtId="165" fontId="1" fillId="7" borderId="7" xfId="0" applyNumberFormat="1" applyFont="1" applyFill="1" applyBorder="1" applyAlignment="1">
      <alignment horizontal="left" vertical="top" wrapText="1"/>
    </xf>
    <xf numFmtId="0" fontId="1" fillId="7" borderId="36" xfId="0" applyFont="1" applyFill="1" applyBorder="1" applyAlignment="1">
      <alignment vertical="top" wrapText="1"/>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49" fontId="1" fillId="7" borderId="48"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7" borderId="99" xfId="0" applyFont="1" applyFill="1" applyBorder="1" applyAlignment="1">
      <alignment vertical="top" wrapText="1"/>
    </xf>
    <xf numFmtId="0" fontId="1" fillId="7" borderId="29" xfId="0" applyFont="1" applyFill="1" applyBorder="1" applyAlignment="1">
      <alignment horizontal="left" vertical="top" wrapText="1"/>
    </xf>
    <xf numFmtId="0" fontId="6" fillId="7" borderId="7" xfId="0" applyFont="1" applyFill="1" applyBorder="1" applyAlignment="1">
      <alignment horizontal="left" vertical="top" wrapText="1"/>
    </xf>
    <xf numFmtId="165" fontId="1" fillId="7" borderId="82" xfId="0" applyNumberFormat="1" applyFont="1" applyFill="1" applyBorder="1" applyAlignment="1">
      <alignment vertical="top" wrapText="1"/>
    </xf>
    <xf numFmtId="49" fontId="1" fillId="0" borderId="35" xfId="0" applyNumberFormat="1" applyFont="1" applyFill="1" applyBorder="1" applyAlignment="1">
      <alignment horizontal="center" vertical="top"/>
    </xf>
    <xf numFmtId="49" fontId="1" fillId="7" borderId="20"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0" fontId="1" fillId="7" borderId="18" xfId="0" applyFont="1" applyFill="1" applyBorder="1" applyAlignment="1">
      <alignment horizontal="left" vertical="top" wrapText="1"/>
    </xf>
    <xf numFmtId="0" fontId="1" fillId="7" borderId="27" xfId="0" applyFont="1" applyFill="1" applyBorder="1" applyAlignment="1">
      <alignment horizontal="left" vertical="top" wrapText="1"/>
    </xf>
    <xf numFmtId="165" fontId="1" fillId="7" borderId="7" xfId="0" applyNumberFormat="1" applyFont="1" applyFill="1" applyBorder="1" applyAlignment="1">
      <alignment vertical="top" wrapText="1"/>
    </xf>
    <xf numFmtId="0" fontId="1" fillId="7" borderId="7" xfId="0" applyFont="1" applyFill="1" applyBorder="1" applyAlignment="1">
      <alignment vertical="top" wrapText="1"/>
    </xf>
    <xf numFmtId="165" fontId="2" fillId="9" borderId="7"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2" borderId="48"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165" fontId="35" fillId="7" borderId="48" xfId="0" applyNumberFormat="1" applyFont="1" applyFill="1" applyBorder="1" applyAlignment="1">
      <alignment horizontal="center" vertical="center" wrapText="1"/>
    </xf>
    <xf numFmtId="165" fontId="11" fillId="7" borderId="85" xfId="0" applyNumberFormat="1" applyFont="1" applyFill="1" applyBorder="1" applyAlignment="1">
      <alignment horizontal="center" vertical="top"/>
    </xf>
    <xf numFmtId="165" fontId="11" fillId="7" borderId="7" xfId="0" applyNumberFormat="1" applyFont="1" applyFill="1" applyBorder="1" applyAlignment="1">
      <alignment horizontal="left" vertical="top" wrapText="1"/>
    </xf>
    <xf numFmtId="0" fontId="1" fillId="7" borderId="44" xfId="0" applyFont="1" applyFill="1" applyBorder="1" applyAlignment="1">
      <alignment vertical="top"/>
    </xf>
    <xf numFmtId="0" fontId="1" fillId="7" borderId="41" xfId="0" applyFont="1" applyFill="1" applyBorder="1" applyAlignment="1">
      <alignment vertical="top"/>
    </xf>
    <xf numFmtId="0" fontId="1" fillId="7" borderId="26" xfId="0" applyFont="1" applyFill="1" applyBorder="1" applyAlignment="1">
      <alignment horizontal="left" vertical="top" wrapText="1"/>
    </xf>
    <xf numFmtId="49" fontId="11" fillId="7" borderId="0" xfId="0" applyNumberFormat="1" applyFont="1" applyFill="1" applyBorder="1" applyAlignment="1">
      <alignment horizontal="center" vertical="top"/>
    </xf>
    <xf numFmtId="3" fontId="11" fillId="7" borderId="88" xfId="0" applyNumberFormat="1" applyFont="1" applyFill="1" applyBorder="1" applyAlignment="1">
      <alignment horizontal="center" vertical="top"/>
    </xf>
    <xf numFmtId="49" fontId="1" fillId="7" borderId="48"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49" fontId="1" fillId="7" borderId="20"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49" fontId="11" fillId="7" borderId="109" xfId="0" applyNumberFormat="1" applyFont="1" applyFill="1" applyBorder="1" applyAlignment="1">
      <alignment horizontal="center" vertical="top"/>
    </xf>
    <xf numFmtId="3" fontId="11" fillId="7" borderId="109" xfId="0" applyNumberFormat="1" applyFont="1" applyFill="1" applyBorder="1" applyAlignment="1">
      <alignment horizontal="center" vertical="top" wrapText="1"/>
    </xf>
    <xf numFmtId="3" fontId="11" fillId="7" borderId="78" xfId="0" applyNumberFormat="1" applyFont="1" applyFill="1" applyBorder="1" applyAlignment="1">
      <alignment horizontal="center" vertical="top" wrapText="1"/>
    </xf>
    <xf numFmtId="165" fontId="11" fillId="7" borderId="82" xfId="0" applyNumberFormat="1" applyFont="1" applyFill="1" applyBorder="1" applyAlignment="1">
      <alignment horizontal="center" vertical="top"/>
    </xf>
    <xf numFmtId="165" fontId="11" fillId="7" borderId="18" xfId="0" applyNumberFormat="1" applyFont="1" applyFill="1" applyBorder="1" applyAlignment="1">
      <alignment horizontal="left" vertical="top" wrapText="1"/>
    </xf>
    <xf numFmtId="0" fontId="1" fillId="7" borderId="27" xfId="0" applyFont="1" applyFill="1" applyBorder="1" applyAlignment="1">
      <alignment horizontal="left" vertical="top" wrapText="1"/>
    </xf>
    <xf numFmtId="165" fontId="1" fillId="7" borderId="67" xfId="0" applyNumberFormat="1" applyFont="1" applyFill="1" applyBorder="1" applyAlignment="1">
      <alignment horizontal="left" vertical="top" wrapText="1"/>
    </xf>
    <xf numFmtId="0" fontId="0" fillId="0" borderId="62" xfId="0" applyBorder="1" applyAlignment="1">
      <alignment horizontal="left" vertical="top" wrapText="1"/>
    </xf>
    <xf numFmtId="0" fontId="0" fillId="0" borderId="42" xfId="0" applyBorder="1" applyAlignment="1">
      <alignment horizontal="left" vertical="top" wrapText="1"/>
    </xf>
    <xf numFmtId="3" fontId="14" fillId="0" borderId="0" xfId="0" applyNumberFormat="1" applyFont="1" applyAlignment="1">
      <alignment horizontal="center" vertical="top" wrapText="1"/>
    </xf>
    <xf numFmtId="0" fontId="15" fillId="0" borderId="0" xfId="0" applyFont="1" applyBorder="1" applyAlignment="1">
      <alignment horizontal="center" vertical="top" wrapText="1"/>
    </xf>
    <xf numFmtId="0" fontId="14" fillId="0" borderId="0" xfId="0" applyFont="1" applyBorder="1" applyAlignment="1">
      <alignment horizontal="center" vertical="top"/>
    </xf>
    <xf numFmtId="0" fontId="1" fillId="0" borderId="32" xfId="0" applyFont="1" applyBorder="1" applyAlignment="1">
      <alignment horizontal="right" vertical="top"/>
    </xf>
    <xf numFmtId="0" fontId="0" fillId="0" borderId="32" xfId="0" applyFont="1" applyBorder="1" applyAlignment="1">
      <alignment vertical="top"/>
    </xf>
    <xf numFmtId="3" fontId="1" fillId="0" borderId="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30" xfId="0" applyNumberFormat="1" applyFont="1" applyBorder="1" applyAlignment="1">
      <alignment horizontal="center" vertical="center" textRotation="90" shrinkToFit="1"/>
    </xf>
    <xf numFmtId="3" fontId="1" fillId="0" borderId="41" xfId="0" applyNumberFormat="1" applyFont="1" applyBorder="1" applyAlignment="1">
      <alignment horizontal="center" vertical="center" shrinkToFit="1"/>
    </xf>
    <xf numFmtId="3" fontId="1" fillId="0" borderId="48" xfId="0" applyNumberFormat="1" applyFont="1" applyBorder="1" applyAlignment="1">
      <alignment horizontal="center" vertical="center" shrinkToFit="1"/>
    </xf>
    <xf numFmtId="3" fontId="1" fillId="0" borderId="56" xfId="0" applyNumberFormat="1" applyFont="1" applyBorder="1" applyAlignment="1">
      <alignment horizontal="center" vertical="center" shrinkToFit="1"/>
    </xf>
    <xf numFmtId="0" fontId="2" fillId="9" borderId="37" xfId="0" applyFont="1" applyFill="1" applyBorder="1" applyAlignment="1">
      <alignment horizontal="left" vertical="top"/>
    </xf>
    <xf numFmtId="0" fontId="2" fillId="9" borderId="62" xfId="0" applyFont="1" applyFill="1" applyBorder="1" applyAlignment="1">
      <alignment horizontal="left" vertical="top"/>
    </xf>
    <xf numFmtId="0" fontId="2" fillId="9" borderId="42" xfId="0" applyFont="1" applyFill="1" applyBorder="1" applyAlignment="1">
      <alignment horizontal="left" vertical="top"/>
    </xf>
    <xf numFmtId="0" fontId="2" fillId="2" borderId="37" xfId="0" applyFont="1" applyFill="1" applyBorder="1" applyAlignment="1">
      <alignment horizontal="left" vertical="top" wrapText="1"/>
    </xf>
    <xf numFmtId="0" fontId="2" fillId="2" borderId="62"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7" borderId="20" xfId="0" applyFont="1" applyFill="1" applyBorder="1" applyAlignment="1">
      <alignment vertical="top" wrapText="1"/>
    </xf>
    <xf numFmtId="0" fontId="0" fillId="7" borderId="11" xfId="0" applyFill="1" applyBorder="1" applyAlignment="1">
      <alignment vertical="top" wrapText="1"/>
    </xf>
    <xf numFmtId="165" fontId="1" fillId="7" borderId="46" xfId="0" applyNumberFormat="1" applyFont="1" applyFill="1" applyBorder="1" applyAlignment="1">
      <alignment horizontal="left" vertical="top" wrapText="1"/>
    </xf>
    <xf numFmtId="165" fontId="1" fillId="7" borderId="48" xfId="0" applyNumberFormat="1" applyFont="1" applyFill="1" applyBorder="1" applyAlignment="1">
      <alignment horizontal="left" vertical="top" wrapText="1"/>
    </xf>
    <xf numFmtId="165" fontId="2" fillId="7" borderId="46" xfId="0" applyNumberFormat="1" applyFont="1" applyFill="1" applyBorder="1" applyAlignment="1">
      <alignment horizontal="center" vertical="top" wrapText="1"/>
    </xf>
    <xf numFmtId="0" fontId="6" fillId="7" borderId="48" xfId="0" applyFont="1" applyFill="1" applyBorder="1" applyAlignment="1">
      <alignment horizontal="center" vertical="top" wrapText="1"/>
    </xf>
    <xf numFmtId="165" fontId="1" fillId="7" borderId="82" xfId="0" applyNumberFormat="1" applyFont="1" applyFill="1" applyBorder="1" applyAlignment="1">
      <alignment vertical="top" wrapText="1"/>
    </xf>
    <xf numFmtId="0" fontId="1" fillId="7" borderId="99" xfId="0" applyFont="1" applyFill="1" applyBorder="1" applyAlignment="1">
      <alignment vertical="top" wrapText="1"/>
    </xf>
    <xf numFmtId="0" fontId="1" fillId="0" borderId="39"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66" xfId="0" applyFont="1" applyBorder="1" applyAlignment="1">
      <alignment horizontal="center" vertical="center" textRotation="90" wrapText="1"/>
    </xf>
    <xf numFmtId="0" fontId="2" fillId="0" borderId="68" xfId="0" applyFont="1" applyBorder="1" applyAlignment="1">
      <alignment horizontal="center" vertical="center"/>
    </xf>
    <xf numFmtId="0" fontId="2" fillId="0" borderId="73" xfId="0" applyFont="1" applyBorder="1" applyAlignment="1">
      <alignment horizontal="center" vertical="center"/>
    </xf>
    <xf numFmtId="0" fontId="2" fillId="0" borderId="69" xfId="0" applyFont="1" applyBorder="1" applyAlignment="1">
      <alignment horizontal="center" vertical="center"/>
    </xf>
    <xf numFmtId="0" fontId="1" fillId="0" borderId="3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2" xfId="0" applyFont="1" applyBorder="1" applyAlignment="1">
      <alignment horizontal="center" vertical="center"/>
    </xf>
    <xf numFmtId="0" fontId="1" fillId="0" borderId="42" xfId="0" applyFont="1" applyBorder="1" applyAlignment="1">
      <alignment horizontal="center" vertical="center"/>
    </xf>
    <xf numFmtId="49" fontId="4" fillId="6" borderId="68" xfId="0" applyNumberFormat="1" applyFont="1" applyFill="1" applyBorder="1" applyAlignment="1">
      <alignment horizontal="left" vertical="top" wrapText="1"/>
    </xf>
    <xf numFmtId="49" fontId="4" fillId="6" borderId="73" xfId="0" applyNumberFormat="1" applyFont="1" applyFill="1" applyBorder="1" applyAlignment="1">
      <alignment horizontal="left" vertical="top" wrapText="1"/>
    </xf>
    <xf numFmtId="49" fontId="4" fillId="6" borderId="69" xfId="0" applyNumberFormat="1"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62" xfId="0" applyFont="1" applyFill="1" applyBorder="1" applyAlignment="1">
      <alignment horizontal="left" vertical="top" wrapText="1"/>
    </xf>
    <xf numFmtId="0" fontId="4" fillId="5" borderId="42" xfId="0" applyFont="1" applyFill="1" applyBorder="1" applyAlignment="1">
      <alignment horizontal="left" vertical="top" wrapText="1"/>
    </xf>
    <xf numFmtId="3" fontId="1" fillId="0" borderId="41" xfId="0" applyNumberFormat="1" applyFont="1" applyBorder="1" applyAlignment="1">
      <alignment horizontal="center" vertical="center" textRotation="90" shrinkToFit="1"/>
    </xf>
    <xf numFmtId="3" fontId="1" fillId="0" borderId="48" xfId="0" applyNumberFormat="1" applyFont="1" applyBorder="1" applyAlignment="1">
      <alignment horizontal="center" vertical="center" textRotation="90" shrinkToFit="1"/>
    </xf>
    <xf numFmtId="3" fontId="1" fillId="0" borderId="56" xfId="0" applyNumberFormat="1" applyFont="1" applyBorder="1" applyAlignment="1">
      <alignment horizontal="center" vertical="center" textRotation="90" shrinkToFit="1"/>
    </xf>
    <xf numFmtId="3" fontId="1" fillId="0" borderId="39" xfId="0" applyNumberFormat="1" applyFont="1" applyBorder="1" applyAlignment="1">
      <alignment horizontal="center" vertical="center" textRotation="90" wrapText="1" shrinkToFit="1"/>
    </xf>
    <xf numFmtId="3" fontId="1" fillId="0" borderId="6" xfId="0" applyNumberFormat="1" applyFont="1" applyBorder="1" applyAlignment="1">
      <alignment horizontal="center" vertical="center" textRotation="90" wrapText="1" shrinkToFit="1"/>
    </xf>
    <xf numFmtId="3" fontId="1" fillId="0" borderId="66" xfId="0" applyNumberFormat="1" applyFont="1" applyBorder="1" applyAlignment="1">
      <alignment horizontal="center" vertical="center" textRotation="90" wrapText="1" shrinkToFit="1"/>
    </xf>
    <xf numFmtId="49" fontId="1" fillId="7" borderId="20" xfId="0" applyNumberFormat="1" applyFont="1" applyFill="1" applyBorder="1" applyAlignment="1">
      <alignment horizontal="center" vertical="center" textRotation="90" wrapText="1"/>
    </xf>
    <xf numFmtId="0" fontId="6" fillId="7" borderId="11" xfId="0" applyFont="1" applyFill="1" applyBorder="1" applyAlignment="1">
      <alignment horizontal="center" vertical="center" textRotation="90" wrapText="1"/>
    </xf>
    <xf numFmtId="0" fontId="6" fillId="7" borderId="28" xfId="0" applyFont="1" applyFill="1" applyBorder="1" applyAlignment="1">
      <alignment horizontal="center" vertical="center" textRotation="90" wrapText="1"/>
    </xf>
    <xf numFmtId="165" fontId="1" fillId="7" borderId="20" xfId="0" applyNumberFormat="1" applyFont="1" applyFill="1" applyBorder="1" applyAlignment="1">
      <alignment vertical="top" wrapText="1"/>
    </xf>
    <xf numFmtId="165" fontId="1" fillId="7" borderId="11" xfId="0" applyNumberFormat="1" applyFont="1" applyFill="1" applyBorder="1" applyAlignment="1">
      <alignment vertical="top" wrapText="1"/>
    </xf>
    <xf numFmtId="165" fontId="1" fillId="7" borderId="28" xfId="0" applyNumberFormat="1" applyFont="1" applyFill="1" applyBorder="1" applyAlignment="1">
      <alignment vertical="top" wrapText="1"/>
    </xf>
    <xf numFmtId="165" fontId="9" fillId="7" borderId="18" xfId="0" applyNumberFormat="1" applyFont="1" applyFill="1" applyBorder="1" applyAlignment="1">
      <alignment horizontal="center" vertical="top" wrapText="1"/>
    </xf>
    <xf numFmtId="165" fontId="9" fillId="7" borderId="27" xfId="0" applyNumberFormat="1" applyFont="1" applyFill="1" applyBorder="1" applyAlignment="1">
      <alignment horizontal="center" vertical="top" wrapText="1"/>
    </xf>
    <xf numFmtId="165" fontId="9" fillId="7" borderId="48" xfId="0" applyNumberFormat="1" applyFont="1" applyFill="1" applyBorder="1" applyAlignment="1">
      <alignment horizontal="center" vertical="top" wrapText="1"/>
    </xf>
    <xf numFmtId="165" fontId="9" fillId="7" borderId="35" xfId="0" applyNumberFormat="1" applyFont="1" applyFill="1" applyBorder="1" applyAlignment="1">
      <alignment horizontal="center" vertical="top" wrapText="1"/>
    </xf>
    <xf numFmtId="165" fontId="1" fillId="7" borderId="36"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165" fontId="6" fillId="7" borderId="35" xfId="0" applyNumberFormat="1" applyFont="1" applyFill="1" applyBorder="1" applyAlignment="1">
      <alignment horizontal="left" vertical="top" wrapText="1"/>
    </xf>
    <xf numFmtId="165" fontId="1" fillId="7" borderId="7" xfId="0" applyNumberFormat="1" applyFont="1" applyFill="1" applyBorder="1" applyAlignment="1">
      <alignment horizontal="left" vertical="top" wrapText="1"/>
    </xf>
    <xf numFmtId="0" fontId="6" fillId="7" borderId="29" xfId="0" applyFont="1" applyFill="1" applyBorder="1" applyAlignment="1">
      <alignment horizontal="left" vertical="top" wrapText="1"/>
    </xf>
    <xf numFmtId="165" fontId="2" fillId="9" borderId="7" xfId="0" applyNumberFormat="1" applyFont="1" applyFill="1" applyBorder="1" applyAlignment="1">
      <alignment horizontal="center" vertical="top"/>
    </xf>
    <xf numFmtId="165" fontId="2" fillId="2"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1" fillId="7" borderId="20"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2" fillId="2" borderId="48" xfId="0" applyNumberFormat="1" applyFont="1" applyFill="1" applyBorder="1" applyAlignment="1">
      <alignment horizontal="center" vertical="top"/>
    </xf>
    <xf numFmtId="0" fontId="1" fillId="7" borderId="36" xfId="0" applyFont="1" applyFill="1" applyBorder="1" applyAlignment="1">
      <alignment horizontal="left" vertical="top" wrapText="1"/>
    </xf>
    <xf numFmtId="0" fontId="6" fillId="7" borderId="79" xfId="0" applyFont="1" applyFill="1" applyBorder="1" applyAlignment="1">
      <alignment horizontal="left" vertical="top" wrapText="1"/>
    </xf>
    <xf numFmtId="165" fontId="5" fillId="7" borderId="0" xfId="0" applyNumberFormat="1" applyFont="1" applyFill="1" applyBorder="1" applyAlignment="1">
      <alignment horizontal="center" vertical="center" textRotation="90" wrapText="1"/>
    </xf>
    <xf numFmtId="165" fontId="5" fillId="7" borderId="75" xfId="0" applyNumberFormat="1" applyFont="1" applyFill="1" applyBorder="1" applyAlignment="1">
      <alignment horizontal="center" vertical="center" textRotation="90" wrapText="1"/>
    </xf>
    <xf numFmtId="165" fontId="1" fillId="7" borderId="11" xfId="0" applyNumberFormat="1" applyFont="1" applyFill="1" applyBorder="1" applyAlignment="1">
      <alignment horizontal="left" vertical="top" wrapText="1"/>
    </xf>
    <xf numFmtId="0" fontId="6" fillId="7" borderId="28" xfId="0" applyFont="1" applyFill="1" applyBorder="1" applyAlignment="1">
      <alignment horizontal="left" vertical="top" wrapText="1"/>
    </xf>
    <xf numFmtId="165" fontId="2" fillId="9" borderId="34" xfId="0" applyNumberFormat="1" applyFont="1" applyFill="1" applyBorder="1" applyAlignment="1">
      <alignment horizontal="center" vertical="top"/>
    </xf>
    <xf numFmtId="165" fontId="1" fillId="7" borderId="20" xfId="0" applyNumberFormat="1" applyFont="1" applyFill="1" applyBorder="1" applyAlignment="1">
      <alignment horizontal="center" vertical="center" textRotation="90" wrapText="1"/>
    </xf>
    <xf numFmtId="165" fontId="1" fillId="7" borderId="11" xfId="0" applyNumberFormat="1" applyFont="1" applyFill="1" applyBorder="1" applyAlignment="1">
      <alignment horizontal="center" vertical="center" textRotation="90" wrapText="1"/>
    </xf>
    <xf numFmtId="165" fontId="1" fillId="7" borderId="28" xfId="0" applyNumberFormat="1" applyFont="1" applyFill="1" applyBorder="1" applyAlignment="1">
      <alignment horizontal="center" vertical="center" textRotation="90" wrapText="1"/>
    </xf>
    <xf numFmtId="0" fontId="1" fillId="7" borderId="20" xfId="0" applyFont="1" applyFill="1" applyBorder="1" applyAlignment="1">
      <alignment vertical="top" wrapText="1"/>
    </xf>
    <xf numFmtId="0" fontId="6" fillId="7" borderId="11" xfId="0" applyFont="1" applyFill="1" applyBorder="1" applyAlignment="1">
      <alignment vertical="top" wrapText="1"/>
    </xf>
    <xf numFmtId="0" fontId="0" fillId="7" borderId="29" xfId="0" applyFill="1" applyBorder="1" applyAlignment="1">
      <alignment horizontal="left" vertical="top" wrapText="1"/>
    </xf>
    <xf numFmtId="165" fontId="6" fillId="7" borderId="28" xfId="0" applyNumberFormat="1" applyFont="1" applyFill="1" applyBorder="1" applyAlignment="1">
      <alignment horizontal="left" vertical="top" wrapText="1"/>
    </xf>
    <xf numFmtId="165" fontId="2" fillId="7" borderId="35" xfId="0" applyNumberFormat="1" applyFont="1" applyFill="1" applyBorder="1" applyAlignment="1">
      <alignment horizontal="center" vertical="top" wrapText="1"/>
    </xf>
    <xf numFmtId="0" fontId="1" fillId="7" borderId="29" xfId="0" applyFont="1" applyFill="1" applyBorder="1" applyAlignment="1">
      <alignment horizontal="left" vertical="top" wrapText="1"/>
    </xf>
    <xf numFmtId="165" fontId="2" fillId="7" borderId="48" xfId="0" applyNumberFormat="1" applyFont="1" applyFill="1" applyBorder="1" applyAlignment="1">
      <alignment horizontal="center" vertical="center" textRotation="90" wrapText="1"/>
    </xf>
    <xf numFmtId="0" fontId="6" fillId="7" borderId="48" xfId="0" applyFont="1" applyFill="1" applyBorder="1" applyAlignment="1">
      <alignment horizontal="center" vertical="center" textRotation="90" wrapText="1"/>
    </xf>
    <xf numFmtId="0" fontId="0" fillId="7" borderId="7" xfId="0" applyFill="1" applyBorder="1" applyAlignment="1">
      <alignment horizontal="left" vertical="top" wrapText="1"/>
    </xf>
    <xf numFmtId="0" fontId="1" fillId="0" borderId="0" xfId="0" applyFont="1" applyBorder="1" applyAlignment="1">
      <alignment vertical="top" wrapText="1"/>
    </xf>
    <xf numFmtId="0" fontId="0" fillId="0" borderId="0" xfId="0" applyFont="1" applyBorder="1" applyAlignment="1">
      <alignment vertical="top" wrapText="1"/>
    </xf>
    <xf numFmtId="165" fontId="1" fillId="7" borderId="35" xfId="0" applyNumberFormat="1" applyFont="1" applyFill="1" applyBorder="1" applyAlignment="1">
      <alignment horizontal="left" vertical="top" wrapText="1"/>
    </xf>
    <xf numFmtId="165" fontId="2" fillId="0" borderId="46" xfId="0" applyNumberFormat="1" applyFont="1" applyFill="1" applyBorder="1" applyAlignment="1">
      <alignment horizontal="center" vertical="top" wrapText="1"/>
    </xf>
    <xf numFmtId="165" fontId="2" fillId="0" borderId="48" xfId="0" applyNumberFormat="1" applyFont="1" applyFill="1" applyBorder="1" applyAlignment="1">
      <alignment horizontal="center" vertical="top" wrapText="1"/>
    </xf>
    <xf numFmtId="165" fontId="2" fillId="0" borderId="35" xfId="0" applyNumberFormat="1" applyFont="1" applyFill="1" applyBorder="1" applyAlignment="1">
      <alignment horizontal="center" vertical="top" wrapText="1"/>
    </xf>
    <xf numFmtId="0" fontId="1" fillId="7" borderId="20" xfId="0" applyFont="1" applyFill="1" applyBorder="1" applyAlignment="1">
      <alignment horizontal="left" vertical="top" wrapText="1"/>
    </xf>
    <xf numFmtId="0" fontId="1" fillId="7" borderId="28" xfId="0" applyFont="1" applyFill="1" applyBorder="1" applyAlignment="1">
      <alignment horizontal="left" vertical="top" wrapText="1"/>
    </xf>
    <xf numFmtId="165" fontId="1" fillId="7" borderId="29" xfId="0" applyNumberFormat="1" applyFont="1" applyFill="1" applyBorder="1" applyAlignment="1">
      <alignment horizontal="left" vertical="top" wrapText="1"/>
    </xf>
    <xf numFmtId="49" fontId="1" fillId="7" borderId="11" xfId="0" applyNumberFormat="1" applyFont="1" applyFill="1" applyBorder="1" applyAlignment="1">
      <alignment horizontal="center" vertical="center" textRotation="90"/>
    </xf>
    <xf numFmtId="49" fontId="1" fillId="7" borderId="130" xfId="0" applyNumberFormat="1" applyFont="1" applyFill="1" applyBorder="1" applyAlignment="1">
      <alignment horizontal="center" vertical="center" textRotation="90"/>
    </xf>
    <xf numFmtId="49" fontId="1" fillId="7" borderId="28" xfId="0" applyNumberFormat="1" applyFont="1" applyFill="1" applyBorder="1" applyAlignment="1">
      <alignment horizontal="center" vertical="center" textRotation="90"/>
    </xf>
    <xf numFmtId="0" fontId="6" fillId="7" borderId="28" xfId="0" applyFont="1" applyFill="1" applyBorder="1" applyAlignment="1">
      <alignment vertical="top" wrapText="1"/>
    </xf>
    <xf numFmtId="49" fontId="1" fillId="7" borderId="47" xfId="0" applyNumberFormat="1" applyFont="1" applyFill="1" applyBorder="1" applyAlignment="1">
      <alignment horizontal="left" vertical="top" wrapText="1"/>
    </xf>
    <xf numFmtId="0" fontId="6" fillId="7" borderId="19" xfId="0" applyFont="1" applyFill="1" applyBorder="1" applyAlignment="1">
      <alignment horizontal="left" vertical="top" wrapText="1"/>
    </xf>
    <xf numFmtId="165" fontId="2" fillId="0" borderId="21" xfId="0" applyNumberFormat="1" applyFont="1" applyFill="1" applyBorder="1" applyAlignment="1">
      <alignment horizontal="center" vertical="top" wrapText="1"/>
    </xf>
    <xf numFmtId="165" fontId="2" fillId="0" borderId="27" xfId="0" applyNumberFormat="1" applyFont="1" applyFill="1" applyBorder="1" applyAlignment="1">
      <alignment horizontal="center" vertical="top" wrapText="1"/>
    </xf>
    <xf numFmtId="165" fontId="2" fillId="7" borderId="48" xfId="0" applyNumberFormat="1" applyFont="1" applyFill="1" applyBorder="1" applyAlignment="1">
      <alignment horizontal="center" vertical="top" wrapText="1"/>
    </xf>
    <xf numFmtId="165" fontId="1" fillId="7" borderId="47" xfId="0" applyNumberFormat="1" applyFont="1" applyFill="1" applyBorder="1" applyAlignment="1">
      <alignment horizontal="left" vertical="top" wrapText="1"/>
    </xf>
    <xf numFmtId="165" fontId="6" fillId="7" borderId="29" xfId="0" applyNumberFormat="1" applyFont="1" applyFill="1" applyBorder="1" applyAlignment="1">
      <alignment horizontal="left" vertical="top" wrapText="1"/>
    </xf>
    <xf numFmtId="165" fontId="2" fillId="7" borderId="21"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1" fillId="7" borderId="48" xfId="0" applyNumberFormat="1" applyFont="1" applyFill="1" applyBorder="1" applyAlignment="1">
      <alignment vertical="top" wrapText="1"/>
    </xf>
    <xf numFmtId="165" fontId="1" fillId="3" borderId="20" xfId="0" applyNumberFormat="1" applyFont="1" applyFill="1" applyBorder="1" applyAlignment="1">
      <alignment vertical="top" wrapText="1"/>
    </xf>
    <xf numFmtId="165" fontId="1" fillId="3" borderId="11" xfId="0" applyNumberFormat="1" applyFont="1" applyFill="1" applyBorder="1" applyAlignment="1">
      <alignment vertical="top" wrapText="1"/>
    </xf>
    <xf numFmtId="0" fontId="6" fillId="0" borderId="28" xfId="0" applyFont="1" applyBorder="1" applyAlignment="1">
      <alignment vertical="top" wrapText="1"/>
    </xf>
    <xf numFmtId="165" fontId="1" fillId="7" borderId="21" xfId="0" applyNumberFormat="1" applyFont="1" applyFill="1" applyBorder="1" applyAlignment="1">
      <alignment horizontal="center" vertical="center" textRotation="90" wrapText="1"/>
    </xf>
    <xf numFmtId="165" fontId="1" fillId="7" borderId="18" xfId="0" applyNumberFormat="1" applyFont="1" applyFill="1" applyBorder="1" applyAlignment="1">
      <alignment horizontal="center" vertical="center" textRotation="90" wrapText="1"/>
    </xf>
    <xf numFmtId="165" fontId="1" fillId="7" borderId="27" xfId="0" applyNumberFormat="1" applyFont="1" applyFill="1" applyBorder="1" applyAlignment="1">
      <alignment horizontal="center" vertical="center" textRotation="90" wrapText="1"/>
    </xf>
    <xf numFmtId="49" fontId="1" fillId="7" borderId="100" xfId="0" applyNumberFormat="1" applyFont="1" applyFill="1" applyBorder="1" applyAlignment="1">
      <alignment vertical="top" wrapText="1"/>
    </xf>
    <xf numFmtId="165" fontId="1" fillId="7" borderId="34" xfId="0" applyNumberFormat="1" applyFont="1" applyFill="1" applyBorder="1" applyAlignment="1">
      <alignment horizontal="left" vertical="top" wrapText="1"/>
    </xf>
    <xf numFmtId="0" fontId="6" fillId="7" borderId="34" xfId="0" applyFont="1" applyFill="1" applyBorder="1" applyAlignment="1">
      <alignment horizontal="left" vertical="top" wrapText="1"/>
    </xf>
    <xf numFmtId="0" fontId="6" fillId="7" borderId="64" xfId="0" applyFont="1" applyFill="1" applyBorder="1" applyAlignment="1">
      <alignment horizontal="left" vertical="top" wrapText="1"/>
    </xf>
    <xf numFmtId="0" fontId="1" fillId="7" borderId="100" xfId="0" applyNumberFormat="1" applyFont="1" applyFill="1" applyBorder="1" applyAlignment="1">
      <alignment horizontal="left" vertical="top" wrapText="1"/>
    </xf>
    <xf numFmtId="0" fontId="6" fillId="7" borderId="80" xfId="0" applyFont="1" applyFill="1" applyBorder="1" applyAlignment="1">
      <alignment horizontal="left" vertical="top" wrapText="1"/>
    </xf>
    <xf numFmtId="0" fontId="1" fillId="7" borderId="116" xfId="0" applyFont="1" applyFill="1" applyBorder="1" applyAlignment="1">
      <alignment horizontal="left" vertical="top" wrapText="1"/>
    </xf>
    <xf numFmtId="0" fontId="6" fillId="7" borderId="91" xfId="0" applyFont="1" applyFill="1" applyBorder="1" applyAlignment="1">
      <alignment horizontal="left" vertical="top" wrapText="1"/>
    </xf>
    <xf numFmtId="165" fontId="2" fillId="2" borderId="74" xfId="0" applyNumberFormat="1" applyFont="1" applyFill="1" applyBorder="1" applyAlignment="1">
      <alignment horizontal="right" vertical="top"/>
    </xf>
    <xf numFmtId="165" fontId="2" fillId="2" borderId="70" xfId="0" applyNumberFormat="1" applyFont="1" applyFill="1" applyBorder="1" applyAlignment="1">
      <alignment horizontal="right" vertical="top"/>
    </xf>
    <xf numFmtId="165" fontId="2" fillId="2" borderId="4" xfId="0" applyNumberFormat="1" applyFont="1" applyFill="1" applyBorder="1" applyAlignment="1">
      <alignment horizontal="left" vertical="top"/>
    </xf>
    <xf numFmtId="165" fontId="2" fillId="2" borderId="25" xfId="0" applyNumberFormat="1" applyFont="1" applyFill="1" applyBorder="1" applyAlignment="1">
      <alignment horizontal="left" vertical="top"/>
    </xf>
    <xf numFmtId="165" fontId="2" fillId="2" borderId="74" xfId="0" applyNumberFormat="1" applyFont="1" applyFill="1" applyBorder="1" applyAlignment="1">
      <alignment horizontal="left" vertical="top"/>
    </xf>
    <xf numFmtId="165" fontId="2" fillId="2" borderId="76" xfId="0" applyNumberFormat="1" applyFont="1" applyFill="1" applyBorder="1" applyAlignment="1">
      <alignment horizontal="left" vertical="top"/>
    </xf>
    <xf numFmtId="165" fontId="1" fillId="7" borderId="90" xfId="0" applyNumberFormat="1" applyFont="1" applyFill="1" applyBorder="1" applyAlignment="1">
      <alignment horizontal="left" vertical="top" wrapText="1"/>
    </xf>
    <xf numFmtId="0" fontId="3" fillId="7" borderId="47" xfId="0" applyFont="1" applyFill="1" applyBorder="1" applyAlignment="1">
      <alignment horizontal="center" vertical="center" textRotation="90" wrapText="1"/>
    </xf>
    <xf numFmtId="0" fontId="3" fillId="7" borderId="19" xfId="0" applyFont="1" applyFill="1" applyBorder="1" applyAlignment="1">
      <alignment horizontal="center" vertical="center" textRotation="90" wrapText="1"/>
    </xf>
    <xf numFmtId="0" fontId="0" fillId="7" borderId="79" xfId="0" applyFill="1" applyBorder="1" applyAlignment="1">
      <alignment vertical="top" wrapText="1"/>
    </xf>
    <xf numFmtId="165" fontId="2" fillId="7" borderId="25" xfId="0" applyNumberFormat="1" applyFont="1" applyFill="1" applyBorder="1" applyAlignment="1">
      <alignment horizontal="left" vertical="top" wrapText="1"/>
    </xf>
    <xf numFmtId="165" fontId="2" fillId="7" borderId="11" xfId="0" applyNumberFormat="1" applyFont="1" applyFill="1" applyBorder="1" applyAlignment="1">
      <alignment horizontal="left" vertical="top" wrapText="1"/>
    </xf>
    <xf numFmtId="165" fontId="2" fillId="7" borderId="28" xfId="0" applyNumberFormat="1" applyFont="1" applyFill="1" applyBorder="1" applyAlignment="1">
      <alignment horizontal="left" vertical="top" wrapText="1"/>
    </xf>
    <xf numFmtId="165" fontId="9" fillId="7" borderId="26" xfId="0" applyNumberFormat="1" applyFont="1" applyFill="1" applyBorder="1" applyAlignment="1">
      <alignment horizontal="center" vertical="top" wrapText="1"/>
    </xf>
    <xf numFmtId="165" fontId="1" fillId="7" borderId="100" xfId="0" applyNumberFormat="1" applyFont="1" applyFill="1" applyBorder="1" applyAlignment="1">
      <alignment horizontal="left" vertical="top" wrapText="1"/>
    </xf>
    <xf numFmtId="165" fontId="1" fillId="7" borderId="80" xfId="0" applyNumberFormat="1" applyFont="1" applyFill="1" applyBorder="1" applyAlignment="1">
      <alignment horizontal="left" vertical="top" wrapText="1"/>
    </xf>
    <xf numFmtId="165" fontId="1" fillId="7" borderId="46" xfId="0" applyNumberFormat="1" applyFont="1" applyFill="1" applyBorder="1" applyAlignment="1">
      <alignment vertical="top" wrapText="1"/>
    </xf>
    <xf numFmtId="165" fontId="2" fillId="7" borderId="20" xfId="0" applyNumberFormat="1" applyFont="1" applyFill="1" applyBorder="1" applyAlignment="1">
      <alignment horizontal="center" vertical="top" wrapText="1"/>
    </xf>
    <xf numFmtId="165" fontId="2" fillId="7" borderId="11" xfId="0" applyNumberFormat="1" applyFont="1" applyFill="1" applyBorder="1" applyAlignment="1">
      <alignment horizontal="center" vertical="top" wrapText="1"/>
    </xf>
    <xf numFmtId="165" fontId="1" fillId="7" borderId="19" xfId="0" applyNumberFormat="1" applyFont="1" applyFill="1" applyBorder="1" applyAlignment="1">
      <alignment horizontal="left" vertical="top" wrapText="1"/>
    </xf>
    <xf numFmtId="49" fontId="1" fillId="7" borderId="48"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0" fillId="7" borderId="19" xfId="0" applyFill="1" applyBorder="1" applyAlignment="1">
      <alignment horizontal="left" vertical="top" wrapText="1"/>
    </xf>
    <xf numFmtId="165" fontId="1" fillId="7" borderId="8"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165" fontId="1" fillId="7" borderId="45" xfId="0" applyNumberFormat="1" applyFont="1" applyFill="1" applyBorder="1" applyAlignment="1">
      <alignment horizontal="left" vertical="top" wrapText="1"/>
    </xf>
    <xf numFmtId="165" fontId="2" fillId="7" borderId="28" xfId="0" applyNumberFormat="1" applyFont="1" applyFill="1" applyBorder="1" applyAlignment="1">
      <alignment horizontal="center" vertical="top" wrapText="1"/>
    </xf>
    <xf numFmtId="165" fontId="1" fillId="2" borderId="70" xfId="0" applyNumberFormat="1" applyFont="1" applyFill="1" applyBorder="1" applyAlignment="1">
      <alignment horizontal="center" vertical="top" wrapText="1"/>
    </xf>
    <xf numFmtId="165" fontId="1" fillId="2" borderId="71" xfId="0" applyNumberFormat="1" applyFont="1" applyFill="1" applyBorder="1" applyAlignment="1">
      <alignment horizontal="center" vertical="top" wrapText="1"/>
    </xf>
    <xf numFmtId="165" fontId="2" fillId="2" borderId="70" xfId="0" applyNumberFormat="1" applyFont="1" applyFill="1" applyBorder="1" applyAlignment="1">
      <alignment horizontal="left" vertical="top"/>
    </xf>
    <xf numFmtId="165" fontId="2" fillId="2" borderId="71" xfId="0" applyNumberFormat="1" applyFont="1" applyFill="1" applyBorder="1" applyAlignment="1">
      <alignment horizontal="left" vertical="top"/>
    </xf>
    <xf numFmtId="165" fontId="6" fillId="7" borderId="11"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165" fontId="1" fillId="0" borderId="0" xfId="0" applyNumberFormat="1" applyFont="1" applyBorder="1" applyAlignment="1">
      <alignment horizontal="left" vertical="top" wrapText="1"/>
    </xf>
    <xf numFmtId="0" fontId="1" fillId="0" borderId="0" xfId="0" applyFont="1" applyAlignment="1">
      <alignment horizontal="left" vertical="top" wrapText="1"/>
    </xf>
    <xf numFmtId="165" fontId="1" fillId="7" borderId="100" xfId="0" applyNumberFormat="1" applyFont="1" applyFill="1" applyBorder="1" applyAlignment="1">
      <alignment vertical="top" wrapText="1"/>
    </xf>
    <xf numFmtId="0" fontId="0" fillId="7" borderId="28" xfId="0" applyFill="1" applyBorder="1" applyAlignment="1">
      <alignment vertical="top" wrapText="1"/>
    </xf>
    <xf numFmtId="49" fontId="2" fillId="7" borderId="11" xfId="0" applyNumberFormat="1" applyFont="1" applyFill="1" applyBorder="1" applyAlignment="1">
      <alignment horizontal="center" vertical="top"/>
    </xf>
    <xf numFmtId="165" fontId="1" fillId="7" borderId="35" xfId="0" applyNumberFormat="1" applyFont="1" applyFill="1" applyBorder="1" applyAlignment="1">
      <alignment vertical="top" wrapText="1"/>
    </xf>
    <xf numFmtId="165" fontId="3" fillId="0" borderId="20" xfId="0" applyNumberFormat="1" applyFont="1" applyFill="1" applyBorder="1" applyAlignment="1">
      <alignment horizontal="center" vertical="top" wrapText="1"/>
    </xf>
    <xf numFmtId="165" fontId="3" fillId="0" borderId="28"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165" fontId="1" fillId="7" borderId="34" xfId="0" applyNumberFormat="1" applyFont="1" applyFill="1" applyBorder="1" applyAlignment="1">
      <alignment vertical="top" wrapText="1"/>
    </xf>
    <xf numFmtId="165" fontId="6" fillId="7" borderId="64" xfId="0" applyNumberFormat="1" applyFont="1" applyFill="1" applyBorder="1" applyAlignment="1">
      <alignment vertical="top" wrapText="1"/>
    </xf>
    <xf numFmtId="0" fontId="1" fillId="7" borderId="11" xfId="0" applyFont="1" applyFill="1" applyBorder="1" applyAlignment="1">
      <alignment horizontal="left" vertical="top" wrapText="1"/>
    </xf>
    <xf numFmtId="165" fontId="1" fillId="7" borderId="49" xfId="0" applyNumberFormat="1" applyFont="1" applyFill="1" applyBorder="1" applyAlignment="1">
      <alignment vertical="top" wrapText="1"/>
    </xf>
    <xf numFmtId="3" fontId="1" fillId="7" borderId="20" xfId="0" applyNumberFormat="1" applyFont="1" applyFill="1" applyBorder="1" applyAlignment="1">
      <alignment horizontal="center" vertical="top"/>
    </xf>
    <xf numFmtId="3" fontId="1" fillId="7" borderId="11"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1" fillId="7" borderId="48" xfId="0" applyNumberFormat="1" applyFont="1" applyFill="1" applyBorder="1" applyAlignment="1">
      <alignment horizontal="center" vertical="top"/>
    </xf>
    <xf numFmtId="0" fontId="1" fillId="7" borderId="36" xfId="0" applyFont="1" applyFill="1" applyBorder="1" applyAlignment="1">
      <alignment vertical="top" wrapText="1"/>
    </xf>
    <xf numFmtId="0" fontId="0" fillId="7" borderId="7" xfId="0" applyFill="1" applyBorder="1" applyAlignment="1">
      <alignment vertical="top" wrapText="1"/>
    </xf>
    <xf numFmtId="0" fontId="1" fillId="7" borderId="11" xfId="0" applyFont="1" applyFill="1" applyBorder="1" applyAlignment="1">
      <alignment vertical="top" wrapText="1"/>
    </xf>
    <xf numFmtId="0" fontId="1" fillId="7" borderId="28" xfId="0" applyFont="1" applyFill="1" applyBorder="1" applyAlignment="1">
      <alignment vertical="top" wrapText="1"/>
    </xf>
    <xf numFmtId="49" fontId="2" fillId="9" borderId="7" xfId="0" applyNumberFormat="1" applyFont="1" applyFill="1" applyBorder="1" applyAlignment="1">
      <alignment horizontal="center" vertical="top"/>
    </xf>
    <xf numFmtId="49" fontId="2" fillId="2" borderId="11" xfId="0" applyNumberFormat="1" applyFont="1" applyFill="1" applyBorder="1" applyAlignment="1">
      <alignment horizontal="center" vertical="top"/>
    </xf>
    <xf numFmtId="165" fontId="2" fillId="7" borderId="25" xfId="0" applyNumberFormat="1" applyFont="1" applyFill="1" applyBorder="1" applyAlignment="1">
      <alignment vertical="top" wrapText="1"/>
    </xf>
    <xf numFmtId="165" fontId="2" fillId="7" borderId="11" xfId="0" applyNumberFormat="1" applyFont="1" applyFill="1" applyBorder="1" applyAlignment="1">
      <alignment vertical="top" wrapText="1"/>
    </xf>
    <xf numFmtId="165" fontId="9" fillId="7" borderId="25" xfId="0" applyNumberFormat="1" applyFont="1" applyFill="1" applyBorder="1" applyAlignment="1">
      <alignment horizontal="center" vertical="top" wrapText="1"/>
    </xf>
    <xf numFmtId="165" fontId="9" fillId="7" borderId="11" xfId="0" applyNumberFormat="1" applyFont="1" applyFill="1" applyBorder="1" applyAlignment="1">
      <alignment horizontal="center" vertical="top" wrapText="1"/>
    </xf>
    <xf numFmtId="0" fontId="6" fillId="7" borderId="35" xfId="0" applyFont="1" applyFill="1" applyBorder="1" applyAlignment="1">
      <alignment vertical="top" wrapText="1"/>
    </xf>
    <xf numFmtId="165" fontId="9" fillId="7" borderId="20" xfId="0" applyNumberFormat="1" applyFont="1" applyFill="1" applyBorder="1" applyAlignment="1">
      <alignment horizontal="center" vertical="center" wrapText="1"/>
    </xf>
    <xf numFmtId="165" fontId="5" fillId="7" borderId="11" xfId="0" applyNumberFormat="1" applyFont="1" applyFill="1" applyBorder="1" applyAlignment="1">
      <alignment horizontal="center" vertical="center" wrapText="1"/>
    </xf>
    <xf numFmtId="0" fontId="28" fillId="7" borderId="28" xfId="0" applyFont="1" applyFill="1" applyBorder="1" applyAlignment="1">
      <alignment horizontal="center" vertical="center" wrapText="1"/>
    </xf>
    <xf numFmtId="165" fontId="1" fillId="7" borderId="64" xfId="0" applyNumberFormat="1" applyFont="1" applyFill="1" applyBorder="1" applyAlignment="1">
      <alignment horizontal="left" vertical="top" wrapText="1"/>
    </xf>
    <xf numFmtId="165" fontId="1" fillId="7" borderId="75" xfId="0" applyNumberFormat="1" applyFont="1" applyFill="1" applyBorder="1" applyAlignment="1">
      <alignment horizontal="left" vertical="top" wrapText="1"/>
    </xf>
    <xf numFmtId="165" fontId="1" fillId="7" borderId="53" xfId="0" applyNumberFormat="1" applyFont="1" applyFill="1" applyBorder="1" applyAlignment="1">
      <alignment horizontal="left" vertical="top" wrapText="1"/>
    </xf>
    <xf numFmtId="165" fontId="2" fillId="2" borderId="71" xfId="0" applyNumberFormat="1" applyFont="1" applyFill="1" applyBorder="1" applyAlignment="1">
      <alignment horizontal="right" vertical="top"/>
    </xf>
    <xf numFmtId="165" fontId="1" fillId="2" borderId="55" xfId="0" applyNumberFormat="1" applyFont="1" applyFill="1" applyBorder="1" applyAlignment="1">
      <alignment horizontal="center" vertical="top" wrapText="1"/>
    </xf>
    <xf numFmtId="165" fontId="2" fillId="9" borderId="74" xfId="0" applyNumberFormat="1" applyFont="1" applyFill="1" applyBorder="1" applyAlignment="1">
      <alignment horizontal="right" vertical="top"/>
    </xf>
    <xf numFmtId="165" fontId="2" fillId="9" borderId="70" xfId="0" applyNumberFormat="1" applyFont="1" applyFill="1" applyBorder="1" applyAlignment="1">
      <alignment horizontal="right" vertical="top"/>
    </xf>
    <xf numFmtId="165" fontId="2" fillId="9" borderId="71" xfId="0" applyNumberFormat="1" applyFont="1" applyFill="1" applyBorder="1" applyAlignment="1">
      <alignment horizontal="right" vertical="top"/>
    </xf>
    <xf numFmtId="165" fontId="1" fillId="9" borderId="70" xfId="0" applyNumberFormat="1" applyFont="1" applyFill="1" applyBorder="1" applyAlignment="1">
      <alignment horizontal="center" vertical="top"/>
    </xf>
    <xf numFmtId="165" fontId="1" fillId="9" borderId="71" xfId="0" applyNumberFormat="1" applyFont="1" applyFill="1" applyBorder="1" applyAlignment="1">
      <alignment horizontal="center" vertical="top"/>
    </xf>
    <xf numFmtId="165" fontId="2" fillId="5" borderId="74" xfId="0" applyNumberFormat="1" applyFont="1" applyFill="1" applyBorder="1" applyAlignment="1">
      <alignment horizontal="right" vertical="top"/>
    </xf>
    <xf numFmtId="165" fontId="2" fillId="5" borderId="70" xfId="0" applyNumberFormat="1" applyFont="1" applyFill="1" applyBorder="1" applyAlignment="1">
      <alignment horizontal="right" vertical="top"/>
    </xf>
    <xf numFmtId="165" fontId="2" fillId="5" borderId="71" xfId="0" applyNumberFormat="1" applyFont="1" applyFill="1" applyBorder="1" applyAlignment="1">
      <alignment horizontal="right" vertical="top"/>
    </xf>
    <xf numFmtId="165" fontId="1" fillId="5" borderId="70" xfId="0" applyNumberFormat="1" applyFont="1" applyFill="1" applyBorder="1" applyAlignment="1">
      <alignment horizontal="center" vertical="top"/>
    </xf>
    <xf numFmtId="165" fontId="1" fillId="5" borderId="71" xfId="0" applyNumberFormat="1" applyFont="1" applyFill="1" applyBorder="1" applyAlignment="1">
      <alignment horizontal="center" vertical="top"/>
    </xf>
    <xf numFmtId="165" fontId="2" fillId="7" borderId="20" xfId="0" applyNumberFormat="1" applyFont="1" applyFill="1" applyBorder="1" applyAlignment="1">
      <alignment horizontal="center" vertical="center" textRotation="90" wrapText="1"/>
    </xf>
    <xf numFmtId="165" fontId="1" fillId="0" borderId="67" xfId="0" applyNumberFormat="1" applyFont="1" applyBorder="1" applyAlignment="1">
      <alignment horizontal="left" vertical="top" wrapText="1"/>
    </xf>
    <xf numFmtId="165" fontId="1" fillId="0" borderId="62" xfId="0" applyNumberFormat="1" applyFont="1" applyBorder="1" applyAlignment="1">
      <alignment horizontal="left" vertical="top" wrapText="1"/>
    </xf>
    <xf numFmtId="165" fontId="1" fillId="0" borderId="42" xfId="0" applyNumberFormat="1" applyFont="1" applyBorder="1" applyAlignment="1">
      <alignment horizontal="left" vertical="top" wrapText="1"/>
    </xf>
    <xf numFmtId="0" fontId="1" fillId="3" borderId="64" xfId="0" applyFont="1" applyFill="1" applyBorder="1" applyAlignment="1">
      <alignment horizontal="left" vertical="top" wrapText="1"/>
    </xf>
    <xf numFmtId="0" fontId="1" fillId="3" borderId="75" xfId="0" applyFont="1" applyFill="1" applyBorder="1" applyAlignment="1">
      <alignment horizontal="left" vertical="top" wrapText="1"/>
    </xf>
    <xf numFmtId="0" fontId="1" fillId="3" borderId="53" xfId="0" applyFont="1" applyFill="1" applyBorder="1" applyAlignment="1">
      <alignment horizontal="left" vertical="top" wrapText="1"/>
    </xf>
    <xf numFmtId="165" fontId="2" fillId="4" borderId="72" xfId="0" applyNumberFormat="1" applyFont="1" applyFill="1" applyBorder="1" applyAlignment="1">
      <alignment horizontal="right" vertical="top" wrapText="1"/>
    </xf>
    <xf numFmtId="165" fontId="2" fillId="4" borderId="32" xfId="0" applyNumberFormat="1" applyFont="1" applyFill="1" applyBorder="1" applyAlignment="1">
      <alignment horizontal="right" vertical="top" wrapText="1"/>
    </xf>
    <xf numFmtId="165" fontId="2" fillId="4" borderId="33" xfId="0" applyNumberFormat="1" applyFont="1" applyFill="1" applyBorder="1" applyAlignment="1">
      <alignment horizontal="right" vertical="top" wrapText="1"/>
    </xf>
    <xf numFmtId="3" fontId="19" fillId="7" borderId="0" xfId="0" applyNumberFormat="1" applyFont="1" applyFill="1" applyAlignment="1">
      <alignment horizontal="left" vertical="top" wrapText="1"/>
    </xf>
    <xf numFmtId="165" fontId="1" fillId="8" borderId="67" xfId="0" applyNumberFormat="1" applyFont="1" applyFill="1" applyBorder="1" applyAlignment="1">
      <alignment horizontal="left" vertical="top" wrapText="1"/>
    </xf>
    <xf numFmtId="165" fontId="2" fillId="8" borderId="62" xfId="0" applyNumberFormat="1" applyFont="1" applyFill="1" applyBorder="1" applyAlignment="1">
      <alignment horizontal="left" vertical="top" wrapText="1"/>
    </xf>
    <xf numFmtId="165" fontId="2" fillId="8" borderId="42" xfId="0" applyNumberFormat="1" applyFont="1" applyFill="1" applyBorder="1" applyAlignment="1">
      <alignment horizontal="left" vertical="top" wrapText="1"/>
    </xf>
    <xf numFmtId="165" fontId="1" fillId="8" borderId="67" xfId="0" applyNumberFormat="1" applyFont="1" applyFill="1" applyBorder="1" applyAlignment="1">
      <alignment vertical="top" wrapText="1"/>
    </xf>
    <xf numFmtId="165" fontId="6" fillId="8" borderId="62" xfId="0" applyNumberFormat="1" applyFont="1" applyFill="1" applyBorder="1" applyAlignment="1">
      <alignment vertical="top" wrapText="1"/>
    </xf>
    <xf numFmtId="165" fontId="6" fillId="8" borderId="42" xfId="0" applyNumberFormat="1" applyFont="1" applyFill="1" applyBorder="1" applyAlignment="1">
      <alignment vertical="top" wrapText="1"/>
    </xf>
    <xf numFmtId="165" fontId="2" fillId="5" borderId="67" xfId="0" applyNumberFormat="1" applyFont="1" applyFill="1" applyBorder="1" applyAlignment="1">
      <alignment horizontal="right" vertical="top" wrapText="1"/>
    </xf>
    <xf numFmtId="165" fontId="2" fillId="5" borderId="62" xfId="0" applyNumberFormat="1" applyFont="1" applyFill="1" applyBorder="1" applyAlignment="1">
      <alignment horizontal="right" vertical="top" wrapText="1"/>
    </xf>
    <xf numFmtId="165" fontId="2" fillId="5" borderId="42" xfId="0" applyNumberFormat="1" applyFont="1" applyFill="1" applyBorder="1" applyAlignment="1">
      <alignment horizontal="right" vertical="top" wrapText="1"/>
    </xf>
    <xf numFmtId="165" fontId="1" fillId="3" borderId="64" xfId="0" applyNumberFormat="1" applyFont="1" applyFill="1" applyBorder="1" applyAlignment="1">
      <alignment horizontal="left" vertical="top" wrapText="1"/>
    </xf>
    <xf numFmtId="165" fontId="1" fillId="3" borderId="75" xfId="0" applyNumberFormat="1" applyFont="1" applyFill="1" applyBorder="1" applyAlignment="1">
      <alignment horizontal="left" vertical="top" wrapText="1"/>
    </xf>
    <xf numFmtId="165" fontId="1" fillId="3" borderId="53" xfId="0" applyNumberFormat="1" applyFont="1" applyFill="1" applyBorder="1" applyAlignment="1">
      <alignment horizontal="left" vertical="top" wrapText="1"/>
    </xf>
    <xf numFmtId="165" fontId="1" fillId="3" borderId="67" xfId="0" applyNumberFormat="1" applyFont="1" applyFill="1" applyBorder="1" applyAlignment="1">
      <alignment horizontal="left" vertical="top" wrapText="1"/>
    </xf>
    <xf numFmtId="165" fontId="1" fillId="3" borderId="62" xfId="0" applyNumberFormat="1" applyFont="1" applyFill="1" applyBorder="1" applyAlignment="1">
      <alignment horizontal="left" vertical="top" wrapText="1"/>
    </xf>
    <xf numFmtId="165" fontId="1" fillId="3" borderId="42" xfId="0" applyNumberFormat="1" applyFont="1" applyFill="1" applyBorder="1" applyAlignment="1">
      <alignment horizontal="left" vertical="top" wrapText="1"/>
    </xf>
    <xf numFmtId="165" fontId="1" fillId="7" borderId="62" xfId="0" applyNumberFormat="1" applyFont="1" applyFill="1" applyBorder="1" applyAlignment="1">
      <alignment horizontal="left" vertical="top" wrapText="1"/>
    </xf>
    <xf numFmtId="165" fontId="1" fillId="7" borderId="42" xfId="0" applyNumberFormat="1" applyFont="1" applyFill="1" applyBorder="1" applyAlignment="1">
      <alignment horizontal="left" vertical="top" wrapText="1"/>
    </xf>
    <xf numFmtId="165" fontId="1" fillId="8" borderId="62" xfId="0" applyNumberFormat="1" applyFont="1" applyFill="1" applyBorder="1" applyAlignment="1">
      <alignment horizontal="left" vertical="top" wrapText="1"/>
    </xf>
    <xf numFmtId="165" fontId="1" fillId="8" borderId="42" xfId="0" applyNumberFormat="1" applyFont="1" applyFill="1" applyBorder="1" applyAlignment="1">
      <alignment horizontal="left" vertical="top" wrapText="1"/>
    </xf>
    <xf numFmtId="165" fontId="2" fillId="8" borderId="67" xfId="0" applyNumberFormat="1" applyFont="1" applyFill="1" applyBorder="1" applyAlignment="1">
      <alignment horizontal="left" vertical="top" wrapText="1"/>
    </xf>
    <xf numFmtId="165" fontId="1" fillId="0" borderId="51" xfId="0" applyNumberFormat="1" applyFont="1" applyFill="1" applyBorder="1" applyAlignment="1">
      <alignment horizontal="left" vertical="top"/>
    </xf>
    <xf numFmtId="165" fontId="2" fillId="0" borderId="32" xfId="0" applyNumberFormat="1" applyFont="1" applyFill="1" applyBorder="1" applyAlignment="1">
      <alignment horizontal="center" vertical="top" wrapText="1"/>
    </xf>
    <xf numFmtId="3" fontId="2" fillId="0" borderId="55" xfId="0" applyNumberFormat="1" applyFont="1" applyBorder="1" applyAlignment="1">
      <alignment horizontal="center" vertical="center" wrapText="1"/>
    </xf>
    <xf numFmtId="3" fontId="2" fillId="0" borderId="70" xfId="0" applyNumberFormat="1" applyFont="1" applyBorder="1" applyAlignment="1">
      <alignment horizontal="center" vertical="center" wrapText="1"/>
    </xf>
    <xf numFmtId="3" fontId="2" fillId="0" borderId="71" xfId="0" applyNumberFormat="1" applyFont="1" applyBorder="1" applyAlignment="1">
      <alignment horizontal="center" vertical="center" wrapText="1"/>
    </xf>
    <xf numFmtId="165" fontId="2" fillId="5" borderId="68" xfId="0" applyNumberFormat="1" applyFont="1" applyFill="1" applyBorder="1" applyAlignment="1">
      <alignment horizontal="right" vertical="top" wrapText="1"/>
    </xf>
    <xf numFmtId="165" fontId="2" fillId="5" borderId="73" xfId="0" applyNumberFormat="1" applyFont="1" applyFill="1" applyBorder="1" applyAlignment="1">
      <alignment horizontal="right" vertical="top" wrapText="1"/>
    </xf>
    <xf numFmtId="165" fontId="2" fillId="5" borderId="69" xfId="0" applyNumberFormat="1" applyFont="1" applyFill="1" applyBorder="1" applyAlignment="1">
      <alignment horizontal="right" vertical="top" wrapText="1"/>
    </xf>
    <xf numFmtId="165" fontId="2" fillId="8" borderId="67" xfId="0" applyNumberFormat="1" applyFont="1" applyFill="1" applyBorder="1" applyAlignment="1">
      <alignment horizontal="right" vertical="top" wrapText="1"/>
    </xf>
    <xf numFmtId="165" fontId="6" fillId="8" borderId="62" xfId="0" applyNumberFormat="1" applyFont="1" applyFill="1" applyBorder="1" applyAlignment="1">
      <alignment horizontal="right" vertical="top" wrapText="1"/>
    </xf>
    <xf numFmtId="165" fontId="6" fillId="8" borderId="42" xfId="0" applyNumberFormat="1" applyFont="1" applyFill="1" applyBorder="1" applyAlignment="1">
      <alignment horizontal="right" vertical="top" wrapText="1"/>
    </xf>
    <xf numFmtId="165" fontId="11" fillId="7" borderId="20" xfId="0" applyNumberFormat="1" applyFont="1" applyFill="1" applyBorder="1" applyAlignment="1">
      <alignment horizontal="left" vertical="top" wrapText="1"/>
    </xf>
    <xf numFmtId="165" fontId="11" fillId="7" borderId="11" xfId="0" applyNumberFormat="1" applyFont="1" applyFill="1" applyBorder="1" applyAlignment="1">
      <alignment horizontal="left" vertical="top" wrapText="1"/>
    </xf>
    <xf numFmtId="165" fontId="11" fillId="7" borderId="28" xfId="0" applyNumberFormat="1" applyFont="1" applyFill="1" applyBorder="1" applyAlignment="1">
      <alignment horizontal="left" vertical="top" wrapText="1"/>
    </xf>
    <xf numFmtId="3" fontId="1" fillId="0" borderId="21" xfId="0" applyNumberFormat="1" applyFont="1" applyFill="1" applyBorder="1" applyAlignment="1">
      <alignment horizontal="left" vertical="top" wrapText="1"/>
    </xf>
    <xf numFmtId="3" fontId="1" fillId="0" borderId="27" xfId="0" applyNumberFormat="1" applyFont="1" applyFill="1" applyBorder="1" applyAlignment="1">
      <alignment horizontal="left" vertical="top" wrapText="1"/>
    </xf>
    <xf numFmtId="3" fontId="1" fillId="7" borderId="21" xfId="0" applyNumberFormat="1" applyFont="1" applyFill="1" applyBorder="1" applyAlignment="1">
      <alignment horizontal="left" vertical="top" wrapText="1"/>
    </xf>
    <xf numFmtId="0" fontId="0" fillId="0" borderId="27" xfId="0" applyBorder="1" applyAlignment="1">
      <alignment horizontal="left" vertical="top" wrapText="1"/>
    </xf>
    <xf numFmtId="165" fontId="1" fillId="7" borderId="26" xfId="0" applyNumberFormat="1" applyFont="1" applyFill="1" applyBorder="1" applyAlignment="1">
      <alignment horizontal="left" vertical="top" wrapText="1"/>
    </xf>
    <xf numFmtId="165" fontId="1" fillId="7" borderId="18" xfId="0" applyNumberFormat="1" applyFont="1" applyFill="1" applyBorder="1" applyAlignment="1">
      <alignment horizontal="left" vertical="top" wrapText="1"/>
    </xf>
    <xf numFmtId="165" fontId="1" fillId="7" borderId="27" xfId="0" applyNumberFormat="1" applyFont="1" applyFill="1" applyBorder="1" applyAlignment="1">
      <alignment horizontal="left" vertical="top" wrapText="1"/>
    </xf>
    <xf numFmtId="3" fontId="1" fillId="7" borderId="27" xfId="0" applyNumberFormat="1" applyFont="1" applyFill="1" applyBorder="1" applyAlignment="1">
      <alignment horizontal="left" vertical="top" wrapText="1"/>
    </xf>
    <xf numFmtId="3" fontId="5" fillId="7" borderId="21" xfId="0" applyNumberFormat="1" applyFont="1" applyFill="1" applyBorder="1" applyAlignment="1">
      <alignment horizontal="left" vertical="top" wrapText="1"/>
    </xf>
    <xf numFmtId="3" fontId="5" fillId="7" borderId="27" xfId="0" applyNumberFormat="1" applyFont="1" applyFill="1" applyBorder="1" applyAlignment="1">
      <alignment horizontal="left" vertical="top" wrapText="1"/>
    </xf>
    <xf numFmtId="3" fontId="1" fillId="7" borderId="103" xfId="0" applyNumberFormat="1" applyFont="1" applyFill="1" applyBorder="1" applyAlignment="1">
      <alignment horizontal="left" vertical="top" wrapText="1"/>
    </xf>
    <xf numFmtId="3" fontId="1" fillId="7" borderId="81" xfId="0" applyNumberFormat="1" applyFont="1" applyFill="1" applyBorder="1" applyAlignment="1">
      <alignment horizontal="left" vertical="top" wrapText="1"/>
    </xf>
    <xf numFmtId="0" fontId="0" fillId="7" borderId="7" xfId="0" applyFont="1" applyFill="1" applyBorder="1" applyAlignment="1">
      <alignment vertical="top" wrapText="1"/>
    </xf>
    <xf numFmtId="49" fontId="1" fillId="7" borderId="21" xfId="0" applyNumberFormat="1" applyFont="1" applyFill="1" applyBorder="1" applyAlignment="1">
      <alignment horizontal="left" vertical="top" wrapText="1"/>
    </xf>
    <xf numFmtId="49" fontId="1" fillId="7" borderId="18" xfId="0" applyNumberFormat="1" applyFont="1" applyFill="1" applyBorder="1" applyAlignment="1">
      <alignment horizontal="left" vertical="top" wrapText="1"/>
    </xf>
    <xf numFmtId="49" fontId="1" fillId="7" borderId="27" xfId="0" applyNumberFormat="1" applyFont="1" applyFill="1" applyBorder="1" applyAlignment="1">
      <alignment horizontal="left" vertical="top" wrapText="1"/>
    </xf>
    <xf numFmtId="49" fontId="11" fillId="7" borderId="100" xfId="0" applyNumberFormat="1" applyFont="1" applyFill="1" applyBorder="1" applyAlignment="1">
      <alignment horizontal="center" vertical="top"/>
    </xf>
    <xf numFmtId="49" fontId="11" fillId="7" borderId="28" xfId="0" applyNumberFormat="1" applyFont="1" applyFill="1" applyBorder="1" applyAlignment="1">
      <alignment horizontal="center" vertical="top"/>
    </xf>
    <xf numFmtId="49" fontId="1" fillId="0" borderId="48"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165" fontId="1" fillId="7" borderId="46" xfId="0" applyNumberFormat="1" applyFont="1" applyFill="1" applyBorder="1" applyAlignment="1">
      <alignment horizontal="center" vertical="center" textRotation="90" wrapText="1"/>
    </xf>
    <xf numFmtId="165" fontId="1" fillId="7" borderId="48" xfId="0" applyNumberFormat="1" applyFont="1" applyFill="1" applyBorder="1" applyAlignment="1">
      <alignment horizontal="center" vertical="center" textRotation="90" wrapText="1"/>
    </xf>
    <xf numFmtId="165" fontId="6" fillId="7" borderId="48" xfId="0" applyNumberFormat="1" applyFont="1" applyFill="1" applyBorder="1" applyAlignment="1">
      <alignment horizontal="center" vertical="center" textRotation="90" wrapText="1"/>
    </xf>
    <xf numFmtId="0" fontId="0" fillId="0" borderId="48" xfId="0" applyFont="1" applyBorder="1" applyAlignment="1">
      <alignment horizontal="center" vertical="center" textRotation="90" wrapText="1"/>
    </xf>
    <xf numFmtId="49" fontId="1" fillId="0" borderId="21" xfId="0" applyNumberFormat="1" applyFont="1" applyFill="1" applyBorder="1" applyAlignment="1">
      <alignment horizontal="center" vertical="top"/>
    </xf>
    <xf numFmtId="165" fontId="1" fillId="7" borderId="59" xfId="0" applyNumberFormat="1" applyFont="1" applyFill="1" applyBorder="1" applyAlignment="1">
      <alignment vertical="top" wrapText="1"/>
    </xf>
    <xf numFmtId="165" fontId="1" fillId="7" borderId="0" xfId="0" applyNumberFormat="1" applyFont="1" applyFill="1" applyBorder="1" applyAlignment="1">
      <alignment vertical="top" wrapText="1"/>
    </xf>
    <xf numFmtId="49" fontId="1" fillId="7" borderId="20" xfId="0" applyNumberFormat="1" applyFont="1" applyFill="1" applyBorder="1" applyAlignment="1">
      <alignment horizontal="center" vertical="top"/>
    </xf>
    <xf numFmtId="49" fontId="1" fillId="7" borderId="11" xfId="0" applyNumberFormat="1" applyFont="1" applyFill="1" applyBorder="1" applyAlignment="1">
      <alignment horizontal="center" vertical="top"/>
    </xf>
    <xf numFmtId="0" fontId="0" fillId="7" borderId="28" xfId="0" applyFont="1" applyFill="1" applyBorder="1" applyAlignment="1">
      <alignment vertical="top" wrapText="1"/>
    </xf>
    <xf numFmtId="165" fontId="1" fillId="7" borderId="49"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0" fontId="0" fillId="7" borderId="11" xfId="0" applyFont="1" applyFill="1" applyBorder="1" applyAlignment="1">
      <alignment vertical="top" wrapText="1"/>
    </xf>
    <xf numFmtId="49" fontId="11" fillId="7" borderId="21" xfId="0" applyNumberFormat="1" applyFont="1" applyFill="1" applyBorder="1" applyAlignment="1">
      <alignment horizontal="left" vertical="top" wrapText="1"/>
    </xf>
    <xf numFmtId="0" fontId="2" fillId="2" borderId="59" xfId="0" applyFont="1" applyFill="1" applyBorder="1" applyAlignment="1">
      <alignment horizontal="left" vertical="top" wrapText="1"/>
    </xf>
    <xf numFmtId="0" fontId="2" fillId="2" borderId="38" xfId="0" applyFont="1" applyFill="1" applyBorder="1" applyAlignment="1">
      <alignment horizontal="left" vertical="top" wrapText="1"/>
    </xf>
    <xf numFmtId="0" fontId="6" fillId="7" borderId="35" xfId="0" applyFont="1" applyFill="1" applyBorder="1" applyAlignment="1">
      <alignment horizontal="center" vertical="top" wrapText="1"/>
    </xf>
    <xf numFmtId="165" fontId="1" fillId="7" borderId="99" xfId="0" applyNumberFormat="1" applyFont="1" applyFill="1" applyBorder="1" applyAlignment="1">
      <alignment vertical="top" wrapText="1"/>
    </xf>
    <xf numFmtId="0" fontId="1" fillId="7" borderId="86" xfId="0" applyFont="1" applyFill="1" applyBorder="1" applyAlignment="1">
      <alignment vertical="top" wrapText="1"/>
    </xf>
    <xf numFmtId="165" fontId="11" fillId="0" borderId="11" xfId="0" applyNumberFormat="1" applyFont="1" applyFill="1" applyBorder="1" applyAlignment="1">
      <alignment horizontal="center" vertical="top"/>
    </xf>
    <xf numFmtId="0" fontId="1" fillId="7" borderId="21" xfId="0"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27" xfId="0" applyFont="1" applyFill="1" applyBorder="1" applyAlignment="1">
      <alignment horizontal="left" vertical="top" wrapText="1"/>
    </xf>
    <xf numFmtId="0" fontId="0" fillId="7" borderId="19" xfId="0" applyFont="1" applyFill="1" applyBorder="1" applyAlignment="1">
      <alignment horizontal="left" vertical="top" wrapText="1"/>
    </xf>
    <xf numFmtId="165" fontId="1" fillId="9" borderId="55" xfId="0" applyNumberFormat="1" applyFont="1" applyFill="1" applyBorder="1" applyAlignment="1">
      <alignment horizontal="center" vertical="top"/>
    </xf>
    <xf numFmtId="165" fontId="1" fillId="5" borderId="55" xfId="0" applyNumberFormat="1" applyFont="1" applyFill="1" applyBorder="1" applyAlignment="1">
      <alignment horizontal="center" vertical="top"/>
    </xf>
    <xf numFmtId="165" fontId="2" fillId="7" borderId="20" xfId="0" applyNumberFormat="1" applyFont="1" applyFill="1" applyBorder="1" applyAlignment="1">
      <alignment horizontal="center" vertical="center" wrapText="1"/>
    </xf>
    <xf numFmtId="165" fontId="1" fillId="7" borderId="28" xfId="0" applyNumberFormat="1" applyFont="1" applyFill="1" applyBorder="1" applyAlignment="1">
      <alignment horizontal="center" vertical="center" wrapText="1"/>
    </xf>
    <xf numFmtId="0" fontId="1" fillId="7" borderId="25" xfId="0" applyFont="1" applyFill="1" applyBorder="1" applyAlignment="1">
      <alignment horizontal="center" vertical="center" textRotation="90" wrapText="1" shrinkToFit="1"/>
    </xf>
    <xf numFmtId="0" fontId="1" fillId="7" borderId="11" xfId="0" applyFont="1" applyFill="1" applyBorder="1" applyAlignment="1">
      <alignment horizontal="center" vertical="center" textRotation="90" wrapText="1" shrinkToFit="1"/>
    </xf>
    <xf numFmtId="0" fontId="1" fillId="7" borderId="30" xfId="0" applyFont="1" applyFill="1" applyBorder="1" applyAlignment="1">
      <alignment horizontal="center" vertical="center" textRotation="90" wrapText="1" shrinkToFit="1"/>
    </xf>
    <xf numFmtId="165" fontId="1" fillId="7" borderId="20"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0" fontId="0" fillId="0" borderId="62" xfId="0" applyFont="1" applyBorder="1" applyAlignment="1">
      <alignment horizontal="left" vertical="top" wrapText="1"/>
    </xf>
    <xf numFmtId="0" fontId="0" fillId="0" borderId="42" xfId="0" applyFont="1" applyBorder="1" applyAlignment="1">
      <alignment horizontal="left" vertical="top" wrapText="1"/>
    </xf>
    <xf numFmtId="165" fontId="6" fillId="7" borderId="75" xfId="0" applyNumberFormat="1" applyFont="1" applyFill="1" applyBorder="1" applyAlignment="1">
      <alignment vertical="top" wrapText="1"/>
    </xf>
    <xf numFmtId="0" fontId="0" fillId="7" borderId="79" xfId="0" applyFont="1" applyFill="1" applyBorder="1" applyAlignment="1">
      <alignment vertical="top" wrapText="1"/>
    </xf>
    <xf numFmtId="0" fontId="1" fillId="0" borderId="83" xfId="0" applyNumberFormat="1" applyFont="1" applyFill="1" applyBorder="1" applyAlignment="1">
      <alignment horizontal="left" vertical="top" wrapText="1"/>
    </xf>
    <xf numFmtId="0" fontId="1" fillId="7" borderId="99" xfId="0" applyFont="1" applyFill="1" applyBorder="1" applyAlignment="1">
      <alignment horizontal="left" vertical="top" wrapText="1"/>
    </xf>
    <xf numFmtId="0" fontId="1" fillId="7" borderId="7" xfId="0" applyFont="1" applyFill="1" applyBorder="1" applyAlignment="1">
      <alignment horizontal="left" vertical="top" wrapText="1"/>
    </xf>
    <xf numFmtId="3" fontId="1" fillId="7" borderId="18" xfId="0" applyNumberFormat="1" applyFont="1" applyFill="1" applyBorder="1" applyAlignment="1">
      <alignment horizontal="left" vertical="top" wrapText="1"/>
    </xf>
    <xf numFmtId="0" fontId="1" fillId="7" borderId="83" xfId="0" applyNumberFormat="1" applyFont="1" applyFill="1" applyBorder="1" applyAlignment="1">
      <alignment horizontal="left" vertical="top" wrapText="1"/>
    </xf>
    <xf numFmtId="0" fontId="1" fillId="7" borderId="79" xfId="0" applyFont="1" applyFill="1" applyBorder="1" applyAlignment="1">
      <alignment horizontal="left" vertical="top" wrapText="1"/>
    </xf>
    <xf numFmtId="165" fontId="1" fillId="7" borderId="116" xfId="0" applyNumberFormat="1" applyFont="1" applyFill="1" applyBorder="1" applyAlignment="1">
      <alignment horizontal="left" vertical="top" wrapText="1"/>
    </xf>
    <xf numFmtId="0" fontId="6" fillId="7" borderId="47" xfId="0" applyFont="1" applyFill="1" applyBorder="1" applyAlignment="1">
      <alignment horizontal="left" vertical="top" wrapText="1"/>
    </xf>
    <xf numFmtId="49" fontId="1" fillId="7" borderId="100" xfId="0" applyNumberFormat="1" applyFont="1" applyFill="1" applyBorder="1" applyAlignment="1">
      <alignment horizontal="center" vertical="center" textRotation="90"/>
    </xf>
    <xf numFmtId="49" fontId="1" fillId="7" borderId="80" xfId="0" applyNumberFormat="1" applyFont="1" applyFill="1" applyBorder="1" applyAlignment="1">
      <alignment horizontal="center" vertical="center" textRotation="90"/>
    </xf>
    <xf numFmtId="49" fontId="1" fillId="7" borderId="7" xfId="0" applyNumberFormat="1"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7" xfId="0" applyFont="1" applyFill="1" applyBorder="1" applyAlignment="1">
      <alignment horizontal="left" vertical="top" wrapText="1"/>
    </xf>
    <xf numFmtId="0" fontId="1" fillId="7" borderId="28" xfId="0" applyNumberFormat="1" applyFont="1" applyFill="1" applyBorder="1" applyAlignment="1">
      <alignment horizontal="left" vertical="top" wrapText="1"/>
    </xf>
    <xf numFmtId="165" fontId="1" fillId="0" borderId="5" xfId="0" applyNumberFormat="1" applyFont="1" applyBorder="1" applyAlignment="1">
      <alignment horizontal="center" vertical="center" textRotation="90" wrapText="1"/>
    </xf>
    <xf numFmtId="165" fontId="1" fillId="0" borderId="7" xfId="0" applyNumberFormat="1" applyFont="1" applyBorder="1" applyAlignment="1">
      <alignment horizontal="center" vertical="center" textRotation="90" wrapText="1"/>
    </xf>
    <xf numFmtId="165" fontId="1" fillId="0" borderId="9" xfId="0" applyNumberFormat="1"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 fillId="0" borderId="37" xfId="0" applyFont="1" applyBorder="1" applyAlignment="1">
      <alignment horizontal="center" vertical="center"/>
    </xf>
    <xf numFmtId="0" fontId="2" fillId="0" borderId="26" xfId="0" applyFont="1" applyBorder="1" applyAlignment="1">
      <alignment horizontal="center" vertical="center" textRotation="90" shrinkToFit="1"/>
    </xf>
    <xf numFmtId="0" fontId="2" fillId="0" borderId="18" xfId="0" applyFont="1" applyBorder="1" applyAlignment="1">
      <alignment horizontal="center" vertical="center" textRotation="90" shrinkToFit="1"/>
    </xf>
    <xf numFmtId="0" fontId="2" fillId="0" borderId="31" xfId="0" applyFont="1" applyBorder="1" applyAlignment="1">
      <alignment horizontal="center" vertical="center" textRotation="90" shrinkToFit="1"/>
    </xf>
    <xf numFmtId="0" fontId="2" fillId="0" borderId="60" xfId="0" applyFont="1" applyBorder="1" applyAlignment="1">
      <alignment horizontal="center" vertical="center"/>
    </xf>
    <xf numFmtId="0" fontId="1" fillId="7" borderId="17" xfId="0" applyFont="1" applyFill="1" applyBorder="1" applyAlignment="1">
      <alignment horizontal="left" vertical="top" wrapText="1"/>
    </xf>
    <xf numFmtId="0" fontId="1" fillId="7" borderId="1" xfId="0" applyFont="1" applyFill="1" applyBorder="1" applyAlignment="1">
      <alignment horizontal="left" vertical="top" wrapText="1"/>
    </xf>
    <xf numFmtId="165" fontId="1" fillId="7" borderId="103" xfId="0" applyNumberFormat="1" applyFont="1" applyFill="1" applyBorder="1" applyAlignment="1">
      <alignment horizontal="left" vertical="top" wrapText="1"/>
    </xf>
    <xf numFmtId="49" fontId="1" fillId="7" borderId="103" xfId="0" applyNumberFormat="1" applyFont="1" applyFill="1" applyBorder="1" applyAlignment="1">
      <alignment horizontal="left" vertical="top" wrapText="1"/>
    </xf>
    <xf numFmtId="0" fontId="0" fillId="7" borderId="27" xfId="0" applyFill="1" applyBorder="1" applyAlignment="1">
      <alignment horizontal="left" vertical="top" wrapText="1"/>
    </xf>
    <xf numFmtId="0" fontId="0" fillId="0" borderId="11" xfId="0" applyFont="1" applyBorder="1" applyAlignment="1">
      <alignment horizontal="center" vertical="center" textRotation="90" wrapText="1"/>
    </xf>
    <xf numFmtId="0" fontId="1" fillId="7" borderId="116" xfId="0" applyFont="1" applyFill="1" applyBorder="1" applyAlignment="1">
      <alignment vertical="top" wrapText="1"/>
    </xf>
    <xf numFmtId="0" fontId="0" fillId="7" borderId="91" xfId="0" applyFont="1" applyFill="1" applyBorder="1" applyAlignment="1">
      <alignment vertical="top" wrapText="1"/>
    </xf>
    <xf numFmtId="165" fontId="6" fillId="7" borderId="19" xfId="0" applyNumberFormat="1" applyFont="1" applyFill="1" applyBorder="1" applyAlignment="1">
      <alignment horizontal="left" vertical="top" wrapText="1"/>
    </xf>
    <xf numFmtId="0" fontId="1" fillId="7" borderId="45" xfId="0" applyFont="1" applyFill="1" applyBorder="1" applyAlignment="1">
      <alignment horizontal="left" vertical="top" wrapText="1"/>
    </xf>
    <xf numFmtId="0" fontId="1" fillId="7" borderId="19" xfId="0" applyFont="1" applyFill="1" applyBorder="1" applyAlignment="1">
      <alignment horizontal="left" vertical="top" wrapText="1"/>
    </xf>
    <xf numFmtId="3" fontId="1" fillId="7" borderId="18" xfId="0" applyNumberFormat="1" applyFont="1" applyFill="1" applyBorder="1" applyAlignment="1">
      <alignment horizontal="left" vertical="top"/>
    </xf>
    <xf numFmtId="0" fontId="0" fillId="7" borderId="47" xfId="0" applyFont="1" applyFill="1" applyBorder="1" applyAlignment="1">
      <alignment horizontal="left" vertical="top" wrapText="1"/>
    </xf>
    <xf numFmtId="165" fontId="1" fillId="7" borderId="118" xfId="0" applyNumberFormat="1" applyFont="1" applyFill="1" applyBorder="1" applyAlignment="1">
      <alignment vertical="top" wrapText="1"/>
    </xf>
    <xf numFmtId="0" fontId="11" fillId="7" borderId="100" xfId="0" applyFont="1" applyFill="1" applyBorder="1" applyAlignment="1">
      <alignment horizontal="left" vertical="top" wrapText="1"/>
    </xf>
    <xf numFmtId="0" fontId="11" fillId="7" borderId="28" xfId="0" applyFont="1" applyFill="1" applyBorder="1" applyAlignment="1">
      <alignment horizontal="left" vertical="top" wrapText="1"/>
    </xf>
    <xf numFmtId="165" fontId="11" fillId="7" borderId="99" xfId="0" applyNumberFormat="1" applyFont="1" applyFill="1" applyBorder="1" applyAlignment="1">
      <alignment horizontal="left" vertical="top" wrapText="1"/>
    </xf>
    <xf numFmtId="165" fontId="11" fillId="7" borderId="29" xfId="0" applyNumberFormat="1" applyFont="1" applyFill="1" applyBorder="1" applyAlignment="1">
      <alignment horizontal="left" vertical="top" wrapText="1"/>
    </xf>
    <xf numFmtId="0" fontId="1" fillId="0" borderId="34" xfId="0" applyFont="1" applyBorder="1" applyAlignment="1">
      <alignment horizontal="left" vertical="top" wrapText="1"/>
    </xf>
    <xf numFmtId="49" fontId="2" fillId="8" borderId="11" xfId="0" applyNumberFormat="1" applyFont="1" applyFill="1" applyBorder="1" applyAlignment="1">
      <alignment horizontal="center" vertical="top"/>
    </xf>
    <xf numFmtId="49" fontId="2" fillId="0" borderId="20" xfId="0" applyNumberFormat="1" applyFont="1" applyBorder="1" applyAlignment="1">
      <alignment horizontal="center" vertical="top"/>
    </xf>
    <xf numFmtId="49" fontId="2" fillId="0" borderId="28" xfId="0" applyNumberFormat="1" applyFont="1" applyBorder="1" applyAlignment="1">
      <alignment horizontal="center" vertical="top"/>
    </xf>
    <xf numFmtId="165" fontId="11" fillId="7" borderId="20" xfId="0" applyNumberFormat="1" applyFont="1" applyFill="1" applyBorder="1" applyAlignment="1">
      <alignment vertical="top" wrapText="1"/>
    </xf>
    <xf numFmtId="165" fontId="11" fillId="7" borderId="28" xfId="0" applyNumberFormat="1" applyFont="1" applyFill="1" applyBorder="1" applyAlignment="1">
      <alignment vertical="top" wrapText="1"/>
    </xf>
    <xf numFmtId="165" fontId="1" fillId="11" borderId="20" xfId="0" applyNumberFormat="1" applyFont="1" applyFill="1" applyBorder="1" applyAlignment="1">
      <alignment horizontal="center" vertical="center" textRotation="90" wrapText="1"/>
    </xf>
    <xf numFmtId="165" fontId="1" fillId="11" borderId="28" xfId="0" applyNumberFormat="1" applyFont="1" applyFill="1" applyBorder="1" applyAlignment="1">
      <alignment horizontal="center" vertical="center" textRotation="90" wrapText="1"/>
    </xf>
    <xf numFmtId="165" fontId="1" fillId="7" borderId="21" xfId="0" applyNumberFormat="1" applyFont="1" applyFill="1" applyBorder="1" applyAlignment="1">
      <alignment horizontal="center" vertical="top" wrapText="1"/>
    </xf>
    <xf numFmtId="165" fontId="1" fillId="7" borderId="27" xfId="0" applyNumberFormat="1" applyFont="1" applyFill="1" applyBorder="1" applyAlignment="1">
      <alignment horizontal="center" vertical="top" wrapText="1"/>
    </xf>
    <xf numFmtId="0" fontId="1" fillId="0" borderId="34" xfId="0" applyFont="1" applyBorder="1" applyAlignment="1">
      <alignment horizontal="center" vertical="top" wrapText="1"/>
    </xf>
    <xf numFmtId="165" fontId="1" fillId="7" borderId="18" xfId="0" applyNumberFormat="1" applyFont="1" applyFill="1" applyBorder="1" applyAlignment="1">
      <alignment horizontal="center" vertical="top" wrapText="1"/>
    </xf>
    <xf numFmtId="49" fontId="2" fillId="0" borderId="11" xfId="0" applyNumberFormat="1" applyFont="1" applyBorder="1" applyAlignment="1">
      <alignment horizontal="center" vertical="top"/>
    </xf>
    <xf numFmtId="165" fontId="1" fillId="10" borderId="46" xfId="0" applyNumberFormat="1" applyFont="1" applyFill="1" applyBorder="1" applyAlignment="1">
      <alignment vertical="top" wrapText="1"/>
    </xf>
    <xf numFmtId="165" fontId="1" fillId="10" borderId="48" xfId="0" applyNumberFormat="1" applyFont="1" applyFill="1" applyBorder="1" applyAlignment="1">
      <alignment vertical="top" wrapText="1"/>
    </xf>
    <xf numFmtId="0" fontId="6" fillId="10" borderId="48" xfId="0" applyFont="1" applyFill="1" applyBorder="1" applyAlignment="1">
      <alignment vertical="top" wrapText="1"/>
    </xf>
    <xf numFmtId="0" fontId="6" fillId="10" borderId="94" xfId="0" applyFont="1" applyFill="1" applyBorder="1" applyAlignment="1">
      <alignment vertical="top" wrapText="1"/>
    </xf>
    <xf numFmtId="0" fontId="1" fillId="10" borderId="11" xfId="0" applyFont="1" applyFill="1" applyBorder="1" applyAlignment="1">
      <alignment vertical="top" wrapText="1"/>
    </xf>
    <xf numFmtId="0" fontId="1" fillId="10" borderId="28" xfId="0" applyFont="1" applyFill="1" applyBorder="1" applyAlignment="1">
      <alignment vertical="top" wrapText="1"/>
    </xf>
    <xf numFmtId="0" fontId="0" fillId="0" borderId="29" xfId="0" applyFont="1" applyBorder="1" applyAlignment="1">
      <alignment horizontal="left" vertical="top" wrapText="1"/>
    </xf>
    <xf numFmtId="0" fontId="1" fillId="0" borderId="34" xfId="0" applyFont="1" applyBorder="1" applyAlignment="1">
      <alignment vertical="top" wrapText="1"/>
    </xf>
    <xf numFmtId="0" fontId="0" fillId="0" borderId="34" xfId="0" applyFont="1" applyBorder="1" applyAlignment="1">
      <alignment vertical="top" wrapText="1"/>
    </xf>
    <xf numFmtId="0" fontId="6" fillId="0" borderId="19" xfId="0" applyFont="1" applyBorder="1" applyAlignment="1">
      <alignment horizontal="left" vertical="top" wrapText="1"/>
    </xf>
    <xf numFmtId="0" fontId="6" fillId="0" borderId="79" xfId="0" applyFont="1" applyBorder="1" applyAlignment="1">
      <alignment horizontal="left" vertical="top" wrapText="1"/>
    </xf>
    <xf numFmtId="0" fontId="6" fillId="0" borderId="18" xfId="0" applyFont="1" applyBorder="1" applyAlignment="1">
      <alignment horizontal="center" vertical="top" wrapText="1"/>
    </xf>
    <xf numFmtId="165" fontId="2" fillId="0" borderId="11" xfId="0" applyNumberFormat="1" applyFont="1" applyFill="1" applyBorder="1" applyAlignment="1">
      <alignment horizontal="center" vertical="top" wrapText="1"/>
    </xf>
    <xf numFmtId="0" fontId="6" fillId="0" borderId="11" xfId="0" applyFont="1" applyBorder="1" applyAlignment="1">
      <alignment vertical="top" wrapText="1"/>
    </xf>
    <xf numFmtId="165" fontId="1" fillId="7" borderId="21" xfId="0" applyNumberFormat="1" applyFont="1" applyFill="1" applyBorder="1" applyAlignment="1">
      <alignment horizontal="center" wrapText="1"/>
    </xf>
    <xf numFmtId="165" fontId="1" fillId="7" borderId="18" xfId="0" applyNumberFormat="1" applyFont="1" applyFill="1" applyBorder="1" applyAlignment="1">
      <alignment horizontal="center" wrapText="1"/>
    </xf>
    <xf numFmtId="165" fontId="1" fillId="7" borderId="7" xfId="0" applyNumberFormat="1" applyFont="1" applyFill="1" applyBorder="1" applyAlignment="1">
      <alignment vertical="top" wrapText="1"/>
    </xf>
    <xf numFmtId="0" fontId="1" fillId="7" borderId="7" xfId="0" applyFont="1" applyFill="1" applyBorder="1" applyAlignment="1">
      <alignment vertical="top" wrapText="1"/>
    </xf>
    <xf numFmtId="0" fontId="0" fillId="0" borderId="7" xfId="0" applyFont="1" applyBorder="1" applyAlignment="1">
      <alignment horizontal="left" vertical="top" wrapText="1"/>
    </xf>
    <xf numFmtId="165" fontId="1" fillId="10" borderId="20" xfId="0" applyNumberFormat="1" applyFont="1" applyFill="1" applyBorder="1" applyAlignment="1">
      <alignment vertical="top" wrapText="1"/>
    </xf>
    <xf numFmtId="165" fontId="1" fillId="10" borderId="11" xfId="0" applyNumberFormat="1" applyFont="1" applyFill="1" applyBorder="1" applyAlignment="1">
      <alignment vertical="top" wrapText="1"/>
    </xf>
    <xf numFmtId="165" fontId="1" fillId="10" borderId="46" xfId="0" applyNumberFormat="1" applyFont="1" applyFill="1" applyBorder="1" applyAlignment="1">
      <alignment horizontal="left" vertical="top" wrapText="1"/>
    </xf>
    <xf numFmtId="165" fontId="1" fillId="10" borderId="48" xfId="0" applyNumberFormat="1" applyFont="1" applyFill="1" applyBorder="1" applyAlignment="1">
      <alignment horizontal="left" vertical="top" wrapText="1"/>
    </xf>
    <xf numFmtId="165" fontId="2" fillId="7" borderId="11" xfId="0" applyNumberFormat="1" applyFont="1" applyFill="1" applyBorder="1" applyAlignment="1">
      <alignment horizontal="center" vertical="center" textRotation="90" wrapText="1"/>
    </xf>
    <xf numFmtId="0" fontId="6" fillId="0" borderId="11" xfId="0" applyFont="1" applyBorder="1" applyAlignment="1">
      <alignment horizontal="center" vertical="center" textRotation="90" wrapText="1"/>
    </xf>
    <xf numFmtId="0" fontId="0" fillId="0" borderId="18" xfId="0" applyFont="1" applyBorder="1" applyAlignment="1">
      <alignment horizontal="center" vertical="top" wrapText="1"/>
    </xf>
    <xf numFmtId="165" fontId="1" fillId="10" borderId="20" xfId="0" applyNumberFormat="1" applyFont="1" applyFill="1" applyBorder="1" applyAlignment="1">
      <alignment horizontal="left" vertical="top" wrapText="1"/>
    </xf>
    <xf numFmtId="0" fontId="6" fillId="10" borderId="11" xfId="0" applyFont="1" applyFill="1" applyBorder="1" applyAlignment="1">
      <alignment horizontal="left" vertical="top" wrapText="1"/>
    </xf>
    <xf numFmtId="165" fontId="1" fillId="7" borderId="21"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165" fontId="6" fillId="7" borderId="18" xfId="0" applyNumberFormat="1" applyFont="1" applyFill="1" applyBorder="1" applyAlignment="1">
      <alignment horizontal="center" vertical="top" wrapText="1"/>
    </xf>
    <xf numFmtId="0" fontId="0" fillId="0" borderId="18" xfId="0" applyFont="1" applyBorder="1" applyAlignment="1">
      <alignment horizontal="center" wrapText="1"/>
    </xf>
    <xf numFmtId="165" fontId="1" fillId="10" borderId="28" xfId="0" applyNumberFormat="1" applyFont="1" applyFill="1" applyBorder="1" applyAlignment="1">
      <alignment vertical="top" wrapText="1"/>
    </xf>
    <xf numFmtId="165" fontId="5" fillId="10" borderId="20" xfId="0" applyNumberFormat="1" applyFont="1" applyFill="1" applyBorder="1" applyAlignment="1">
      <alignment horizontal="center" vertical="center" textRotation="90" wrapText="1"/>
    </xf>
    <xf numFmtId="165" fontId="5" fillId="10" borderId="28" xfId="0" applyNumberFormat="1" applyFont="1" applyFill="1" applyBorder="1" applyAlignment="1">
      <alignment horizontal="center" vertical="center" textRotation="90" wrapText="1"/>
    </xf>
    <xf numFmtId="165" fontId="1" fillId="10" borderId="11" xfId="0" applyNumberFormat="1" applyFont="1" applyFill="1" applyBorder="1" applyAlignment="1">
      <alignment horizontal="left" vertical="top" wrapText="1"/>
    </xf>
    <xf numFmtId="165" fontId="1" fillId="10" borderId="28" xfId="0" applyNumberFormat="1" applyFont="1" applyFill="1" applyBorder="1" applyAlignment="1">
      <alignment horizontal="left" vertical="top" wrapText="1"/>
    </xf>
    <xf numFmtId="165" fontId="2" fillId="11" borderId="20" xfId="0" applyNumberFormat="1" applyFont="1" applyFill="1" applyBorder="1" applyAlignment="1">
      <alignment horizontal="center" vertical="top" wrapText="1"/>
    </xf>
    <xf numFmtId="0" fontId="6" fillId="11" borderId="11" xfId="0" applyFont="1" applyFill="1" applyBorder="1" applyAlignment="1">
      <alignment horizontal="center" vertical="top" wrapText="1"/>
    </xf>
    <xf numFmtId="0" fontId="0" fillId="7" borderId="80" xfId="0" applyFont="1" applyFill="1" applyBorder="1" applyAlignment="1">
      <alignment horizontal="left" vertical="top" wrapText="1"/>
    </xf>
    <xf numFmtId="49" fontId="2" fillId="7" borderId="20" xfId="0" applyNumberFormat="1" applyFont="1" applyFill="1" applyBorder="1" applyAlignment="1">
      <alignment horizontal="center" vertical="top"/>
    </xf>
    <xf numFmtId="49" fontId="2" fillId="7" borderId="28" xfId="0" applyNumberFormat="1" applyFont="1" applyFill="1" applyBorder="1" applyAlignment="1">
      <alignment horizontal="center" vertical="top"/>
    </xf>
    <xf numFmtId="165" fontId="9" fillId="10" borderId="11" xfId="0" applyNumberFormat="1" applyFont="1" applyFill="1" applyBorder="1" applyAlignment="1">
      <alignment horizontal="center" vertical="top" wrapText="1"/>
    </xf>
    <xf numFmtId="165" fontId="9" fillId="10" borderId="28" xfId="0" applyNumberFormat="1" applyFont="1" applyFill="1" applyBorder="1" applyAlignment="1">
      <alignment horizontal="center" vertical="top" wrapText="1"/>
    </xf>
    <xf numFmtId="165" fontId="1" fillId="10" borderId="90" xfId="0" applyNumberFormat="1" applyFont="1" applyFill="1" applyBorder="1" applyAlignment="1">
      <alignment horizontal="left" vertical="top" wrapText="1"/>
    </xf>
    <xf numFmtId="49" fontId="1" fillId="8" borderId="20" xfId="0" applyNumberFormat="1" applyFont="1" applyFill="1" applyBorder="1" applyAlignment="1">
      <alignment horizontal="center" vertical="center" textRotation="90"/>
    </xf>
    <xf numFmtId="49" fontId="1" fillId="8" borderId="11" xfId="0" applyNumberFormat="1" applyFont="1" applyFill="1" applyBorder="1" applyAlignment="1">
      <alignment horizontal="center" vertical="center" textRotation="90"/>
    </xf>
    <xf numFmtId="49" fontId="1" fillId="8" borderId="28" xfId="0" applyNumberFormat="1" applyFont="1" applyFill="1" applyBorder="1" applyAlignment="1">
      <alignment horizontal="center" vertical="center" textRotation="90"/>
    </xf>
    <xf numFmtId="165" fontId="2" fillId="8" borderId="11" xfId="0" applyNumberFormat="1" applyFont="1" applyFill="1" applyBorder="1" applyAlignment="1">
      <alignment horizontal="center" vertical="top"/>
    </xf>
    <xf numFmtId="165" fontId="2" fillId="3" borderId="20" xfId="0" applyNumberFormat="1" applyFont="1" applyFill="1" applyBorder="1" applyAlignment="1">
      <alignment horizontal="center" vertical="top" wrapText="1"/>
    </xf>
    <xf numFmtId="165" fontId="2" fillId="3" borderId="28" xfId="0" applyNumberFormat="1" applyFont="1" applyFill="1" applyBorder="1" applyAlignment="1">
      <alignment horizontal="center" vertical="top" wrapText="1"/>
    </xf>
    <xf numFmtId="49" fontId="2" fillId="7" borderId="20" xfId="0" applyNumberFormat="1" applyFont="1" applyFill="1" applyBorder="1" applyAlignment="1">
      <alignment horizontal="center" vertical="top" textRotation="90"/>
    </xf>
    <xf numFmtId="49" fontId="2" fillId="7" borderId="11" xfId="0" applyNumberFormat="1" applyFont="1" applyFill="1" applyBorder="1" applyAlignment="1">
      <alignment horizontal="center" vertical="top" textRotation="90"/>
    </xf>
    <xf numFmtId="49" fontId="2" fillId="7" borderId="28" xfId="0" applyNumberFormat="1" applyFont="1" applyFill="1" applyBorder="1" applyAlignment="1">
      <alignment horizontal="center" vertical="top" textRotation="90"/>
    </xf>
    <xf numFmtId="0" fontId="6" fillId="10" borderId="28" xfId="0" applyFont="1" applyFill="1" applyBorder="1" applyAlignment="1">
      <alignment horizontal="left" vertical="top" wrapText="1"/>
    </xf>
    <xf numFmtId="0" fontId="1" fillId="0" borderId="18" xfId="0" applyFont="1" applyBorder="1" applyAlignment="1">
      <alignment horizontal="center" vertical="top" wrapText="1"/>
    </xf>
    <xf numFmtId="0" fontId="6" fillId="0" borderId="27" xfId="0" applyFont="1" applyBorder="1" applyAlignment="1">
      <alignment horizontal="center" vertical="top" wrapText="1"/>
    </xf>
    <xf numFmtId="165" fontId="1" fillId="7" borderId="103" xfId="0" applyNumberFormat="1" applyFont="1" applyFill="1" applyBorder="1" applyAlignment="1">
      <alignment horizontal="center" vertical="top" wrapText="1"/>
    </xf>
    <xf numFmtId="0" fontId="0" fillId="0" borderId="18" xfId="0" applyFont="1" applyBorder="1" applyAlignment="1">
      <alignment horizontal="center" vertical="top"/>
    </xf>
    <xf numFmtId="0" fontId="0" fillId="0" borderId="27" xfId="0" applyFont="1" applyBorder="1" applyAlignment="1">
      <alignment horizontal="center" vertical="top"/>
    </xf>
    <xf numFmtId="0" fontId="0" fillId="0" borderId="11" xfId="0" applyFont="1" applyBorder="1" applyAlignment="1">
      <alignment horizontal="center" wrapText="1"/>
    </xf>
    <xf numFmtId="0" fontId="0" fillId="0" borderId="81" xfId="0" applyFont="1" applyBorder="1" applyAlignment="1">
      <alignment horizontal="center" vertical="top" wrapText="1"/>
    </xf>
    <xf numFmtId="49" fontId="2" fillId="7" borderId="46" xfId="0" applyNumberFormat="1" applyFont="1" applyFill="1" applyBorder="1" applyAlignment="1">
      <alignment horizontal="center" vertical="top"/>
    </xf>
    <xf numFmtId="49" fontId="2" fillId="7" borderId="35" xfId="0" applyNumberFormat="1" applyFont="1" applyFill="1" applyBorder="1" applyAlignment="1">
      <alignment horizontal="center" vertical="top"/>
    </xf>
    <xf numFmtId="165" fontId="2" fillId="0" borderId="20" xfId="0" applyNumberFormat="1" applyFont="1" applyFill="1" applyBorder="1" applyAlignment="1">
      <alignment horizontal="center" vertical="top" wrapText="1"/>
    </xf>
    <xf numFmtId="0" fontId="0" fillId="0" borderId="11" xfId="0" applyFont="1" applyBorder="1" applyAlignment="1">
      <alignment vertical="top" wrapText="1"/>
    </xf>
    <xf numFmtId="0" fontId="0" fillId="0" borderId="28" xfId="0" applyFont="1" applyBorder="1" applyAlignment="1">
      <alignment vertical="top" wrapText="1"/>
    </xf>
    <xf numFmtId="165" fontId="2" fillId="7" borderId="28" xfId="0" applyNumberFormat="1" applyFont="1" applyFill="1" applyBorder="1" applyAlignment="1">
      <alignment horizontal="center" vertical="center" textRotation="90" wrapText="1"/>
    </xf>
    <xf numFmtId="165" fontId="2" fillId="0" borderId="28" xfId="0" applyNumberFormat="1" applyFont="1" applyFill="1" applyBorder="1" applyAlignment="1">
      <alignment horizontal="center" vertical="top" wrapText="1"/>
    </xf>
    <xf numFmtId="165" fontId="2" fillId="3" borderId="11" xfId="0" applyNumberFormat="1" applyFont="1" applyFill="1" applyBorder="1" applyAlignment="1">
      <alignment horizontal="center" vertical="top" wrapText="1"/>
    </xf>
    <xf numFmtId="165" fontId="1" fillId="10" borderId="11" xfId="0" applyNumberFormat="1" applyFont="1" applyFill="1" applyBorder="1" applyAlignment="1">
      <alignment horizontal="center" vertical="center" textRotation="90" wrapText="1"/>
    </xf>
    <xf numFmtId="165" fontId="1" fillId="10" borderId="80" xfId="0" applyNumberFormat="1" applyFont="1" applyFill="1" applyBorder="1" applyAlignment="1">
      <alignment horizontal="center" vertical="center" textRotation="90" wrapText="1"/>
    </xf>
    <xf numFmtId="165" fontId="5" fillId="10" borderId="11" xfId="0" applyNumberFormat="1" applyFont="1" applyFill="1" applyBorder="1" applyAlignment="1">
      <alignment horizontal="center" vertical="center" textRotation="90" wrapText="1"/>
    </xf>
    <xf numFmtId="0" fontId="1" fillId="7" borderId="18" xfId="0" applyFont="1" applyFill="1" applyBorder="1" applyAlignment="1">
      <alignment horizontal="center" vertical="top" wrapText="1"/>
    </xf>
    <xf numFmtId="165" fontId="5" fillId="7" borderId="20" xfId="0" applyNumberFormat="1" applyFont="1" applyFill="1" applyBorder="1" applyAlignment="1">
      <alignment horizontal="center" vertical="center" textRotation="90" wrapText="1"/>
    </xf>
    <xf numFmtId="165" fontId="5" fillId="7" borderId="11" xfId="0" applyNumberFormat="1" applyFont="1" applyFill="1" applyBorder="1" applyAlignment="1">
      <alignment horizontal="center" vertical="center" textRotation="90" wrapText="1"/>
    </xf>
    <xf numFmtId="0" fontId="0" fillId="0" borderId="28" xfId="0" applyFont="1" applyBorder="1" applyAlignment="1">
      <alignment horizontal="center" wrapText="1"/>
    </xf>
    <xf numFmtId="0" fontId="6" fillId="10" borderId="11" xfId="0" applyFont="1" applyFill="1" applyBorder="1" applyAlignment="1">
      <alignment vertical="top" wrapText="1"/>
    </xf>
    <xf numFmtId="165" fontId="6" fillId="7" borderId="29" xfId="0" applyNumberFormat="1" applyFont="1" applyFill="1" applyBorder="1" applyAlignment="1">
      <alignment vertical="top" wrapText="1"/>
    </xf>
    <xf numFmtId="0" fontId="0" fillId="0" borderId="7" xfId="0" applyFont="1" applyBorder="1" applyAlignment="1">
      <alignment vertical="top" wrapText="1"/>
    </xf>
    <xf numFmtId="165" fontId="1" fillId="7" borderId="18" xfId="0" applyNumberFormat="1" applyFont="1" applyFill="1" applyBorder="1" applyAlignment="1">
      <alignment horizontal="center" vertical="center" wrapText="1"/>
    </xf>
    <xf numFmtId="0" fontId="6" fillId="7" borderId="64" xfId="0" applyFont="1" applyFill="1" applyBorder="1" applyAlignment="1">
      <alignment vertical="top" wrapText="1"/>
    </xf>
    <xf numFmtId="165" fontId="2" fillId="11" borderId="28" xfId="0" applyNumberFormat="1" applyFont="1" applyFill="1" applyBorder="1" applyAlignment="1">
      <alignment horizontal="center" vertical="top" wrapText="1"/>
    </xf>
    <xf numFmtId="165" fontId="1" fillId="0" borderId="7" xfId="0" applyNumberFormat="1" applyFont="1" applyFill="1" applyBorder="1" applyAlignment="1">
      <alignment horizontal="left" vertical="top" wrapText="1"/>
    </xf>
    <xf numFmtId="165" fontId="1" fillId="0" borderId="29" xfId="0" applyNumberFormat="1" applyFont="1" applyFill="1" applyBorder="1" applyAlignment="1">
      <alignment horizontal="left" vertical="top" wrapText="1"/>
    </xf>
    <xf numFmtId="0" fontId="6" fillId="0" borderId="34" xfId="0" applyFont="1" applyBorder="1" applyAlignment="1">
      <alignment horizontal="left" vertical="top" wrapText="1"/>
    </xf>
    <xf numFmtId="0" fontId="6" fillId="0" borderId="64" xfId="0" applyFont="1" applyBorder="1" applyAlignment="1">
      <alignment horizontal="left" vertical="top" wrapText="1"/>
    </xf>
    <xf numFmtId="165" fontId="1" fillId="8" borderId="20" xfId="0" applyNumberFormat="1" applyFont="1" applyFill="1" applyBorder="1" applyAlignment="1">
      <alignment horizontal="center" vertical="center" textRotation="90" wrapText="1"/>
    </xf>
    <xf numFmtId="165" fontId="1" fillId="8" borderId="11" xfId="0" applyNumberFormat="1" applyFont="1" applyFill="1" applyBorder="1" applyAlignment="1">
      <alignment horizontal="center" vertical="center" textRotation="90" wrapText="1"/>
    </xf>
    <xf numFmtId="0" fontId="1" fillId="0" borderId="0" xfId="0" applyFont="1" applyAlignment="1">
      <alignment horizontal="right" wrapText="1"/>
    </xf>
    <xf numFmtId="0" fontId="6" fillId="0" borderId="0" xfId="0" applyFont="1" applyAlignment="1">
      <alignment horizontal="right"/>
    </xf>
    <xf numFmtId="49" fontId="2" fillId="0" borderId="25" xfId="0" applyNumberFormat="1" applyFont="1" applyBorder="1" applyAlignment="1">
      <alignment horizontal="center" vertical="top" textRotation="90" shrinkToFit="1"/>
    </xf>
    <xf numFmtId="49" fontId="2" fillId="0" borderId="11" xfId="0" applyNumberFormat="1" applyFont="1" applyBorder="1" applyAlignment="1">
      <alignment horizontal="center" vertical="top" textRotation="90" shrinkToFit="1"/>
    </xf>
    <xf numFmtId="49" fontId="2" fillId="0" borderId="30" xfId="0" applyNumberFormat="1" applyFont="1" applyBorder="1" applyAlignment="1">
      <alignment horizontal="center" vertical="top" textRotation="90" shrinkToFit="1"/>
    </xf>
    <xf numFmtId="3" fontId="1" fillId="0" borderId="26" xfId="0" applyNumberFormat="1" applyFont="1" applyFill="1" applyBorder="1" applyAlignment="1">
      <alignment horizontal="center" vertical="center" textRotation="90" wrapText="1" shrinkToFit="1"/>
    </xf>
    <xf numFmtId="3" fontId="1" fillId="0" borderId="18" xfId="0" applyNumberFormat="1" applyFont="1" applyFill="1" applyBorder="1" applyAlignment="1">
      <alignment horizontal="center" vertical="center" textRotation="90" wrapText="1" shrinkToFit="1"/>
    </xf>
    <xf numFmtId="3" fontId="1" fillId="0" borderId="31" xfId="0" applyNumberFormat="1" applyFont="1" applyFill="1" applyBorder="1" applyAlignment="1">
      <alignment horizontal="center" vertical="center" textRotation="90" wrapText="1" shrinkToFit="1"/>
    </xf>
    <xf numFmtId="0" fontId="1" fillId="0" borderId="100"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80" xfId="0" applyNumberFormat="1" applyFont="1" applyFill="1" applyBorder="1" applyAlignment="1">
      <alignment horizontal="left" vertical="top" wrapText="1"/>
    </xf>
    <xf numFmtId="0" fontId="6" fillId="0" borderId="80" xfId="0" applyFont="1" applyBorder="1" applyAlignment="1">
      <alignment vertical="top" wrapText="1"/>
    </xf>
    <xf numFmtId="49" fontId="1" fillId="8" borderId="20" xfId="0" applyNumberFormat="1" applyFont="1" applyFill="1" applyBorder="1" applyAlignment="1">
      <alignment horizontal="center" vertical="center" textRotation="90" wrapText="1"/>
    </xf>
    <xf numFmtId="0" fontId="6" fillId="8" borderId="11" xfId="0" applyFont="1" applyFill="1" applyBorder="1" applyAlignment="1">
      <alignment horizontal="center" vertical="center" textRotation="90" wrapText="1"/>
    </xf>
    <xf numFmtId="0" fontId="6" fillId="8" borderId="28" xfId="0" applyFont="1" applyFill="1" applyBorder="1" applyAlignment="1">
      <alignment horizontal="center" vertical="center" textRotation="90" wrapText="1"/>
    </xf>
  </cellXfs>
  <cellStyles count="5">
    <cellStyle name="Excel Built-in Normal" xfId="3"/>
    <cellStyle name="Įprastas" xfId="0" builtinId="0"/>
    <cellStyle name="Įprastas 2" xfId="2"/>
    <cellStyle name="Įprastas 2 2" xfId="4"/>
    <cellStyle name="Kablelis" xfId="1" builtinId="3"/>
  </cellStyles>
  <dxfs count="0"/>
  <tableStyles count="0" defaultTableStyle="TableStyleMedium2" defaultPivotStyle="PivotStyleLight16"/>
  <colors>
    <mruColors>
      <color rgb="FFFFCCFF"/>
      <color rgb="FFCCFFCC"/>
      <color rgb="FF99FF99"/>
      <color rgb="FFFFFFCC"/>
      <color rgb="FFE9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66"/>
  <sheetViews>
    <sheetView tabSelected="1" zoomScaleNormal="100" zoomScaleSheetLayoutView="100" workbookViewId="0">
      <selection activeCell="G129" sqref="G129"/>
    </sheetView>
  </sheetViews>
  <sheetFormatPr defaultColWidth="9.1796875" defaultRowHeight="13" x14ac:dyDescent="0.25"/>
  <cols>
    <col min="1" max="3" width="2.7265625" style="2" customWidth="1"/>
    <col min="4" max="4" width="39.54296875" style="2" customWidth="1"/>
    <col min="5" max="5" width="4.453125" style="579" customWidth="1"/>
    <col min="6" max="6" width="8.81640625" style="3" customWidth="1"/>
    <col min="7" max="9" width="9" style="2" customWidth="1"/>
    <col min="10" max="10" width="39.81640625" style="2" customWidth="1"/>
    <col min="11" max="12" width="4.7265625" style="2" customWidth="1"/>
    <col min="13" max="13" width="5.26953125" style="2" customWidth="1"/>
    <col min="14" max="14" width="6.26953125" style="1" customWidth="1"/>
    <col min="15" max="15" width="11.1796875" style="1" customWidth="1"/>
    <col min="16" max="19" width="9.1796875" style="1"/>
    <col min="20" max="20" width="8.7265625" style="1" customWidth="1"/>
    <col min="21" max="16384" width="9.1796875" style="1"/>
  </cols>
  <sheetData>
    <row r="1" spans="1:34" s="91" customFormat="1" ht="34.5" customHeight="1" x14ac:dyDescent="0.35">
      <c r="B1" s="225"/>
      <c r="C1" s="225"/>
      <c r="D1" s="225"/>
      <c r="E1" s="225"/>
      <c r="J1" s="1740" t="s">
        <v>195</v>
      </c>
      <c r="K1" s="1740"/>
      <c r="L1" s="1740"/>
      <c r="M1" s="1740"/>
      <c r="N1" s="225"/>
      <c r="O1" s="225"/>
      <c r="P1" s="225"/>
      <c r="Q1" s="225"/>
      <c r="R1" s="225"/>
      <c r="S1" s="225"/>
      <c r="T1" s="225"/>
      <c r="U1" s="225"/>
      <c r="V1" s="225"/>
      <c r="W1" s="225"/>
      <c r="X1" s="225"/>
      <c r="Y1" s="225"/>
      <c r="Z1" s="225"/>
      <c r="AA1" s="225"/>
      <c r="AB1" s="225"/>
      <c r="AC1" s="225"/>
      <c r="AD1" s="225"/>
      <c r="AE1" s="225"/>
      <c r="AF1" s="225"/>
      <c r="AG1" s="225"/>
      <c r="AH1" s="225"/>
    </row>
    <row r="2" spans="1:34" s="91" customFormat="1" ht="15.75" customHeight="1" x14ac:dyDescent="0.35">
      <c r="B2" s="225"/>
      <c r="C2" s="225"/>
      <c r="D2" s="225"/>
      <c r="E2" s="225"/>
      <c r="J2" s="586" t="s">
        <v>187</v>
      </c>
      <c r="K2" s="586"/>
      <c r="L2" s="586"/>
      <c r="M2" s="586"/>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2.75" customHeight="1" x14ac:dyDescent="0.35">
      <c r="B3" s="225"/>
      <c r="C3" s="225"/>
      <c r="D3" s="225"/>
      <c r="E3" s="225"/>
      <c r="J3" s="339"/>
      <c r="K3" s="339"/>
      <c r="L3" s="339"/>
      <c r="M3" s="339"/>
      <c r="N3" s="225"/>
      <c r="O3" s="225"/>
      <c r="P3" s="225"/>
      <c r="Q3" s="225"/>
      <c r="R3" s="225"/>
      <c r="S3" s="225"/>
      <c r="T3" s="225"/>
      <c r="U3" s="225"/>
      <c r="V3" s="225"/>
      <c r="W3" s="225"/>
      <c r="X3" s="225"/>
      <c r="Y3" s="225"/>
      <c r="Z3" s="225"/>
      <c r="AA3" s="225"/>
      <c r="AB3" s="225"/>
      <c r="AC3" s="225"/>
      <c r="AD3" s="225"/>
      <c r="AE3" s="225"/>
      <c r="AF3" s="225"/>
      <c r="AG3" s="225"/>
      <c r="AH3" s="225"/>
    </row>
    <row r="4" spans="1:34" s="91" customFormat="1" ht="13.5" customHeight="1" x14ac:dyDescent="0.35">
      <c r="B4" s="225"/>
      <c r="C4" s="225"/>
      <c r="D4" s="225"/>
      <c r="E4" s="225"/>
      <c r="J4" s="339"/>
      <c r="K4" s="339"/>
      <c r="L4" s="339"/>
      <c r="M4" s="339"/>
      <c r="N4" s="225"/>
      <c r="O4" s="225"/>
      <c r="P4" s="225"/>
      <c r="Q4" s="225"/>
      <c r="R4" s="225"/>
      <c r="S4" s="225"/>
      <c r="T4" s="225"/>
      <c r="U4" s="225"/>
      <c r="V4" s="225"/>
      <c r="W4" s="225"/>
      <c r="X4" s="225"/>
      <c r="Y4" s="225"/>
      <c r="Z4" s="225"/>
      <c r="AA4" s="225"/>
      <c r="AB4" s="225"/>
      <c r="AC4" s="225"/>
      <c r="AD4" s="225"/>
      <c r="AE4" s="225"/>
      <c r="AF4" s="225"/>
      <c r="AG4" s="225"/>
      <c r="AH4" s="225"/>
    </row>
    <row r="5" spans="1:34" s="22" customFormat="1" ht="14" x14ac:dyDescent="0.25">
      <c r="A5" s="1521" t="s">
        <v>293</v>
      </c>
      <c r="B5" s="1521"/>
      <c r="C5" s="1521"/>
      <c r="D5" s="1521"/>
      <c r="E5" s="1521"/>
      <c r="F5" s="1521"/>
      <c r="G5" s="1521"/>
      <c r="H5" s="1521"/>
      <c r="I5" s="1521"/>
      <c r="J5" s="1521"/>
      <c r="K5" s="1521"/>
      <c r="L5" s="1521"/>
      <c r="M5" s="1521"/>
    </row>
    <row r="6" spans="1:34" ht="15.75" customHeight="1" x14ac:dyDescent="0.25">
      <c r="A6" s="1522" t="s">
        <v>27</v>
      </c>
      <c r="B6" s="1522"/>
      <c r="C6" s="1522"/>
      <c r="D6" s="1522"/>
      <c r="E6" s="1522"/>
      <c r="F6" s="1522"/>
      <c r="G6" s="1522"/>
      <c r="H6" s="1522"/>
      <c r="I6" s="1522"/>
      <c r="J6" s="1522"/>
      <c r="K6" s="1522"/>
      <c r="L6" s="1522"/>
      <c r="M6" s="1522"/>
    </row>
    <row r="7" spans="1:34" ht="15" customHeight="1" x14ac:dyDescent="0.25">
      <c r="A7" s="1523" t="s">
        <v>16</v>
      </c>
      <c r="B7" s="1523"/>
      <c r="C7" s="1523"/>
      <c r="D7" s="1523"/>
      <c r="E7" s="1523"/>
      <c r="F7" s="1523"/>
      <c r="G7" s="1523"/>
      <c r="H7" s="1523"/>
      <c r="I7" s="1523"/>
      <c r="J7" s="1523"/>
      <c r="K7" s="1523"/>
      <c r="L7" s="1523"/>
      <c r="M7" s="1523"/>
    </row>
    <row r="8" spans="1:34" ht="15" customHeight="1" thickBot="1" x14ac:dyDescent="0.3">
      <c r="A8" s="11"/>
      <c r="B8" s="11"/>
      <c r="C8" s="11"/>
      <c r="D8" s="11"/>
      <c r="E8" s="533"/>
      <c r="F8" s="132"/>
      <c r="G8" s="11"/>
      <c r="H8" s="11"/>
      <c r="I8" s="11"/>
      <c r="J8" s="1524" t="s">
        <v>83</v>
      </c>
      <c r="K8" s="1524"/>
      <c r="L8" s="1524"/>
      <c r="M8" s="1525"/>
    </row>
    <row r="9" spans="1:34" s="22" customFormat="1" ht="30" customHeight="1" x14ac:dyDescent="0.25">
      <c r="A9" s="1526" t="s">
        <v>17</v>
      </c>
      <c r="B9" s="1529" t="s">
        <v>0</v>
      </c>
      <c r="C9" s="1529" t="s">
        <v>1</v>
      </c>
      <c r="D9" s="1532" t="s">
        <v>11</v>
      </c>
      <c r="E9" s="1565" t="s">
        <v>2</v>
      </c>
      <c r="F9" s="1568" t="s">
        <v>3</v>
      </c>
      <c r="G9" s="1549" t="s">
        <v>212</v>
      </c>
      <c r="H9" s="1549" t="s">
        <v>147</v>
      </c>
      <c r="I9" s="1549" t="s">
        <v>213</v>
      </c>
      <c r="J9" s="1552" t="s">
        <v>10</v>
      </c>
      <c r="K9" s="1553"/>
      <c r="L9" s="1553"/>
      <c r="M9" s="1554"/>
    </row>
    <row r="10" spans="1:34" s="22" customFormat="1" ht="18.75" customHeight="1" x14ac:dyDescent="0.25">
      <c r="A10" s="1527"/>
      <c r="B10" s="1530"/>
      <c r="C10" s="1530"/>
      <c r="D10" s="1533"/>
      <c r="E10" s="1566"/>
      <c r="F10" s="1569"/>
      <c r="G10" s="1550"/>
      <c r="H10" s="1550"/>
      <c r="I10" s="1550"/>
      <c r="J10" s="1555" t="s">
        <v>11</v>
      </c>
      <c r="K10" s="1557" t="s">
        <v>72</v>
      </c>
      <c r="L10" s="1557"/>
      <c r="M10" s="1558"/>
    </row>
    <row r="11" spans="1:34" s="22" customFormat="1" ht="66.75" customHeight="1" thickBot="1" x14ac:dyDescent="0.3">
      <c r="A11" s="1528"/>
      <c r="B11" s="1531"/>
      <c r="C11" s="1531"/>
      <c r="D11" s="1534"/>
      <c r="E11" s="1567"/>
      <c r="F11" s="1570"/>
      <c r="G11" s="1551"/>
      <c r="H11" s="1551"/>
      <c r="I11" s="1551"/>
      <c r="J11" s="1556"/>
      <c r="K11" s="92" t="s">
        <v>114</v>
      </c>
      <c r="L11" s="92" t="s">
        <v>148</v>
      </c>
      <c r="M11" s="93" t="s">
        <v>211</v>
      </c>
    </row>
    <row r="12" spans="1:34" s="7" customFormat="1" ht="14.25" customHeight="1" x14ac:dyDescent="0.25">
      <c r="A12" s="1559" t="s">
        <v>54</v>
      </c>
      <c r="B12" s="1560"/>
      <c r="C12" s="1560"/>
      <c r="D12" s="1560"/>
      <c r="E12" s="1560"/>
      <c r="F12" s="1560"/>
      <c r="G12" s="1560"/>
      <c r="H12" s="1560"/>
      <c r="I12" s="1560"/>
      <c r="J12" s="1560"/>
      <c r="K12" s="1560"/>
      <c r="L12" s="1560"/>
      <c r="M12" s="1561"/>
    </row>
    <row r="13" spans="1:34" s="7" customFormat="1" ht="14.25" customHeight="1" x14ac:dyDescent="0.25">
      <c r="A13" s="1562" t="s">
        <v>24</v>
      </c>
      <c r="B13" s="1563"/>
      <c r="C13" s="1563"/>
      <c r="D13" s="1563"/>
      <c r="E13" s="1563"/>
      <c r="F13" s="1563"/>
      <c r="G13" s="1563"/>
      <c r="H13" s="1563"/>
      <c r="I13" s="1563"/>
      <c r="J13" s="1563"/>
      <c r="K13" s="1563"/>
      <c r="L13" s="1563"/>
      <c r="M13" s="1564"/>
    </row>
    <row r="14" spans="1:34" ht="16.5" customHeight="1" x14ac:dyDescent="0.25">
      <c r="A14" s="13" t="s">
        <v>4</v>
      </c>
      <c r="B14" s="1535" t="s">
        <v>28</v>
      </c>
      <c r="C14" s="1536"/>
      <c r="D14" s="1536"/>
      <c r="E14" s="1536"/>
      <c r="F14" s="1536"/>
      <c r="G14" s="1536"/>
      <c r="H14" s="1536"/>
      <c r="I14" s="1536"/>
      <c r="J14" s="1536"/>
      <c r="K14" s="1536"/>
      <c r="L14" s="1536"/>
      <c r="M14" s="1537"/>
    </row>
    <row r="15" spans="1:34" ht="15" customHeight="1" x14ac:dyDescent="0.25">
      <c r="A15" s="131" t="s">
        <v>4</v>
      </c>
      <c r="B15" s="9" t="s">
        <v>4</v>
      </c>
      <c r="C15" s="1538" t="s">
        <v>273</v>
      </c>
      <c r="D15" s="1539"/>
      <c r="E15" s="1539"/>
      <c r="F15" s="1539"/>
      <c r="G15" s="1539"/>
      <c r="H15" s="1539"/>
      <c r="I15" s="1539"/>
      <c r="J15" s="1539"/>
      <c r="K15" s="1539"/>
      <c r="L15" s="1539"/>
      <c r="M15" s="1540"/>
    </row>
    <row r="16" spans="1:34" ht="13.5" customHeight="1" x14ac:dyDescent="0.25">
      <c r="A16" s="659" t="s">
        <v>4</v>
      </c>
      <c r="B16" s="661" t="s">
        <v>4</v>
      </c>
      <c r="C16" s="656" t="s">
        <v>4</v>
      </c>
      <c r="D16" s="1541" t="s">
        <v>232</v>
      </c>
      <c r="E16" s="594" t="s">
        <v>44</v>
      </c>
      <c r="F16" s="334" t="s">
        <v>23</v>
      </c>
      <c r="G16" s="358">
        <f>3411.5+88.8-25.8-7+10+182.4+83.2+117</f>
        <v>3860.1</v>
      </c>
      <c r="H16" s="215">
        <f>9281.9-200-200.7+7-300-406.3+230.8-320.9+357.2-1486.9+150-12.8+131.7-125-496.1+1378.9</f>
        <v>7988.8</v>
      </c>
      <c r="I16" s="215">
        <f>4329.7+460.4-300</f>
        <v>4490.1000000000004</v>
      </c>
      <c r="J16" s="161"/>
      <c r="K16" s="415"/>
      <c r="L16" s="416"/>
      <c r="M16" s="479"/>
    </row>
    <row r="17" spans="1:13" ht="13.5" customHeight="1" x14ac:dyDescent="0.25">
      <c r="A17" s="659"/>
      <c r="B17" s="686"/>
      <c r="C17" s="656"/>
      <c r="D17" s="1542"/>
      <c r="E17" s="594" t="s">
        <v>246</v>
      </c>
      <c r="F17" s="480" t="s">
        <v>53</v>
      </c>
      <c r="G17" s="384">
        <f>1657.5+165+100+194.4-338.1+752.1+190+250</f>
        <v>2970.9</v>
      </c>
      <c r="H17" s="34">
        <v>0</v>
      </c>
      <c r="I17" s="34">
        <v>0</v>
      </c>
      <c r="J17" s="161"/>
      <c r="K17" s="162"/>
      <c r="L17" s="163"/>
      <c r="M17" s="164"/>
    </row>
    <row r="18" spans="1:13" ht="13.5" customHeight="1" x14ac:dyDescent="0.25">
      <c r="A18" s="659"/>
      <c r="B18" s="686"/>
      <c r="C18" s="656"/>
      <c r="D18" s="1542"/>
      <c r="E18" s="591"/>
      <c r="F18" s="599" t="s">
        <v>75</v>
      </c>
      <c r="G18" s="35">
        <f>744.1-54</f>
        <v>690.1</v>
      </c>
      <c r="H18" s="36">
        <v>0</v>
      </c>
      <c r="I18" s="36">
        <v>0</v>
      </c>
      <c r="J18" s="161"/>
      <c r="K18" s="162"/>
      <c r="L18" s="163"/>
      <c r="M18" s="164"/>
    </row>
    <row r="19" spans="1:13" ht="13.5" customHeight="1" x14ac:dyDescent="0.25">
      <c r="A19" s="659"/>
      <c r="B19" s="686"/>
      <c r="C19" s="656"/>
      <c r="D19" s="1542"/>
      <c r="E19" s="591"/>
      <c r="F19" s="480" t="s">
        <v>76</v>
      </c>
      <c r="G19" s="383">
        <f>4417.2+100+369.9+279.9+486.4+50+500+150-20+35-15</f>
        <v>6353.4</v>
      </c>
      <c r="H19" s="34">
        <f>5083.3-363.6+213.6-200.6-213.6-83.6-550+754.4+2.7</f>
        <v>4642.6000000000004</v>
      </c>
      <c r="I19" s="34">
        <f>5467.9+100-2150.3</f>
        <v>3417.6</v>
      </c>
      <c r="J19" s="161"/>
      <c r="K19" s="162"/>
      <c r="L19" s="163"/>
      <c r="M19" s="164"/>
    </row>
    <row r="20" spans="1:13" ht="13.5" customHeight="1" x14ac:dyDescent="0.25">
      <c r="A20" s="659"/>
      <c r="B20" s="686"/>
      <c r="C20" s="656"/>
      <c r="D20" s="477"/>
      <c r="E20" s="591"/>
      <c r="F20" s="34" t="s">
        <v>61</v>
      </c>
      <c r="G20" s="384">
        <v>0</v>
      </c>
      <c r="H20" s="34">
        <v>0</v>
      </c>
      <c r="I20" s="34">
        <v>0</v>
      </c>
      <c r="J20" s="161"/>
      <c r="K20" s="162"/>
      <c r="L20" s="163"/>
      <c r="M20" s="164"/>
    </row>
    <row r="21" spans="1:13" ht="13.5" customHeight="1" x14ac:dyDescent="0.25">
      <c r="A21" s="659"/>
      <c r="B21" s="686"/>
      <c r="C21" s="656"/>
      <c r="D21" s="477"/>
      <c r="E21" s="591"/>
      <c r="F21" s="36" t="s">
        <v>63</v>
      </c>
      <c r="G21" s="381">
        <v>84.3</v>
      </c>
      <c r="H21" s="38">
        <v>0</v>
      </c>
      <c r="I21" s="38">
        <v>0</v>
      </c>
      <c r="J21" s="161"/>
      <c r="K21" s="162"/>
      <c r="L21" s="163"/>
      <c r="M21" s="164"/>
    </row>
    <row r="22" spans="1:13" ht="13.5" customHeight="1" x14ac:dyDescent="0.25">
      <c r="A22" s="659"/>
      <c r="B22" s="686"/>
      <c r="C22" s="656"/>
      <c r="D22" s="477"/>
      <c r="E22" s="591"/>
      <c r="F22" s="480" t="s">
        <v>146</v>
      </c>
      <c r="G22" s="384">
        <f>1003.7+339.6+1207.7+251.6+90.6+19.3</f>
        <v>2912.5</v>
      </c>
      <c r="H22" s="34">
        <f>430.2-339.6-867+912.9-90.6+13.2</f>
        <v>59.1</v>
      </c>
      <c r="I22" s="34">
        <v>0</v>
      </c>
      <c r="J22" s="161"/>
      <c r="K22" s="162"/>
      <c r="L22" s="163"/>
      <c r="M22" s="164"/>
    </row>
    <row r="23" spans="1:13" ht="13.5" customHeight="1" x14ac:dyDescent="0.25">
      <c r="A23" s="716"/>
      <c r="B23" s="717"/>
      <c r="C23" s="715"/>
      <c r="D23" s="477"/>
      <c r="E23" s="591"/>
      <c r="F23" s="480" t="s">
        <v>308</v>
      </c>
      <c r="G23" s="381">
        <f>5000</f>
        <v>5000</v>
      </c>
      <c r="H23" s="38">
        <f>5000</f>
        <v>5000</v>
      </c>
      <c r="I23" s="38"/>
      <c r="J23" s="161"/>
      <c r="K23" s="162"/>
      <c r="L23" s="163"/>
      <c r="M23" s="164"/>
    </row>
    <row r="24" spans="1:13" ht="13.5" customHeight="1" x14ac:dyDescent="0.25">
      <c r="A24" s="849"/>
      <c r="B24" s="762"/>
      <c r="C24" s="848"/>
      <c r="D24" s="477"/>
      <c r="E24" s="591"/>
      <c r="F24" s="480" t="s">
        <v>358</v>
      </c>
      <c r="G24" s="381">
        <f>400-400</f>
        <v>0</v>
      </c>
      <c r="H24" s="38">
        <v>0</v>
      </c>
      <c r="I24" s="38">
        <v>0</v>
      </c>
      <c r="J24" s="161"/>
      <c r="K24" s="162"/>
      <c r="L24" s="163"/>
      <c r="M24" s="164"/>
    </row>
    <row r="25" spans="1:13" ht="13.5" customHeight="1" x14ac:dyDescent="0.25">
      <c r="A25" s="659"/>
      <c r="B25" s="686"/>
      <c r="C25" s="656"/>
      <c r="D25" s="477"/>
      <c r="E25" s="591"/>
      <c r="F25" s="480" t="s">
        <v>41</v>
      </c>
      <c r="G25" s="381">
        <f>291.6-40-251.6</f>
        <v>0</v>
      </c>
      <c r="H25" s="38">
        <f>2207.3+40-912.9</f>
        <v>1334.4</v>
      </c>
      <c r="I25" s="38">
        <v>1339.6</v>
      </c>
      <c r="J25" s="161"/>
      <c r="K25" s="162"/>
      <c r="L25" s="163"/>
      <c r="M25" s="164"/>
    </row>
    <row r="26" spans="1:13" ht="13.5" customHeight="1" x14ac:dyDescent="0.25">
      <c r="A26" s="659"/>
      <c r="B26" s="686"/>
      <c r="C26" s="656"/>
      <c r="D26" s="477"/>
      <c r="E26" s="591"/>
      <c r="F26" s="480" t="s">
        <v>45</v>
      </c>
      <c r="G26" s="384">
        <f>1542-542+542</f>
        <v>1542</v>
      </c>
      <c r="H26" s="34">
        <v>1500</v>
      </c>
      <c r="I26" s="34">
        <v>1500</v>
      </c>
      <c r="J26" s="161"/>
      <c r="K26" s="162"/>
      <c r="L26" s="163"/>
      <c r="M26" s="164"/>
    </row>
    <row r="27" spans="1:13" ht="13.5" customHeight="1" x14ac:dyDescent="0.25">
      <c r="A27" s="659"/>
      <c r="B27" s="686"/>
      <c r="C27" s="656"/>
      <c r="D27" s="477"/>
      <c r="E27" s="591"/>
      <c r="F27" s="599" t="s">
        <v>157</v>
      </c>
      <c r="G27" s="35">
        <f>1000</f>
        <v>1000</v>
      </c>
      <c r="H27" s="36">
        <f>6350-700+10000</f>
        <v>15650</v>
      </c>
      <c r="I27" s="36">
        <f>13015.1-1000+1000+12000</f>
        <v>25015.1</v>
      </c>
      <c r="J27" s="161"/>
      <c r="K27" s="162"/>
      <c r="L27" s="163"/>
      <c r="M27" s="164"/>
    </row>
    <row r="28" spans="1:13" ht="13.5" customHeight="1" x14ac:dyDescent="0.25">
      <c r="A28" s="659"/>
      <c r="B28" s="686"/>
      <c r="C28" s="656"/>
      <c r="D28" s="477"/>
      <c r="E28" s="591"/>
      <c r="F28" s="480" t="s">
        <v>42</v>
      </c>
      <c r="G28" s="384">
        <f>100.2+4.9+40-60</f>
        <v>85.1</v>
      </c>
      <c r="H28" s="292">
        <f>114.2+170.2-40+60</f>
        <v>304.39999999999998</v>
      </c>
      <c r="I28" s="292">
        <v>60</v>
      </c>
      <c r="J28" s="484"/>
      <c r="K28" s="486"/>
      <c r="L28" s="486"/>
      <c r="M28" s="164"/>
    </row>
    <row r="29" spans="1:13" ht="13.5" customHeight="1" x14ac:dyDescent="0.25">
      <c r="A29" s="640"/>
      <c r="B29" s="685"/>
      <c r="C29" s="642"/>
      <c r="D29" s="1543" t="s">
        <v>94</v>
      </c>
      <c r="E29" s="1545" t="s">
        <v>247</v>
      </c>
      <c r="F29" s="332"/>
      <c r="G29" s="68"/>
      <c r="H29" s="36"/>
      <c r="I29" s="36"/>
      <c r="J29" s="405" t="s">
        <v>43</v>
      </c>
      <c r="K29" s="697">
        <v>1</v>
      </c>
      <c r="L29" s="669"/>
      <c r="M29" s="693"/>
    </row>
    <row r="30" spans="1:13" ht="13.5" customHeight="1" x14ac:dyDescent="0.25">
      <c r="A30" s="640"/>
      <c r="B30" s="685"/>
      <c r="C30" s="642"/>
      <c r="D30" s="1544"/>
      <c r="E30" s="1546"/>
      <c r="F30" s="37"/>
      <c r="G30" s="56"/>
      <c r="H30" s="36"/>
      <c r="I30" s="36"/>
      <c r="J30" s="1547" t="s">
        <v>153</v>
      </c>
      <c r="K30" s="223">
        <v>15</v>
      </c>
      <c r="L30" s="223">
        <v>45</v>
      </c>
      <c r="M30" s="115">
        <v>85</v>
      </c>
    </row>
    <row r="31" spans="1:13" ht="13.5" customHeight="1" x14ac:dyDescent="0.25">
      <c r="A31" s="640"/>
      <c r="B31" s="685"/>
      <c r="C31" s="642"/>
      <c r="D31" s="1544"/>
      <c r="E31" s="1546"/>
      <c r="F31" s="36"/>
      <c r="G31" s="35"/>
      <c r="H31" s="36"/>
      <c r="I31" s="36"/>
      <c r="J31" s="1548"/>
      <c r="K31" s="270"/>
      <c r="L31" s="176"/>
      <c r="M31" s="277"/>
    </row>
    <row r="32" spans="1:13" ht="27" customHeight="1" x14ac:dyDescent="0.25">
      <c r="A32" s="640"/>
      <c r="B32" s="685"/>
      <c r="C32" s="642"/>
      <c r="D32" s="674" t="s">
        <v>296</v>
      </c>
      <c r="E32" s="612"/>
      <c r="F32" s="41"/>
      <c r="G32" s="319"/>
      <c r="H32" s="41"/>
      <c r="I32" s="41"/>
      <c r="J32" s="603" t="s">
        <v>235</v>
      </c>
      <c r="K32" s="17">
        <v>50</v>
      </c>
      <c r="L32" s="96">
        <v>100</v>
      </c>
      <c r="M32" s="18"/>
    </row>
    <row r="33" spans="1:13" ht="27" customHeight="1" x14ac:dyDescent="0.25">
      <c r="A33" s="640"/>
      <c r="B33" s="685"/>
      <c r="C33" s="642"/>
      <c r="D33" s="675"/>
      <c r="E33" s="613"/>
      <c r="F33" s="38"/>
      <c r="G33" s="69"/>
      <c r="H33" s="38"/>
      <c r="I33" s="38"/>
      <c r="J33" s="346" t="s">
        <v>236</v>
      </c>
      <c r="K33" s="270">
        <v>100</v>
      </c>
      <c r="L33" s="176"/>
      <c r="M33" s="277"/>
    </row>
    <row r="34" spans="1:13" ht="15" customHeight="1" x14ac:dyDescent="0.25">
      <c r="A34" s="1586"/>
      <c r="B34" s="1591"/>
      <c r="C34" s="1588"/>
      <c r="D34" s="1589" t="s">
        <v>172</v>
      </c>
      <c r="E34" s="594" t="s">
        <v>246</v>
      </c>
      <c r="F34" s="691"/>
      <c r="G34" s="68"/>
      <c r="H34" s="528"/>
      <c r="I34" s="691"/>
      <c r="J34" s="1581"/>
      <c r="K34" s="696"/>
      <c r="L34" s="695"/>
      <c r="M34" s="693"/>
    </row>
    <row r="35" spans="1:13" ht="15" customHeight="1" x14ac:dyDescent="0.25">
      <c r="A35" s="1586"/>
      <c r="B35" s="1591"/>
      <c r="C35" s="1588"/>
      <c r="D35" s="1596"/>
      <c r="E35" s="701"/>
      <c r="F35" s="36"/>
      <c r="G35" s="167"/>
      <c r="H35" s="406"/>
      <c r="I35" s="37"/>
      <c r="J35" s="1582"/>
      <c r="K35" s="669"/>
      <c r="L35" s="669"/>
      <c r="M35" s="694"/>
    </row>
    <row r="36" spans="1:13" ht="11.25" customHeight="1" x14ac:dyDescent="0.25">
      <c r="A36" s="1586"/>
      <c r="B36" s="1591"/>
      <c r="C36" s="1588"/>
      <c r="D36" s="1663"/>
      <c r="E36" s="701"/>
      <c r="F36" s="36"/>
      <c r="G36" s="56"/>
      <c r="H36" s="36"/>
      <c r="I36" s="36"/>
      <c r="J36" s="651"/>
      <c r="K36" s="669"/>
      <c r="L36" s="669"/>
      <c r="M36" s="694"/>
    </row>
    <row r="37" spans="1:13" ht="25.5" customHeight="1" x14ac:dyDescent="0.25">
      <c r="A37" s="1586"/>
      <c r="B37" s="1591"/>
      <c r="C37" s="1588"/>
      <c r="D37" s="211" t="s">
        <v>106</v>
      </c>
      <c r="E37" s="600"/>
      <c r="F37" s="34"/>
      <c r="G37" s="110"/>
      <c r="H37" s="34"/>
      <c r="I37" s="34"/>
      <c r="J37" s="47" t="s">
        <v>122</v>
      </c>
      <c r="K37" s="96">
        <v>90</v>
      </c>
      <c r="L37" s="96">
        <v>100</v>
      </c>
      <c r="M37" s="18"/>
    </row>
    <row r="38" spans="1:13" ht="27" customHeight="1" x14ac:dyDescent="0.25">
      <c r="A38" s="1586"/>
      <c r="B38" s="1591"/>
      <c r="C38" s="1588"/>
      <c r="D38" s="682" t="s">
        <v>91</v>
      </c>
      <c r="E38" s="699"/>
      <c r="F38" s="692"/>
      <c r="G38" s="89"/>
      <c r="H38" s="692"/>
      <c r="I38" s="692"/>
      <c r="J38" s="700" t="s">
        <v>123</v>
      </c>
      <c r="K38" s="29">
        <v>90</v>
      </c>
      <c r="L38" s="29">
        <v>100</v>
      </c>
      <c r="M38" s="16"/>
    </row>
    <row r="39" spans="1:13" ht="15.75" customHeight="1" x14ac:dyDescent="0.25">
      <c r="A39" s="640"/>
      <c r="B39" s="685"/>
      <c r="C39" s="642"/>
      <c r="D39" s="1543" t="s">
        <v>133</v>
      </c>
      <c r="E39" s="592"/>
      <c r="F39" s="36"/>
      <c r="G39" s="56"/>
      <c r="H39" s="36"/>
      <c r="I39" s="36"/>
      <c r="J39" s="1584" t="s">
        <v>137</v>
      </c>
      <c r="K39" s="278">
        <v>95</v>
      </c>
      <c r="L39" s="432">
        <v>100</v>
      </c>
      <c r="M39" s="284"/>
    </row>
    <row r="40" spans="1:13" ht="15.75" customHeight="1" x14ac:dyDescent="0.25">
      <c r="A40" s="640"/>
      <c r="B40" s="685"/>
      <c r="C40" s="642"/>
      <c r="D40" s="1583"/>
      <c r="E40" s="1441"/>
      <c r="F40" s="692"/>
      <c r="G40" s="89"/>
      <c r="H40" s="692"/>
      <c r="I40" s="692"/>
      <c r="J40" s="1585"/>
      <c r="K40" s="248"/>
      <c r="L40" s="95"/>
      <c r="M40" s="19"/>
    </row>
    <row r="41" spans="1:13" ht="42" customHeight="1" x14ac:dyDescent="0.25">
      <c r="A41" s="1427"/>
      <c r="B41" s="1429"/>
      <c r="C41" s="1428"/>
      <c r="D41" s="1426" t="s">
        <v>404</v>
      </c>
      <c r="E41" s="593"/>
      <c r="F41" s="36"/>
      <c r="G41" s="56"/>
      <c r="H41" s="36"/>
      <c r="I41" s="36"/>
      <c r="J41" s="1430" t="s">
        <v>405</v>
      </c>
      <c r="K41" s="249">
        <v>2</v>
      </c>
      <c r="L41" s="192"/>
      <c r="M41" s="1237"/>
    </row>
    <row r="42" spans="1:13" ht="15.75" customHeight="1" x14ac:dyDescent="0.25">
      <c r="A42" s="1586"/>
      <c r="B42" s="1587"/>
      <c r="C42" s="1588"/>
      <c r="D42" s="1589" t="s">
        <v>132</v>
      </c>
      <c r="E42" s="594" t="s">
        <v>246</v>
      </c>
      <c r="F42" s="691"/>
      <c r="G42" s="68"/>
      <c r="H42" s="691"/>
      <c r="I42" s="691"/>
      <c r="J42" s="653" t="s">
        <v>115</v>
      </c>
      <c r="K42" s="254">
        <v>100</v>
      </c>
      <c r="L42" s="254"/>
      <c r="M42" s="210"/>
    </row>
    <row r="43" spans="1:13" ht="15" customHeight="1" x14ac:dyDescent="0.25">
      <c r="A43" s="1586"/>
      <c r="B43" s="1587"/>
      <c r="C43" s="1588"/>
      <c r="D43" s="1590"/>
      <c r="E43" s="601"/>
      <c r="F43" s="333"/>
      <c r="G43" s="89"/>
      <c r="H43" s="692"/>
      <c r="I43" s="692"/>
      <c r="J43" s="199"/>
      <c r="K43" s="255"/>
      <c r="L43" s="255"/>
      <c r="M43" s="148"/>
    </row>
    <row r="44" spans="1:13" ht="41.25" customHeight="1" x14ac:dyDescent="0.25">
      <c r="A44" s="659"/>
      <c r="B44" s="661"/>
      <c r="C44" s="1571" t="s">
        <v>210</v>
      </c>
      <c r="D44" s="1574" t="s">
        <v>140</v>
      </c>
      <c r="E44" s="602" t="s">
        <v>246</v>
      </c>
      <c r="F44" s="691"/>
      <c r="G44" s="68"/>
      <c r="H44" s="691"/>
      <c r="I44" s="691"/>
      <c r="J44" s="676" t="s">
        <v>240</v>
      </c>
      <c r="K44" s="417" t="s">
        <v>49</v>
      </c>
      <c r="L44" s="703"/>
      <c r="M44" s="204"/>
    </row>
    <row r="45" spans="1:13" ht="26.25" customHeight="1" x14ac:dyDescent="0.25">
      <c r="A45" s="659"/>
      <c r="B45" s="661"/>
      <c r="C45" s="1572"/>
      <c r="D45" s="1575"/>
      <c r="E45" s="1577" t="s">
        <v>295</v>
      </c>
      <c r="F45" s="36"/>
      <c r="G45" s="56"/>
      <c r="H45" s="36"/>
      <c r="I45" s="36"/>
      <c r="J45" s="603" t="s">
        <v>241</v>
      </c>
      <c r="K45" s="387" t="s">
        <v>49</v>
      </c>
      <c r="L45" s="474"/>
      <c r="M45" s="371"/>
    </row>
    <row r="46" spans="1:13" ht="28.5" customHeight="1" x14ac:dyDescent="0.25">
      <c r="A46" s="659"/>
      <c r="B46" s="686"/>
      <c r="C46" s="1572"/>
      <c r="D46" s="1576"/>
      <c r="E46" s="1578"/>
      <c r="F46" s="692"/>
      <c r="G46" s="89"/>
      <c r="H46" s="692"/>
      <c r="I46" s="692"/>
      <c r="J46" s="118" t="s">
        <v>155</v>
      </c>
      <c r="K46" s="219"/>
      <c r="L46" s="704" t="s">
        <v>205</v>
      </c>
      <c r="M46" s="207" t="s">
        <v>206</v>
      </c>
    </row>
    <row r="47" spans="1:13" ht="13.5" customHeight="1" x14ac:dyDescent="0.25">
      <c r="A47" s="640"/>
      <c r="B47" s="685"/>
      <c r="C47" s="1572"/>
      <c r="D47" s="1575" t="s">
        <v>209</v>
      </c>
      <c r="E47" s="1579" t="s">
        <v>246</v>
      </c>
      <c r="F47" s="36"/>
      <c r="G47" s="65"/>
      <c r="H47" s="36"/>
      <c r="I47" s="36"/>
      <c r="J47" s="402" t="s">
        <v>103</v>
      </c>
      <c r="K47" s="536"/>
      <c r="L47" s="537" t="s">
        <v>205</v>
      </c>
      <c r="M47" s="527" t="s">
        <v>206</v>
      </c>
    </row>
    <row r="48" spans="1:13" ht="14.25" customHeight="1" x14ac:dyDescent="0.25">
      <c r="A48" s="640"/>
      <c r="B48" s="685"/>
      <c r="C48" s="1573"/>
      <c r="D48" s="1575"/>
      <c r="E48" s="1580"/>
      <c r="F48" s="692"/>
      <c r="G48" s="66"/>
      <c r="H48" s="692"/>
      <c r="I48" s="692"/>
      <c r="J48" s="404"/>
      <c r="K48" s="400"/>
      <c r="L48" s="401"/>
      <c r="M48" s="437"/>
    </row>
    <row r="49" spans="1:13" ht="13.5" customHeight="1" x14ac:dyDescent="0.25">
      <c r="A49" s="1598"/>
      <c r="B49" s="1587"/>
      <c r="C49" s="1599" t="s">
        <v>260</v>
      </c>
      <c r="D49" s="1543" t="s">
        <v>52</v>
      </c>
      <c r="E49" s="594" t="s">
        <v>246</v>
      </c>
      <c r="F49" s="691"/>
      <c r="G49" s="68"/>
      <c r="H49" s="691"/>
      <c r="I49" s="691"/>
      <c r="J49" s="1581" t="s">
        <v>104</v>
      </c>
      <c r="K49" s="247">
        <v>35</v>
      </c>
      <c r="L49" s="354">
        <v>100</v>
      </c>
      <c r="M49" s="351"/>
    </row>
    <row r="50" spans="1:13" ht="17.25" customHeight="1" x14ac:dyDescent="0.25">
      <c r="A50" s="1598"/>
      <c r="B50" s="1587"/>
      <c r="C50" s="1600"/>
      <c r="D50" s="1544"/>
      <c r="E50" s="585"/>
      <c r="F50" s="692"/>
      <c r="G50" s="102"/>
      <c r="H50" s="692"/>
      <c r="I50" s="692"/>
      <c r="J50" s="1619"/>
      <c r="K50" s="248"/>
      <c r="L50" s="95"/>
      <c r="M50" s="19"/>
    </row>
    <row r="51" spans="1:13" ht="16.5" customHeight="1" x14ac:dyDescent="0.25">
      <c r="A51" s="1598"/>
      <c r="B51" s="1587"/>
      <c r="C51" s="1600"/>
      <c r="D51" s="1574" t="s">
        <v>131</v>
      </c>
      <c r="E51" s="604" t="s">
        <v>246</v>
      </c>
      <c r="F51" s="691"/>
      <c r="G51" s="68"/>
      <c r="H51" s="691"/>
      <c r="I51" s="691"/>
      <c r="J51" s="1592" t="s">
        <v>120</v>
      </c>
      <c r="K51" s="247">
        <v>70</v>
      </c>
      <c r="L51" s="354">
        <v>100</v>
      </c>
      <c r="M51" s="351"/>
    </row>
    <row r="52" spans="1:13" ht="12.75" customHeight="1" x14ac:dyDescent="0.25">
      <c r="A52" s="1598"/>
      <c r="B52" s="1587"/>
      <c r="C52" s="1600"/>
      <c r="D52" s="1575"/>
      <c r="E52" s="1594"/>
      <c r="F52" s="36"/>
      <c r="G52" s="56"/>
      <c r="H52" s="36"/>
      <c r="I52" s="36"/>
      <c r="J52" s="1593"/>
      <c r="K52" s="246"/>
      <c r="L52" s="355"/>
      <c r="M52" s="301"/>
    </row>
    <row r="53" spans="1:13" ht="54.75" customHeight="1" x14ac:dyDescent="0.25">
      <c r="A53" s="1598"/>
      <c r="B53" s="1587"/>
      <c r="C53" s="1601"/>
      <c r="D53" s="1576"/>
      <c r="E53" s="1595"/>
      <c r="F53" s="335"/>
      <c r="G53" s="89"/>
      <c r="H53" s="692"/>
      <c r="I53" s="692"/>
      <c r="J53" s="409" t="s">
        <v>121</v>
      </c>
      <c r="K53" s="410"/>
      <c r="L53" s="410" t="s">
        <v>124</v>
      </c>
      <c r="M53" s="411" t="s">
        <v>154</v>
      </c>
    </row>
    <row r="54" spans="1:13" ht="15" customHeight="1" x14ac:dyDescent="0.25">
      <c r="A54" s="640"/>
      <c r="B54" s="685"/>
      <c r="C54" s="585"/>
      <c r="D54" s="1596" t="s">
        <v>234</v>
      </c>
      <c r="E54" s="591" t="s">
        <v>246</v>
      </c>
      <c r="F54" s="36"/>
      <c r="G54" s="56"/>
      <c r="H54" s="36"/>
      <c r="I54" s="36"/>
      <c r="J54" s="1584" t="s">
        <v>103</v>
      </c>
      <c r="K54" s="668">
        <v>95</v>
      </c>
      <c r="L54" s="669">
        <v>100</v>
      </c>
      <c r="M54" s="694"/>
    </row>
    <row r="55" spans="1:13" ht="17.25" customHeight="1" x14ac:dyDescent="0.25">
      <c r="A55" s="640"/>
      <c r="B55" s="685"/>
      <c r="C55" s="585"/>
      <c r="D55" s="1596"/>
      <c r="E55" s="701"/>
      <c r="F55" s="36"/>
      <c r="G55" s="56"/>
      <c r="H55" s="36"/>
      <c r="I55" s="36"/>
      <c r="J55" s="1584"/>
      <c r="K55" s="668"/>
      <c r="L55" s="669"/>
      <c r="M55" s="694"/>
    </row>
    <row r="56" spans="1:13" ht="21" customHeight="1" x14ac:dyDescent="0.25">
      <c r="A56" s="640"/>
      <c r="B56" s="685"/>
      <c r="C56" s="642"/>
      <c r="D56" s="1597"/>
      <c r="E56" s="699"/>
      <c r="F56" s="333"/>
      <c r="G56" s="89"/>
      <c r="H56" s="692"/>
      <c r="I56" s="692"/>
      <c r="J56" s="671"/>
      <c r="K56" s="149"/>
      <c r="L56" s="29"/>
      <c r="M56" s="16"/>
    </row>
    <row r="57" spans="1:13" ht="13.5" customHeight="1" x14ac:dyDescent="0.25">
      <c r="A57" s="640"/>
      <c r="B57" s="641"/>
      <c r="C57" s="55"/>
      <c r="D57" s="1544" t="s">
        <v>233</v>
      </c>
      <c r="E57" s="1608"/>
      <c r="F57" s="36"/>
      <c r="G57" s="56"/>
      <c r="H57" s="36"/>
      <c r="I57" s="36"/>
      <c r="J57" s="1584" t="s">
        <v>327</v>
      </c>
      <c r="K57" s="232"/>
      <c r="L57" s="393">
        <v>1</v>
      </c>
      <c r="M57" s="160"/>
    </row>
    <row r="58" spans="1:13" ht="12.75" customHeight="1" x14ac:dyDescent="0.25">
      <c r="A58" s="640"/>
      <c r="B58" s="641"/>
      <c r="C58" s="55"/>
      <c r="D58" s="1544"/>
      <c r="E58" s="1609"/>
      <c r="F58" s="36"/>
      <c r="G58" s="56"/>
      <c r="H58" s="36"/>
      <c r="I58" s="36"/>
      <c r="J58" s="1610"/>
      <c r="K58" s="232"/>
      <c r="L58" s="232"/>
      <c r="M58" s="160"/>
    </row>
    <row r="59" spans="1:13" ht="7.5" customHeight="1" x14ac:dyDescent="0.25">
      <c r="A59" s="640"/>
      <c r="B59" s="685"/>
      <c r="C59" s="642"/>
      <c r="D59" s="682"/>
      <c r="E59" s="699"/>
      <c r="F59" s="407"/>
      <c r="G59" s="56"/>
      <c r="H59" s="36"/>
      <c r="I59" s="36"/>
      <c r="J59" s="671"/>
      <c r="K59" s="149"/>
      <c r="L59" s="29"/>
      <c r="M59" s="16"/>
    </row>
    <row r="60" spans="1:13" ht="14.25" customHeight="1" x14ac:dyDescent="0.25">
      <c r="A60" s="640"/>
      <c r="B60" s="685"/>
      <c r="C60" s="642"/>
      <c r="D60" s="1596" t="s">
        <v>208</v>
      </c>
      <c r="E60" s="591" t="s">
        <v>246</v>
      </c>
      <c r="F60" s="691"/>
      <c r="G60" s="598"/>
      <c r="H60" s="691"/>
      <c r="I60" s="691"/>
      <c r="J60" s="582" t="s">
        <v>71</v>
      </c>
      <c r="K60" s="408">
        <v>1</v>
      </c>
      <c r="L60" s="669"/>
      <c r="M60" s="694"/>
    </row>
    <row r="61" spans="1:13" ht="14.25" customHeight="1" x14ac:dyDescent="0.25">
      <c r="A61" s="640"/>
      <c r="B61" s="685"/>
      <c r="C61" s="642"/>
      <c r="D61" s="1596"/>
      <c r="E61" s="701"/>
      <c r="F61" s="37"/>
      <c r="G61" s="65"/>
      <c r="H61" s="36"/>
      <c r="I61" s="36"/>
      <c r="J61" s="653" t="s">
        <v>243</v>
      </c>
      <c r="K61" s="668">
        <v>20</v>
      </c>
      <c r="L61" s="669">
        <v>60</v>
      </c>
      <c r="M61" s="694">
        <v>100</v>
      </c>
    </row>
    <row r="62" spans="1:13" ht="6" customHeight="1" x14ac:dyDescent="0.25">
      <c r="A62" s="640"/>
      <c r="B62" s="685"/>
      <c r="C62" s="642"/>
      <c r="D62" s="1596"/>
      <c r="E62" s="701"/>
      <c r="F62" s="333"/>
      <c r="G62" s="89"/>
      <c r="H62" s="692"/>
      <c r="I62" s="692"/>
      <c r="J62" s="14"/>
      <c r="K62" s="149"/>
      <c r="L62" s="29"/>
      <c r="M62" s="16"/>
    </row>
    <row r="63" spans="1:13" ht="28.5" customHeight="1" x14ac:dyDescent="0.25">
      <c r="A63" s="684"/>
      <c r="B63" s="641"/>
      <c r="C63" s="123"/>
      <c r="D63" s="1602" t="s">
        <v>328</v>
      </c>
      <c r="E63" s="594"/>
      <c r="F63" s="691"/>
      <c r="G63" s="113"/>
      <c r="H63" s="691"/>
      <c r="I63" s="691"/>
      <c r="J63" s="130" t="s">
        <v>245</v>
      </c>
      <c r="K63" s="154"/>
      <c r="L63" s="259">
        <v>100</v>
      </c>
      <c r="M63" s="155"/>
    </row>
    <row r="64" spans="1:13" ht="26.25" customHeight="1" x14ac:dyDescent="0.25">
      <c r="A64" s="684"/>
      <c r="B64" s="641"/>
      <c r="C64" s="123"/>
      <c r="D64" s="1603"/>
      <c r="E64" s="597"/>
      <c r="F64" s="36"/>
      <c r="G64" s="35"/>
      <c r="H64" s="218"/>
      <c r="I64" s="218"/>
      <c r="J64" s="698" t="s">
        <v>244</v>
      </c>
      <c r="K64" s="152">
        <v>100</v>
      </c>
      <c r="L64" s="96"/>
      <c r="M64" s="18"/>
    </row>
    <row r="65" spans="1:15" ht="15.75" customHeight="1" x14ac:dyDescent="0.25">
      <c r="A65" s="684"/>
      <c r="B65" s="641"/>
      <c r="C65" s="123"/>
      <c r="D65" s="648"/>
      <c r="E65" s="597"/>
      <c r="F65" s="36"/>
      <c r="G65" s="35"/>
      <c r="H65" s="218"/>
      <c r="I65" s="36"/>
      <c r="J65" s="1584" t="s">
        <v>287</v>
      </c>
      <c r="K65" s="328"/>
      <c r="L65" s="223"/>
      <c r="M65" s="115">
        <v>50</v>
      </c>
    </row>
    <row r="66" spans="1:15" ht="12" customHeight="1" x14ac:dyDescent="0.25">
      <c r="A66" s="684"/>
      <c r="B66" s="641"/>
      <c r="C66" s="123"/>
      <c r="D66" s="705"/>
      <c r="E66" s="606"/>
      <c r="F66" s="692"/>
      <c r="G66" s="102"/>
      <c r="H66" s="692"/>
      <c r="I66" s="692"/>
      <c r="J66" s="1604"/>
      <c r="K66" s="149"/>
      <c r="L66" s="29"/>
      <c r="M66" s="16"/>
    </row>
    <row r="67" spans="1:15" ht="14.25" customHeight="1" x14ac:dyDescent="0.25">
      <c r="A67" s="640"/>
      <c r="B67" s="685"/>
      <c r="C67" s="642"/>
      <c r="D67" s="1589" t="s">
        <v>145</v>
      </c>
      <c r="E67" s="595"/>
      <c r="F67" s="36"/>
      <c r="G67" s="56"/>
      <c r="H67" s="36"/>
      <c r="I67" s="36"/>
      <c r="J67" s="405" t="s">
        <v>43</v>
      </c>
      <c r="K67" s="759">
        <v>1</v>
      </c>
      <c r="L67" s="192"/>
      <c r="M67" s="160"/>
    </row>
    <row r="68" spans="1:15" ht="27.75" customHeight="1" x14ac:dyDescent="0.25">
      <c r="A68" s="640"/>
      <c r="B68" s="685"/>
      <c r="C68" s="642"/>
      <c r="D68" s="1605"/>
      <c r="E68" s="596"/>
      <c r="F68" s="692"/>
      <c r="G68" s="571"/>
      <c r="H68" s="286"/>
      <c r="I68" s="692"/>
      <c r="J68" s="409" t="s">
        <v>351</v>
      </c>
      <c r="K68" s="800"/>
      <c r="L68" s="799"/>
      <c r="M68" s="801">
        <v>10</v>
      </c>
    </row>
    <row r="69" spans="1:15" ht="15" customHeight="1" x14ac:dyDescent="0.25">
      <c r="A69" s="640"/>
      <c r="B69" s="685"/>
      <c r="C69" s="642"/>
      <c r="D69" s="1589" t="s">
        <v>329</v>
      </c>
      <c r="E69" s="1545"/>
      <c r="F69" s="691"/>
      <c r="G69" s="598"/>
      <c r="H69" s="691"/>
      <c r="I69" s="375"/>
      <c r="J69" s="394" t="s">
        <v>71</v>
      </c>
      <c r="K69" s="408">
        <v>1</v>
      </c>
      <c r="L69" s="669"/>
      <c r="M69" s="568"/>
    </row>
    <row r="70" spans="1:15" ht="17.25" customHeight="1" x14ac:dyDescent="0.25">
      <c r="A70" s="640"/>
      <c r="B70" s="685"/>
      <c r="C70" s="642"/>
      <c r="D70" s="1590"/>
      <c r="E70" s="1606"/>
      <c r="F70" s="333"/>
      <c r="G70" s="66"/>
      <c r="H70" s="692"/>
      <c r="I70" s="692"/>
      <c r="J70" s="671" t="s">
        <v>274</v>
      </c>
      <c r="K70" s="149">
        <v>100</v>
      </c>
      <c r="L70" s="29"/>
      <c r="M70" s="16"/>
    </row>
    <row r="71" spans="1:15" ht="15.75" customHeight="1" x14ac:dyDescent="0.25">
      <c r="A71" s="1586"/>
      <c r="B71" s="1587"/>
      <c r="C71" s="590"/>
      <c r="D71" s="1617" t="s">
        <v>276</v>
      </c>
      <c r="E71" s="1545" t="s">
        <v>294</v>
      </c>
      <c r="F71" s="334"/>
      <c r="G71" s="68"/>
      <c r="H71" s="691"/>
      <c r="I71" s="691"/>
      <c r="J71" s="1592" t="s">
        <v>150</v>
      </c>
      <c r="K71" s="703" t="s">
        <v>49</v>
      </c>
      <c r="L71" s="703"/>
      <c r="M71" s="204"/>
    </row>
    <row r="72" spans="1:15" ht="15.75" customHeight="1" x14ac:dyDescent="0.25">
      <c r="A72" s="1586"/>
      <c r="B72" s="1587"/>
      <c r="C72" s="590"/>
      <c r="D72" s="1618"/>
      <c r="E72" s="1606"/>
      <c r="F72" s="335"/>
      <c r="G72" s="89"/>
      <c r="H72" s="692"/>
      <c r="I72" s="692"/>
      <c r="J72" s="1607"/>
      <c r="K72" s="704"/>
      <c r="L72" s="704"/>
      <c r="M72" s="207"/>
    </row>
    <row r="73" spans="1:15" ht="17.25" customHeight="1" x14ac:dyDescent="0.25">
      <c r="A73" s="640"/>
      <c r="B73" s="685"/>
      <c r="C73" s="585"/>
      <c r="D73" s="1544" t="s">
        <v>170</v>
      </c>
      <c r="E73" s="1628" t="s">
        <v>152</v>
      </c>
      <c r="F73" s="37"/>
      <c r="G73" s="56"/>
      <c r="H73" s="135"/>
      <c r="I73" s="135"/>
      <c r="J73" s="1629" t="s">
        <v>43</v>
      </c>
      <c r="K73" s="668">
        <v>1</v>
      </c>
      <c r="L73" s="669"/>
      <c r="M73" s="694"/>
      <c r="N73" s="1611"/>
      <c r="O73" s="30"/>
    </row>
    <row r="74" spans="1:15" ht="17.25" customHeight="1" x14ac:dyDescent="0.25">
      <c r="A74" s="640"/>
      <c r="B74" s="685"/>
      <c r="C74" s="585"/>
      <c r="D74" s="1613"/>
      <c r="E74" s="1606"/>
      <c r="F74" s="333"/>
      <c r="G74" s="89"/>
      <c r="H74" s="396"/>
      <c r="I74" s="396"/>
      <c r="J74" s="1625"/>
      <c r="K74" s="483"/>
      <c r="L74" s="29"/>
      <c r="M74" s="16"/>
      <c r="N74" s="1612"/>
    </row>
    <row r="75" spans="1:15" ht="40.5" customHeight="1" x14ac:dyDescent="0.25">
      <c r="A75" s="1586"/>
      <c r="B75" s="1591"/>
      <c r="C75" s="1588"/>
      <c r="D75" s="1543" t="s">
        <v>156</v>
      </c>
      <c r="E75" s="1614"/>
      <c r="F75" s="334"/>
      <c r="G75" s="68"/>
      <c r="H75" s="691"/>
      <c r="I75" s="691"/>
      <c r="J75" s="643" t="s">
        <v>238</v>
      </c>
      <c r="K75" s="487">
        <v>1</v>
      </c>
      <c r="L75" s="695"/>
      <c r="M75" s="693"/>
    </row>
    <row r="76" spans="1:15" ht="15.75" customHeight="1" x14ac:dyDescent="0.25">
      <c r="A76" s="1586"/>
      <c r="B76" s="1591"/>
      <c r="C76" s="1588"/>
      <c r="D76" s="1544"/>
      <c r="E76" s="1615"/>
      <c r="F76" s="407"/>
      <c r="G76" s="56"/>
      <c r="H76" s="36"/>
      <c r="I76" s="36"/>
      <c r="J76" s="547" t="s">
        <v>43</v>
      </c>
      <c r="K76" s="152"/>
      <c r="L76" s="96">
        <v>1</v>
      </c>
      <c r="M76" s="18"/>
    </row>
    <row r="77" spans="1:15" ht="21" customHeight="1" x14ac:dyDescent="0.25">
      <c r="A77" s="1586"/>
      <c r="B77" s="1591"/>
      <c r="C77" s="1588"/>
      <c r="D77" s="1544"/>
      <c r="E77" s="1615"/>
      <c r="F77" s="36"/>
      <c r="G77" s="56"/>
      <c r="H77" s="36"/>
      <c r="I77" s="36"/>
      <c r="J77" s="1624" t="s">
        <v>100</v>
      </c>
      <c r="K77" s="668"/>
      <c r="L77" s="669"/>
      <c r="M77" s="694">
        <v>50</v>
      </c>
    </row>
    <row r="78" spans="1:15" ht="18.75" customHeight="1" x14ac:dyDescent="0.25">
      <c r="A78" s="1586"/>
      <c r="B78" s="1591"/>
      <c r="C78" s="1588"/>
      <c r="D78" s="1613"/>
      <c r="E78" s="1616"/>
      <c r="F78" s="333"/>
      <c r="G78" s="89"/>
      <c r="H78" s="692"/>
      <c r="I78" s="692"/>
      <c r="J78" s="1625"/>
      <c r="K78" s="149"/>
      <c r="L78" s="29"/>
      <c r="M78" s="16"/>
    </row>
    <row r="79" spans="1:15" ht="23.25" customHeight="1" x14ac:dyDescent="0.25">
      <c r="A79" s="684"/>
      <c r="B79" s="661"/>
      <c r="C79" s="123"/>
      <c r="D79" s="1589" t="s">
        <v>97</v>
      </c>
      <c r="E79" s="1626"/>
      <c r="F79" s="36"/>
      <c r="G79" s="35"/>
      <c r="H79" s="36"/>
      <c r="I79" s="36"/>
      <c r="J79" s="650" t="s">
        <v>300</v>
      </c>
      <c r="K79" s="695">
        <v>1</v>
      </c>
      <c r="L79" s="696"/>
      <c r="M79" s="576"/>
      <c r="N79" s="563"/>
    </row>
    <row r="80" spans="1:15" ht="12" customHeight="1" x14ac:dyDescent="0.25">
      <c r="A80" s="684"/>
      <c r="B80" s="641"/>
      <c r="C80" s="123"/>
      <c r="D80" s="1590"/>
      <c r="E80" s="1627"/>
      <c r="F80" s="692"/>
      <c r="G80" s="102"/>
      <c r="H80" s="692"/>
      <c r="I80" s="692"/>
      <c r="J80" s="671"/>
      <c r="K80" s="149"/>
      <c r="L80" s="639"/>
      <c r="M80" s="577"/>
    </row>
    <row r="81" spans="1:15" ht="23.25" customHeight="1" x14ac:dyDescent="0.25">
      <c r="A81" s="684"/>
      <c r="B81" s="661"/>
      <c r="C81" s="123"/>
      <c r="D81" s="1589" t="s">
        <v>135</v>
      </c>
      <c r="E81" s="1626" t="s">
        <v>152</v>
      </c>
      <c r="F81" s="36"/>
      <c r="G81" s="35"/>
      <c r="H81" s="36"/>
      <c r="I81" s="36"/>
      <c r="J81" s="653" t="s">
        <v>43</v>
      </c>
      <c r="K81" s="669">
        <v>1</v>
      </c>
      <c r="L81" s="696"/>
      <c r="M81" s="576"/>
      <c r="N81" s="563"/>
    </row>
    <row r="82" spans="1:15" ht="12" customHeight="1" x14ac:dyDescent="0.25">
      <c r="A82" s="684"/>
      <c r="B82" s="641"/>
      <c r="C82" s="123"/>
      <c r="D82" s="1590"/>
      <c r="E82" s="1627"/>
      <c r="F82" s="692"/>
      <c r="G82" s="102"/>
      <c r="H82" s="692"/>
      <c r="I82" s="692"/>
      <c r="J82" s="671"/>
      <c r="K82" s="149"/>
      <c r="L82" s="639"/>
      <c r="M82" s="577"/>
    </row>
    <row r="83" spans="1:15" ht="23.25" customHeight="1" x14ac:dyDescent="0.25">
      <c r="A83" s="684"/>
      <c r="B83" s="661"/>
      <c r="C83" s="123"/>
      <c r="D83" s="1589" t="s">
        <v>303</v>
      </c>
      <c r="E83" s="1631"/>
      <c r="F83" s="36"/>
      <c r="G83" s="35"/>
      <c r="H83" s="36"/>
      <c r="I83" s="36"/>
      <c r="J83" s="1581" t="s">
        <v>330</v>
      </c>
      <c r="K83" s="695"/>
      <c r="L83" s="714">
        <v>100</v>
      </c>
      <c r="M83" s="576"/>
      <c r="N83" s="563"/>
    </row>
    <row r="84" spans="1:15" ht="30" customHeight="1" x14ac:dyDescent="0.25">
      <c r="A84" s="684"/>
      <c r="B84" s="641"/>
      <c r="C84" s="123"/>
      <c r="D84" s="1590"/>
      <c r="E84" s="1632"/>
      <c r="F84" s="692"/>
      <c r="G84" s="102"/>
      <c r="H84" s="692"/>
      <c r="I84" s="692"/>
      <c r="J84" s="1619"/>
      <c r="K84" s="149"/>
      <c r="L84" s="639"/>
      <c r="M84" s="577"/>
    </row>
    <row r="85" spans="1:15" ht="13.5" customHeight="1" x14ac:dyDescent="0.25">
      <c r="A85" s="640"/>
      <c r="B85" s="685"/>
      <c r="C85" s="55"/>
      <c r="D85" s="1575" t="s">
        <v>203</v>
      </c>
      <c r="E85" s="606"/>
      <c r="F85" s="36"/>
      <c r="G85" s="56"/>
      <c r="H85" s="36"/>
      <c r="I85" s="36"/>
      <c r="J85" s="1581" t="s">
        <v>98</v>
      </c>
      <c r="K85" s="352">
        <v>100</v>
      </c>
      <c r="L85" s="695">
        <v>100</v>
      </c>
      <c r="M85" s="693">
        <v>100</v>
      </c>
    </row>
    <row r="86" spans="1:15" ht="16.5" customHeight="1" x14ac:dyDescent="0.25">
      <c r="A86" s="640"/>
      <c r="B86" s="685"/>
      <c r="C86" s="55"/>
      <c r="D86" s="1603"/>
      <c r="E86" s="606"/>
      <c r="F86" s="36"/>
      <c r="G86" s="56"/>
      <c r="H86" s="36"/>
      <c r="I86" s="36"/>
      <c r="J86" s="1584"/>
      <c r="K86" s="668"/>
      <c r="L86" s="669"/>
      <c r="M86" s="694"/>
    </row>
    <row r="87" spans="1:15" s="6" customFormat="1" ht="27" customHeight="1" x14ac:dyDescent="0.25">
      <c r="A87" s="640"/>
      <c r="B87" s="685"/>
      <c r="C87" s="642"/>
      <c r="D87" s="1623"/>
      <c r="E87" s="607"/>
      <c r="F87" s="605"/>
      <c r="G87" s="168"/>
      <c r="H87" s="169"/>
      <c r="I87" s="169"/>
      <c r="J87" s="1630"/>
      <c r="K87" s="412"/>
      <c r="L87" s="500"/>
      <c r="M87" s="413"/>
    </row>
    <row r="88" spans="1:15" ht="15.75" customHeight="1" x14ac:dyDescent="0.25">
      <c r="A88" s="640"/>
      <c r="B88" s="641"/>
      <c r="C88" s="608"/>
      <c r="D88" s="645" t="s">
        <v>288</v>
      </c>
      <c r="E88" s="672"/>
      <c r="F88" s="36"/>
      <c r="G88" s="36"/>
      <c r="H88" s="36"/>
      <c r="I88" s="36"/>
      <c r="J88" s="653"/>
      <c r="K88" s="56"/>
      <c r="L88" s="127"/>
      <c r="M88" s="24"/>
    </row>
    <row r="89" spans="1:15" ht="27" customHeight="1" x14ac:dyDescent="0.25">
      <c r="A89" s="640"/>
      <c r="B89" s="641"/>
      <c r="C89" s="1620" t="s">
        <v>297</v>
      </c>
      <c r="D89" s="347" t="s">
        <v>331</v>
      </c>
      <c r="E89" s="348"/>
      <c r="F89" s="41"/>
      <c r="G89" s="41"/>
      <c r="H89" s="41"/>
      <c r="I89" s="41"/>
      <c r="J89" s="670" t="s">
        <v>222</v>
      </c>
      <c r="K89" s="322">
        <v>1</v>
      </c>
      <c r="L89" s="304"/>
      <c r="M89" s="615"/>
      <c r="N89" s="559"/>
      <c r="O89" s="557"/>
    </row>
    <row r="90" spans="1:15" ht="26.25" customHeight="1" x14ac:dyDescent="0.25">
      <c r="A90" s="640"/>
      <c r="B90" s="641"/>
      <c r="C90" s="1620"/>
      <c r="D90" s="347" t="s">
        <v>189</v>
      </c>
      <c r="E90" s="672"/>
      <c r="F90" s="36"/>
      <c r="G90" s="36"/>
      <c r="H90" s="36"/>
      <c r="I90" s="36"/>
      <c r="J90" s="653" t="s">
        <v>59</v>
      </c>
      <c r="K90" s="56">
        <v>2.6</v>
      </c>
      <c r="L90" s="127"/>
      <c r="M90" s="24"/>
      <c r="N90" s="706"/>
      <c r="O90" s="557"/>
    </row>
    <row r="91" spans="1:15" ht="27.75" customHeight="1" x14ac:dyDescent="0.25">
      <c r="A91" s="640"/>
      <c r="B91" s="641"/>
      <c r="C91" s="1620"/>
      <c r="D91" s="129" t="s">
        <v>190</v>
      </c>
      <c r="E91" s="672"/>
      <c r="F91" s="36"/>
      <c r="G91" s="36"/>
      <c r="H91" s="36"/>
      <c r="I91" s="36"/>
      <c r="J91" s="653"/>
      <c r="K91" s="56"/>
      <c r="L91" s="127"/>
      <c r="M91" s="24"/>
      <c r="N91" s="567"/>
      <c r="O91" s="567"/>
    </row>
    <row r="92" spans="1:15" ht="15" customHeight="1" x14ac:dyDescent="0.25">
      <c r="A92" s="640"/>
      <c r="B92" s="641"/>
      <c r="C92" s="1620"/>
      <c r="D92" s="129" t="s">
        <v>221</v>
      </c>
      <c r="E92" s="672"/>
      <c r="F92" s="36"/>
      <c r="G92" s="36"/>
      <c r="H92" s="36"/>
      <c r="I92" s="36"/>
      <c r="J92" s="653"/>
      <c r="K92" s="56"/>
      <c r="L92" s="127"/>
      <c r="M92" s="24"/>
      <c r="N92" s="567"/>
      <c r="O92" s="567"/>
    </row>
    <row r="93" spans="1:15" ht="15" customHeight="1" x14ac:dyDescent="0.25">
      <c r="A93" s="640"/>
      <c r="B93" s="641"/>
      <c r="C93" s="1620"/>
      <c r="D93" s="129" t="s">
        <v>332</v>
      </c>
      <c r="E93" s="672"/>
      <c r="F93" s="36"/>
      <c r="G93" s="36"/>
      <c r="H93" s="36"/>
      <c r="I93" s="36"/>
      <c r="J93" s="653"/>
      <c r="K93" s="56"/>
      <c r="L93" s="127"/>
      <c r="M93" s="24"/>
      <c r="N93" s="567"/>
      <c r="O93" s="567"/>
    </row>
    <row r="94" spans="1:15" ht="26.25" customHeight="1" x14ac:dyDescent="0.25">
      <c r="A94" s="640"/>
      <c r="B94" s="641"/>
      <c r="C94" s="1620"/>
      <c r="D94" s="162" t="s">
        <v>333</v>
      </c>
      <c r="E94" s="672"/>
      <c r="F94" s="36"/>
      <c r="G94" s="36"/>
      <c r="H94" s="36"/>
      <c r="I94" s="36"/>
      <c r="J94" s="653"/>
      <c r="K94" s="56"/>
      <c r="L94" s="127"/>
      <c r="M94" s="24"/>
    </row>
    <row r="95" spans="1:15" ht="27.75" customHeight="1" x14ac:dyDescent="0.25">
      <c r="A95" s="640"/>
      <c r="B95" s="641"/>
      <c r="C95" s="1620"/>
      <c r="D95" s="347" t="s">
        <v>250</v>
      </c>
      <c r="E95" s="672"/>
      <c r="F95" s="36"/>
      <c r="G95" s="36"/>
      <c r="H95" s="36"/>
      <c r="I95" s="36"/>
      <c r="J95" s="653"/>
      <c r="K95" s="56"/>
      <c r="L95" s="127"/>
      <c r="M95" s="24"/>
    </row>
    <row r="96" spans="1:15" ht="14.25" customHeight="1" x14ac:dyDescent="0.25">
      <c r="A96" s="640"/>
      <c r="B96" s="641"/>
      <c r="C96" s="1621"/>
      <c r="D96" s="720" t="s">
        <v>118</v>
      </c>
      <c r="E96" s="672"/>
      <c r="F96" s="721"/>
      <c r="G96" s="721"/>
      <c r="H96" s="721"/>
      <c r="I96" s="721"/>
      <c r="J96" s="722"/>
      <c r="K96" s="723"/>
      <c r="L96" s="724"/>
      <c r="M96" s="725"/>
    </row>
    <row r="97" spans="1:15" ht="29.25" customHeight="1" x14ac:dyDescent="0.25">
      <c r="A97" s="640"/>
      <c r="B97" s="641"/>
      <c r="C97" s="1620" t="s">
        <v>165</v>
      </c>
      <c r="D97" s="321" t="s">
        <v>224</v>
      </c>
      <c r="E97" s="672"/>
      <c r="F97" s="36"/>
      <c r="G97" s="36"/>
      <c r="H97" s="36"/>
      <c r="I97" s="36"/>
      <c r="J97" s="653" t="s">
        <v>301</v>
      </c>
      <c r="K97" s="65"/>
      <c r="L97" s="23">
        <v>3.4</v>
      </c>
      <c r="M97" s="24">
        <v>3.4</v>
      </c>
    </row>
    <row r="98" spans="1:15" ht="18.75" customHeight="1" x14ac:dyDescent="0.25">
      <c r="A98" s="640"/>
      <c r="B98" s="641"/>
      <c r="C98" s="1620"/>
      <c r="D98" s="129" t="s">
        <v>338</v>
      </c>
      <c r="E98" s="672"/>
      <c r="F98" s="36"/>
      <c r="G98" s="36"/>
      <c r="H98" s="36"/>
      <c r="I98" s="36"/>
      <c r="J98" s="653"/>
      <c r="K98" s="56"/>
      <c r="L98" s="23"/>
      <c r="M98" s="24"/>
    </row>
    <row r="99" spans="1:15" ht="18.75" customHeight="1" x14ac:dyDescent="0.25">
      <c r="A99" s="640"/>
      <c r="B99" s="641"/>
      <c r="C99" s="1622"/>
      <c r="D99" s="440" t="s">
        <v>337</v>
      </c>
      <c r="E99" s="672"/>
      <c r="F99" s="692"/>
      <c r="G99" s="692"/>
      <c r="H99" s="692"/>
      <c r="I99" s="692"/>
      <c r="J99" s="671"/>
      <c r="K99" s="89"/>
      <c r="L99" s="25"/>
      <c r="M99" s="26"/>
    </row>
    <row r="100" spans="1:15" ht="26.25" customHeight="1" x14ac:dyDescent="0.25">
      <c r="A100" s="640"/>
      <c r="B100" s="641"/>
      <c r="C100" s="123"/>
      <c r="D100" s="1543" t="s">
        <v>78</v>
      </c>
      <c r="E100" s="657"/>
      <c r="F100" s="691"/>
      <c r="G100" s="691"/>
      <c r="H100" s="691"/>
      <c r="I100" s="691"/>
      <c r="J100" s="650" t="s">
        <v>178</v>
      </c>
      <c r="K100" s="306" t="s">
        <v>177</v>
      </c>
      <c r="L100" s="703" t="s">
        <v>177</v>
      </c>
      <c r="M100" s="688" t="s">
        <v>177</v>
      </c>
      <c r="N100" s="559"/>
      <c r="O100" s="559"/>
    </row>
    <row r="101" spans="1:15" ht="26.25" customHeight="1" x14ac:dyDescent="0.25">
      <c r="A101" s="640"/>
      <c r="B101" s="641"/>
      <c r="C101" s="123"/>
      <c r="D101" s="1544"/>
      <c r="E101" s="672"/>
      <c r="F101" s="36"/>
      <c r="G101" s="36"/>
      <c r="H101" s="36"/>
      <c r="I101" s="36"/>
      <c r="J101" s="47" t="s">
        <v>37</v>
      </c>
      <c r="K101" s="111" t="s">
        <v>395</v>
      </c>
      <c r="L101" s="474" t="s">
        <v>179</v>
      </c>
      <c r="M101" s="294" t="s">
        <v>179</v>
      </c>
      <c r="N101" s="567"/>
      <c r="O101" s="567"/>
    </row>
    <row r="102" spans="1:15" ht="15.75" customHeight="1" x14ac:dyDescent="0.25">
      <c r="A102" s="640"/>
      <c r="B102" s="641"/>
      <c r="C102" s="123"/>
      <c r="D102" s="1544"/>
      <c r="E102" s="672"/>
      <c r="F102" s="36"/>
      <c r="G102" s="36"/>
      <c r="H102" s="36"/>
      <c r="I102" s="36"/>
      <c r="J102" s="47" t="s">
        <v>58</v>
      </c>
      <c r="K102" s="111" t="s">
        <v>173</v>
      </c>
      <c r="L102" s="474" t="s">
        <v>173</v>
      </c>
      <c r="M102" s="294" t="s">
        <v>173</v>
      </c>
    </row>
    <row r="103" spans="1:15" ht="29.25" customHeight="1" x14ac:dyDescent="0.25">
      <c r="A103" s="640"/>
      <c r="B103" s="641"/>
      <c r="C103" s="123"/>
      <c r="D103" s="1613"/>
      <c r="E103" s="681"/>
      <c r="F103" s="40"/>
      <c r="G103" s="692"/>
      <c r="H103" s="692"/>
      <c r="I103" s="692"/>
      <c r="J103" s="671" t="s">
        <v>198</v>
      </c>
      <c r="K103" s="219" t="s">
        <v>199</v>
      </c>
      <c r="L103" s="452"/>
      <c r="M103" s="689"/>
    </row>
    <row r="104" spans="1:15" ht="15" customHeight="1" x14ac:dyDescent="0.25">
      <c r="A104" s="1586"/>
      <c r="B104" s="1587"/>
      <c r="C104" s="1588"/>
      <c r="D104" s="1589" t="s">
        <v>47</v>
      </c>
      <c r="E104" s="672"/>
      <c r="F104" s="36"/>
      <c r="G104" s="36"/>
      <c r="H104" s="36"/>
      <c r="I104" s="36"/>
      <c r="J104" s="1581" t="s">
        <v>175</v>
      </c>
      <c r="K104" s="306" t="s">
        <v>174</v>
      </c>
      <c r="L104" s="703" t="s">
        <v>174</v>
      </c>
      <c r="M104" s="204" t="s">
        <v>174</v>
      </c>
    </row>
    <row r="105" spans="1:15" ht="14.25" customHeight="1" x14ac:dyDescent="0.25">
      <c r="A105" s="1586"/>
      <c r="B105" s="1587"/>
      <c r="C105" s="1588"/>
      <c r="D105" s="1590"/>
      <c r="E105" s="681"/>
      <c r="F105" s="295"/>
      <c r="G105" s="295"/>
      <c r="H105" s="692"/>
      <c r="I105" s="692"/>
      <c r="J105" s="1619"/>
      <c r="K105" s="89"/>
      <c r="L105" s="25"/>
      <c r="M105" s="26"/>
    </row>
    <row r="106" spans="1:15" ht="15.75" customHeight="1" x14ac:dyDescent="0.25">
      <c r="A106" s="1586"/>
      <c r="B106" s="1587"/>
      <c r="C106" s="1588"/>
      <c r="D106" s="1634" t="s">
        <v>167</v>
      </c>
      <c r="E106" s="1637"/>
      <c r="F106" s="691"/>
      <c r="G106" s="691"/>
      <c r="H106" s="691"/>
      <c r="I106" s="691"/>
      <c r="J106" s="372" t="s">
        <v>180</v>
      </c>
      <c r="K106" s="253" t="s">
        <v>354</v>
      </c>
      <c r="L106" s="253" t="s">
        <v>227</v>
      </c>
      <c r="M106" s="226" t="s">
        <v>227</v>
      </c>
      <c r="N106" s="559"/>
      <c r="O106" s="560"/>
    </row>
    <row r="107" spans="1:15" ht="15.75" customHeight="1" x14ac:dyDescent="0.25">
      <c r="A107" s="1586"/>
      <c r="B107" s="1587"/>
      <c r="C107" s="1588"/>
      <c r="D107" s="1635"/>
      <c r="E107" s="1638"/>
      <c r="F107" s="36"/>
      <c r="G107" s="36"/>
      <c r="H107" s="36"/>
      <c r="I107" s="36"/>
      <c r="J107" s="653" t="s">
        <v>176</v>
      </c>
      <c r="K107" s="504" t="s">
        <v>382</v>
      </c>
      <c r="L107" s="114" t="s">
        <v>227</v>
      </c>
      <c r="M107" s="171" t="s">
        <v>227</v>
      </c>
      <c r="N107" s="559"/>
      <c r="O107" s="559"/>
    </row>
    <row r="108" spans="1:15" ht="5.25" customHeight="1" x14ac:dyDescent="0.25">
      <c r="A108" s="1586"/>
      <c r="B108" s="1587"/>
      <c r="C108" s="1588"/>
      <c r="D108" s="1636"/>
      <c r="E108" s="1639"/>
      <c r="F108" s="36"/>
      <c r="G108" s="36"/>
      <c r="H108" s="36"/>
      <c r="I108" s="36"/>
      <c r="J108" s="653"/>
      <c r="K108" s="504"/>
      <c r="L108" s="114"/>
      <c r="M108" s="171"/>
      <c r="N108" s="559"/>
      <c r="O108" s="560"/>
    </row>
    <row r="109" spans="1:15" ht="18" customHeight="1" x14ac:dyDescent="0.25">
      <c r="A109" s="640"/>
      <c r="B109" s="641"/>
      <c r="C109" s="642"/>
      <c r="D109" s="1633" t="s">
        <v>77</v>
      </c>
      <c r="E109" s="672"/>
      <c r="F109" s="691"/>
      <c r="G109" s="691"/>
      <c r="H109" s="691"/>
      <c r="I109" s="691"/>
      <c r="J109" s="1581" t="s">
        <v>105</v>
      </c>
      <c r="K109" s="352">
        <v>4</v>
      </c>
      <c r="L109" s="580">
        <v>8</v>
      </c>
      <c r="M109" s="581">
        <v>8</v>
      </c>
      <c r="N109" s="399"/>
      <c r="O109" s="399"/>
    </row>
    <row r="110" spans="1:15" ht="16.5" customHeight="1" x14ac:dyDescent="0.25">
      <c r="A110" s="640"/>
      <c r="B110" s="641"/>
      <c r="C110" s="642"/>
      <c r="D110" s="1633"/>
      <c r="E110" s="672"/>
      <c r="F110" s="692"/>
      <c r="G110" s="692"/>
      <c r="H110" s="692"/>
      <c r="I110" s="692"/>
      <c r="J110" s="1619"/>
      <c r="K110" s="149"/>
      <c r="L110" s="29"/>
      <c r="M110" s="16"/>
      <c r="N110" s="399"/>
      <c r="O110" s="399"/>
    </row>
    <row r="111" spans="1:15" ht="12" customHeight="1" x14ac:dyDescent="0.25">
      <c r="A111" s="684"/>
      <c r="B111" s="641"/>
      <c r="C111" s="585"/>
      <c r="D111" s="1589" t="s">
        <v>36</v>
      </c>
      <c r="E111" s="664"/>
      <c r="F111" s="33"/>
      <c r="G111" s="36"/>
      <c r="H111" s="36"/>
      <c r="I111" s="36"/>
      <c r="J111" s="650" t="s">
        <v>166</v>
      </c>
      <c r="K111" s="668">
        <v>15</v>
      </c>
      <c r="L111" s="669">
        <v>15</v>
      </c>
      <c r="M111" s="694">
        <v>15</v>
      </c>
    </row>
    <row r="112" spans="1:15" ht="12.75" customHeight="1" x14ac:dyDescent="0.25">
      <c r="A112" s="684"/>
      <c r="B112" s="641"/>
      <c r="C112" s="585"/>
      <c r="D112" s="1590"/>
      <c r="E112" s="681"/>
      <c r="F112" s="692"/>
      <c r="G112" s="692"/>
      <c r="H112" s="48"/>
      <c r="I112" s="48"/>
      <c r="J112" s="653"/>
      <c r="K112" s="149"/>
      <c r="L112" s="29"/>
      <c r="M112" s="16"/>
    </row>
    <row r="113" spans="1:15" ht="17.25" customHeight="1" x14ac:dyDescent="0.25">
      <c r="A113" s="684"/>
      <c r="B113" s="641"/>
      <c r="C113" s="585"/>
      <c r="D113" s="1589" t="s">
        <v>340</v>
      </c>
      <c r="E113" s="323"/>
      <c r="F113" s="332"/>
      <c r="G113" s="691"/>
      <c r="H113" s="691"/>
      <c r="I113" s="691"/>
      <c r="J113" s="431" t="s">
        <v>71</v>
      </c>
      <c r="K113" s="668">
        <v>1</v>
      </c>
      <c r="L113" s="669"/>
      <c r="M113" s="694"/>
    </row>
    <row r="114" spans="1:15" ht="26.25" customHeight="1" x14ac:dyDescent="0.25">
      <c r="A114" s="684"/>
      <c r="B114" s="641"/>
      <c r="C114" s="585"/>
      <c r="D114" s="1590"/>
      <c r="E114" s="681"/>
      <c r="F114" s="333"/>
      <c r="G114" s="692"/>
      <c r="H114" s="692"/>
      <c r="I114" s="692"/>
      <c r="J114" s="14" t="s">
        <v>160</v>
      </c>
      <c r="K114" s="324"/>
      <c r="L114" s="361"/>
      <c r="M114" s="311"/>
    </row>
    <row r="115" spans="1:15" ht="13.5" customHeight="1" x14ac:dyDescent="0.25">
      <c r="A115" s="684"/>
      <c r="B115" s="685"/>
      <c r="C115" s="123"/>
      <c r="D115" s="1589" t="s">
        <v>341</v>
      </c>
      <c r="E115" s="323"/>
      <c r="F115" s="334"/>
      <c r="G115" s="691"/>
      <c r="H115" s="691"/>
      <c r="I115" s="691"/>
      <c r="J115" s="454" t="s">
        <v>225</v>
      </c>
      <c r="K115" s="308">
        <v>1</v>
      </c>
      <c r="L115" s="259"/>
      <c r="M115" s="309"/>
      <c r="N115" s="271"/>
    </row>
    <row r="116" spans="1:15" ht="25.5" customHeight="1" x14ac:dyDescent="0.25">
      <c r="A116" s="684"/>
      <c r="B116" s="685"/>
      <c r="C116" s="123"/>
      <c r="D116" s="1590"/>
      <c r="E116" s="220"/>
      <c r="F116" s="335"/>
      <c r="G116" s="692"/>
      <c r="H116" s="692"/>
      <c r="I116" s="692"/>
      <c r="J116" s="14" t="s">
        <v>226</v>
      </c>
      <c r="K116" s="324"/>
      <c r="L116" s="29">
        <v>100</v>
      </c>
      <c r="M116" s="16"/>
      <c r="N116" s="441"/>
    </row>
    <row r="117" spans="1:15" ht="17.25" customHeight="1" x14ac:dyDescent="0.25">
      <c r="A117" s="684"/>
      <c r="B117" s="641"/>
      <c r="C117" s="642"/>
      <c r="D117" s="645" t="s">
        <v>191</v>
      </c>
      <c r="E117" s="323"/>
      <c r="F117" s="318"/>
      <c r="G117" s="319"/>
      <c r="H117" s="691"/>
      <c r="I117" s="691"/>
      <c r="J117" s="677" t="s">
        <v>43</v>
      </c>
      <c r="K117" s="222">
        <v>3</v>
      </c>
      <c r="L117" s="223"/>
      <c r="M117" s="115"/>
      <c r="N117" s="399"/>
      <c r="O117" s="30"/>
    </row>
    <row r="118" spans="1:15" ht="24.75" customHeight="1" x14ac:dyDescent="0.25">
      <c r="A118" s="659"/>
      <c r="B118" s="661"/>
      <c r="C118" s="656"/>
      <c r="D118" s="320" t="s">
        <v>342</v>
      </c>
      <c r="E118" s="1655"/>
      <c r="F118" s="315"/>
      <c r="G118" s="56"/>
      <c r="H118" s="36"/>
      <c r="I118" s="36"/>
      <c r="J118" s="1548" t="s">
        <v>251</v>
      </c>
      <c r="K118" s="397"/>
      <c r="L118" s="392">
        <v>100</v>
      </c>
      <c r="M118" s="326"/>
      <c r="O118" s="30"/>
    </row>
    <row r="119" spans="1:15" ht="15" customHeight="1" x14ac:dyDescent="0.25">
      <c r="A119" s="659"/>
      <c r="B119" s="661"/>
      <c r="C119" s="656"/>
      <c r="D119" s="320" t="s">
        <v>192</v>
      </c>
      <c r="E119" s="1655"/>
      <c r="F119" s="315"/>
      <c r="G119" s="50"/>
      <c r="H119" s="616"/>
      <c r="I119" s="616"/>
      <c r="J119" s="1657"/>
      <c r="K119" s="245"/>
      <c r="L119" s="355"/>
      <c r="M119" s="301"/>
    </row>
    <row r="120" spans="1:15" ht="27" customHeight="1" x14ac:dyDescent="0.25">
      <c r="A120" s="659"/>
      <c r="B120" s="661"/>
      <c r="C120" s="656"/>
      <c r="D120" s="654" t="s">
        <v>193</v>
      </c>
      <c r="E120" s="1656"/>
      <c r="F120" s="316"/>
      <c r="G120" s="89"/>
      <c r="H120" s="286"/>
      <c r="I120" s="36"/>
      <c r="J120" s="14" t="s">
        <v>252</v>
      </c>
      <c r="K120" s="192"/>
      <c r="L120" s="192"/>
      <c r="M120" s="160">
        <v>100</v>
      </c>
    </row>
    <row r="121" spans="1:15" ht="17.25" customHeight="1" x14ac:dyDescent="0.25">
      <c r="A121" s="684"/>
      <c r="B121" s="685"/>
      <c r="C121" s="55"/>
      <c r="D121" s="1589" t="s">
        <v>228</v>
      </c>
      <c r="E121" s="323"/>
      <c r="F121" s="334"/>
      <c r="G121" s="691"/>
      <c r="H121" s="691"/>
      <c r="I121" s="691"/>
      <c r="J121" s="431" t="s">
        <v>71</v>
      </c>
      <c r="K121" s="308">
        <v>1</v>
      </c>
      <c r="L121" s="259"/>
      <c r="M121" s="155"/>
      <c r="N121" s="399"/>
    </row>
    <row r="122" spans="1:15" ht="28.5" customHeight="1" x14ac:dyDescent="0.25">
      <c r="A122" s="684"/>
      <c r="B122" s="685"/>
      <c r="C122" s="55"/>
      <c r="D122" s="1590"/>
      <c r="E122" s="220"/>
      <c r="F122" s="335"/>
      <c r="G122" s="692"/>
      <c r="H122" s="692"/>
      <c r="I122" s="692"/>
      <c r="J122" s="14" t="s">
        <v>229</v>
      </c>
      <c r="K122" s="324"/>
      <c r="L122" s="29">
        <v>50</v>
      </c>
      <c r="M122" s="16">
        <v>100</v>
      </c>
      <c r="O122" s="30"/>
    </row>
    <row r="123" spans="1:15" ht="16.5" customHeight="1" x14ac:dyDescent="0.25">
      <c r="A123" s="684"/>
      <c r="B123" s="685"/>
      <c r="C123" s="55"/>
      <c r="D123" s="1589" t="s">
        <v>230</v>
      </c>
      <c r="E123" s="323"/>
      <c r="F123" s="334"/>
      <c r="G123" s="691"/>
      <c r="H123" s="49"/>
      <c r="I123" s="691"/>
      <c r="J123" s="394" t="s">
        <v>231</v>
      </c>
      <c r="K123" s="455">
        <v>10</v>
      </c>
      <c r="L123" s="456">
        <v>10</v>
      </c>
      <c r="M123" s="457">
        <v>10</v>
      </c>
      <c r="O123" s="30"/>
    </row>
    <row r="124" spans="1:15" ht="12.75" customHeight="1" x14ac:dyDescent="0.25">
      <c r="A124" s="684"/>
      <c r="B124" s="685"/>
      <c r="C124" s="55"/>
      <c r="D124" s="1590"/>
      <c r="E124" s="220"/>
      <c r="F124" s="27"/>
      <c r="G124" s="692"/>
      <c r="H124" s="89"/>
      <c r="I124" s="692"/>
      <c r="J124" s="395"/>
      <c r="K124" s="15"/>
      <c r="L124" s="436"/>
      <c r="M124" s="310"/>
      <c r="O124" s="30"/>
    </row>
    <row r="125" spans="1:15" ht="14.25" customHeight="1" thickBot="1" x14ac:dyDescent="0.3">
      <c r="A125" s="610"/>
      <c r="B125" s="611"/>
      <c r="C125" s="609"/>
      <c r="D125" s="469"/>
      <c r="E125" s="470"/>
      <c r="F125" s="103" t="s">
        <v>5</v>
      </c>
      <c r="G125" s="51">
        <f>SUM(G16:G124)</f>
        <v>24498.400000000001</v>
      </c>
      <c r="H125" s="139">
        <f>SUM(H16:H124)</f>
        <v>36479.300000000003</v>
      </c>
      <c r="I125" s="51">
        <f>SUM(I16:I124)</f>
        <v>35822.400000000001</v>
      </c>
      <c r="J125" s="471"/>
      <c r="K125" s="251"/>
      <c r="L125" s="108"/>
      <c r="M125" s="227"/>
    </row>
    <row r="126" spans="1:15" ht="14.25" customHeight="1" thickBot="1" x14ac:dyDescent="0.3">
      <c r="A126" s="42" t="s">
        <v>4</v>
      </c>
      <c r="B126" s="138" t="s">
        <v>4</v>
      </c>
      <c r="C126" s="1648" t="s">
        <v>7</v>
      </c>
      <c r="D126" s="1649"/>
      <c r="E126" s="1649"/>
      <c r="F126" s="1649"/>
      <c r="G126" s="81">
        <f t="shared" ref="G126:I126" si="0">G125</f>
        <v>24498.400000000001</v>
      </c>
      <c r="H126" s="614">
        <f t="shared" si="0"/>
        <v>36479.300000000003</v>
      </c>
      <c r="I126" s="81">
        <f t="shared" si="0"/>
        <v>35822.400000000001</v>
      </c>
      <c r="J126" s="666"/>
      <c r="K126" s="584"/>
      <c r="L126" s="666"/>
      <c r="M126" s="667"/>
    </row>
    <row r="127" spans="1:15" ht="14.25" customHeight="1" thickBot="1" x14ac:dyDescent="0.3">
      <c r="A127" s="42" t="s">
        <v>4</v>
      </c>
      <c r="B127" s="138" t="s">
        <v>6</v>
      </c>
      <c r="C127" s="1650" t="s">
        <v>29</v>
      </c>
      <c r="D127" s="1650"/>
      <c r="E127" s="1650"/>
      <c r="F127" s="1650"/>
      <c r="G127" s="1651"/>
      <c r="H127" s="1651"/>
      <c r="I127" s="1651"/>
      <c r="J127" s="1650"/>
      <c r="K127" s="1652"/>
      <c r="L127" s="1652"/>
      <c r="M127" s="1653"/>
    </row>
    <row r="128" spans="1:15" ht="12.75" customHeight="1" x14ac:dyDescent="0.25">
      <c r="A128" s="663" t="s">
        <v>4</v>
      </c>
      <c r="B128" s="137" t="s">
        <v>6</v>
      </c>
      <c r="C128" s="353" t="s">
        <v>4</v>
      </c>
      <c r="D128" s="1658" t="s">
        <v>50</v>
      </c>
      <c r="E128" s="1661" t="s">
        <v>294</v>
      </c>
      <c r="F128" s="107" t="s">
        <v>23</v>
      </c>
      <c r="G128" s="122">
        <f>3489.3+300+695.1+408.2</f>
        <v>4892.6000000000004</v>
      </c>
      <c r="H128" s="121">
        <v>5773.2</v>
      </c>
      <c r="I128" s="107">
        <v>5913.2</v>
      </c>
      <c r="J128" s="803"/>
      <c r="K128" s="342"/>
      <c r="L128" s="617"/>
      <c r="M128" s="344"/>
    </row>
    <row r="129" spans="1:15" ht="12.75" customHeight="1" x14ac:dyDescent="0.25">
      <c r="A129" s="640"/>
      <c r="B129" s="685"/>
      <c r="C129" s="642"/>
      <c r="D129" s="1659"/>
      <c r="E129" s="1577"/>
      <c r="F129" s="36" t="s">
        <v>53</v>
      </c>
      <c r="G129" s="56">
        <f>2001.8-230+230</f>
        <v>2001.8</v>
      </c>
      <c r="H129" s="45">
        <v>0</v>
      </c>
      <c r="I129" s="36">
        <v>0</v>
      </c>
      <c r="J129" s="101"/>
      <c r="K129" s="100"/>
      <c r="L129" s="217"/>
      <c r="M129" s="229"/>
    </row>
    <row r="130" spans="1:15" ht="12" customHeight="1" x14ac:dyDescent="0.25">
      <c r="A130" s="640"/>
      <c r="B130" s="685"/>
      <c r="C130" s="642"/>
      <c r="D130" s="1659"/>
      <c r="E130" s="1577"/>
      <c r="F130" s="36" t="s">
        <v>61</v>
      </c>
      <c r="G130" s="56">
        <f>635.7-17.9</f>
        <v>617.79999999999995</v>
      </c>
      <c r="H130" s="45">
        <f>350+43.2</f>
        <v>393.2</v>
      </c>
      <c r="I130" s="36">
        <v>600</v>
      </c>
      <c r="J130" s="101"/>
      <c r="K130" s="100"/>
      <c r="L130" s="217"/>
      <c r="M130" s="229"/>
    </row>
    <row r="131" spans="1:15" ht="9.75" customHeight="1" x14ac:dyDescent="0.25">
      <c r="A131" s="640"/>
      <c r="B131" s="685"/>
      <c r="C131" s="642"/>
      <c r="D131" s="1660"/>
      <c r="E131" s="726"/>
      <c r="F131" s="36"/>
      <c r="G131" s="56"/>
      <c r="H131" s="45"/>
      <c r="I131" s="36"/>
      <c r="J131" s="101"/>
      <c r="K131" s="100"/>
      <c r="L131" s="217"/>
      <c r="M131" s="229"/>
    </row>
    <row r="132" spans="1:15" ht="14.25" customHeight="1" x14ac:dyDescent="0.25">
      <c r="A132" s="640"/>
      <c r="B132" s="685"/>
      <c r="C132" s="642"/>
      <c r="D132" s="680" t="s">
        <v>46</v>
      </c>
      <c r="E132" s="701"/>
      <c r="F132" s="215"/>
      <c r="G132" s="350"/>
      <c r="H132" s="156"/>
      <c r="I132" s="215"/>
      <c r="J132" s="804"/>
      <c r="K132" s="426"/>
      <c r="L132" s="434"/>
      <c r="M132" s="428"/>
    </row>
    <row r="133" spans="1:15" ht="12.75" customHeight="1" x14ac:dyDescent="0.25">
      <c r="A133" s="640"/>
      <c r="B133" s="685"/>
      <c r="C133" s="642"/>
      <c r="D133" s="1654" t="s">
        <v>65</v>
      </c>
      <c r="E133" s="618" t="s">
        <v>246</v>
      </c>
      <c r="F133" s="36"/>
      <c r="G133" s="65"/>
      <c r="H133" s="36"/>
      <c r="I133" s="36"/>
      <c r="J133" s="625" t="s">
        <v>38</v>
      </c>
      <c r="K133" s="127">
        <v>5.3</v>
      </c>
      <c r="L133" s="127">
        <v>6</v>
      </c>
      <c r="M133" s="24">
        <v>6</v>
      </c>
      <c r="N133" s="399"/>
    </row>
    <row r="134" spans="1:15" ht="14.25" customHeight="1" x14ac:dyDescent="0.25">
      <c r="A134" s="640"/>
      <c r="B134" s="685"/>
      <c r="C134" s="642"/>
      <c r="D134" s="1654"/>
      <c r="E134" s="649"/>
      <c r="F134" s="38"/>
      <c r="G134" s="382"/>
      <c r="H134" s="77"/>
      <c r="I134" s="38"/>
      <c r="J134" s="754"/>
      <c r="K134" s="153"/>
      <c r="L134" s="176"/>
      <c r="M134" s="421"/>
    </row>
    <row r="135" spans="1:15" ht="14.25" customHeight="1" x14ac:dyDescent="0.25">
      <c r="A135" s="640"/>
      <c r="B135" s="685"/>
      <c r="C135" s="642"/>
      <c r="D135" s="1662" t="s">
        <v>66</v>
      </c>
      <c r="E135" s="649"/>
      <c r="F135" s="36"/>
      <c r="G135" s="65"/>
      <c r="H135" s="73"/>
      <c r="I135" s="36"/>
      <c r="J135" s="753" t="s">
        <v>101</v>
      </c>
      <c r="K135" s="23">
        <v>2.4</v>
      </c>
      <c r="L135" s="23">
        <v>3.2</v>
      </c>
      <c r="M135" s="21">
        <v>3.2</v>
      </c>
    </row>
    <row r="136" spans="1:15" ht="27.75" customHeight="1" x14ac:dyDescent="0.25">
      <c r="A136" s="640"/>
      <c r="B136" s="685"/>
      <c r="C136" s="642"/>
      <c r="D136" s="1663"/>
      <c r="E136" s="649"/>
      <c r="F136" s="36"/>
      <c r="G136" s="65"/>
      <c r="H136" s="73"/>
      <c r="I136" s="36"/>
      <c r="J136" s="414" t="s">
        <v>196</v>
      </c>
      <c r="K136" s="380">
        <v>2</v>
      </c>
      <c r="L136" s="380">
        <v>2</v>
      </c>
      <c r="M136" s="442">
        <v>2</v>
      </c>
    </row>
    <row r="137" spans="1:15" ht="26.25" customHeight="1" x14ac:dyDescent="0.25">
      <c r="A137" s="640"/>
      <c r="B137" s="685"/>
      <c r="C137" s="642"/>
      <c r="D137" s="144" t="s">
        <v>67</v>
      </c>
      <c r="E137" s="707"/>
      <c r="F137" s="34"/>
      <c r="G137" s="385"/>
      <c r="H137" s="75"/>
      <c r="I137" s="34"/>
      <c r="J137" s="372" t="s">
        <v>102</v>
      </c>
      <c r="K137" s="69">
        <v>16</v>
      </c>
      <c r="L137" s="443">
        <v>20.5</v>
      </c>
      <c r="M137" s="623">
        <v>20.5</v>
      </c>
    </row>
    <row r="138" spans="1:15" ht="26.25" customHeight="1" x14ac:dyDescent="0.25">
      <c r="A138" s="741"/>
      <c r="B138" s="758"/>
      <c r="C138" s="742"/>
      <c r="D138" s="757" t="s">
        <v>304</v>
      </c>
      <c r="E138" s="745"/>
      <c r="F138" s="34"/>
      <c r="G138" s="385"/>
      <c r="H138" s="75"/>
      <c r="I138" s="34"/>
      <c r="J138" s="47" t="s">
        <v>305</v>
      </c>
      <c r="K138" s="307" t="s">
        <v>49</v>
      </c>
      <c r="L138" s="808" t="s">
        <v>49</v>
      </c>
      <c r="M138" s="805" t="s">
        <v>49</v>
      </c>
    </row>
    <row r="139" spans="1:15" ht="15.75" customHeight="1" x14ac:dyDescent="0.25">
      <c r="A139" s="640"/>
      <c r="B139" s="685"/>
      <c r="C139" s="642"/>
      <c r="D139" s="1640" t="s">
        <v>95</v>
      </c>
      <c r="E139" s="707"/>
      <c r="F139" s="36"/>
      <c r="G139" s="65"/>
      <c r="H139" s="73"/>
      <c r="I139" s="36"/>
      <c r="J139" s="1641" t="s">
        <v>186</v>
      </c>
      <c r="K139" s="1046">
        <v>2</v>
      </c>
      <c r="L139" s="223">
        <v>6</v>
      </c>
      <c r="M139" s="115">
        <v>6</v>
      </c>
    </row>
    <row r="140" spans="1:15" ht="14.25" customHeight="1" x14ac:dyDescent="0.25">
      <c r="A140" s="640"/>
      <c r="B140" s="685"/>
      <c r="C140" s="642"/>
      <c r="D140" s="1603"/>
      <c r="E140" s="707"/>
      <c r="F140" s="36"/>
      <c r="G140" s="56"/>
      <c r="H140" s="45"/>
      <c r="I140" s="36"/>
      <c r="J140" s="1642"/>
      <c r="K140" s="752"/>
      <c r="L140" s="752"/>
      <c r="M140" s="760"/>
    </row>
    <row r="141" spans="1:15" ht="9" customHeight="1" x14ac:dyDescent="0.25">
      <c r="A141" s="640"/>
      <c r="B141" s="685"/>
      <c r="C141" s="642"/>
      <c r="D141" s="1623"/>
      <c r="E141" s="708"/>
      <c r="F141" s="36"/>
      <c r="G141" s="56"/>
      <c r="H141" s="45"/>
      <c r="I141" s="36"/>
      <c r="J141" s="1643"/>
      <c r="K141" s="29"/>
      <c r="L141" s="29"/>
      <c r="M141" s="16"/>
    </row>
    <row r="142" spans="1:15" ht="14.25" customHeight="1" x14ac:dyDescent="0.25">
      <c r="A142" s="640"/>
      <c r="B142" s="685"/>
      <c r="C142" s="642"/>
      <c r="D142" s="503" t="s">
        <v>111</v>
      </c>
      <c r="E142" s="701"/>
      <c r="F142" s="691"/>
      <c r="G142" s="197"/>
      <c r="H142" s="84"/>
      <c r="I142" s="341"/>
      <c r="J142" s="644"/>
      <c r="K142" s="98"/>
      <c r="L142" s="98"/>
      <c r="M142" s="150"/>
      <c r="O142" s="30"/>
    </row>
    <row r="143" spans="1:15" ht="42.75" customHeight="1" x14ac:dyDescent="0.25">
      <c r="A143" s="640"/>
      <c r="B143" s="685"/>
      <c r="C143" s="642"/>
      <c r="D143" s="143" t="s">
        <v>257</v>
      </c>
      <c r="E143" s="1033"/>
      <c r="F143" s="38"/>
      <c r="G143" s="382"/>
      <c r="H143" s="77"/>
      <c r="I143" s="38"/>
      <c r="J143" s="548" t="s">
        <v>109</v>
      </c>
      <c r="K143" s="176"/>
      <c r="L143" s="176">
        <v>21</v>
      </c>
      <c r="M143" s="277">
        <v>21</v>
      </c>
    </row>
    <row r="144" spans="1:15" ht="42.75" customHeight="1" x14ac:dyDescent="0.25">
      <c r="A144" s="913"/>
      <c r="B144" s="914"/>
      <c r="C144" s="915"/>
      <c r="D144" s="1061" t="s">
        <v>362</v>
      </c>
      <c r="E144" s="1033"/>
      <c r="F144" s="36"/>
      <c r="G144" s="65"/>
      <c r="H144" s="73"/>
      <c r="I144" s="36"/>
      <c r="J144" s="1057" t="s">
        <v>109</v>
      </c>
      <c r="K144" s="96">
        <v>58</v>
      </c>
      <c r="L144" s="96"/>
      <c r="M144" s="18"/>
    </row>
    <row r="145" spans="1:15" ht="22.5" customHeight="1" x14ac:dyDescent="0.25">
      <c r="A145" s="640"/>
      <c r="B145" s="685"/>
      <c r="C145" s="642"/>
      <c r="D145" s="1644" t="s">
        <v>112</v>
      </c>
      <c r="E145" s="1033"/>
      <c r="F145" s="41"/>
      <c r="G145" s="422"/>
      <c r="H145" s="1117"/>
      <c r="I145" s="41"/>
      <c r="J145" s="1646" t="s">
        <v>138</v>
      </c>
      <c r="K145" s="151">
        <v>18</v>
      </c>
      <c r="L145" s="151">
        <v>18</v>
      </c>
      <c r="M145" s="448">
        <v>18</v>
      </c>
    </row>
    <row r="146" spans="1:15" ht="21" customHeight="1" x14ac:dyDescent="0.25">
      <c r="A146" s="640"/>
      <c r="B146" s="685"/>
      <c r="C146" s="642"/>
      <c r="D146" s="1645"/>
      <c r="E146" s="1033"/>
      <c r="F146" s="38"/>
      <c r="G146" s="382"/>
      <c r="H146" s="77"/>
      <c r="I146" s="38"/>
      <c r="J146" s="1647"/>
      <c r="K146" s="176"/>
      <c r="L146" s="176"/>
      <c r="M146" s="277"/>
    </row>
    <row r="147" spans="1:15" ht="42.75" customHeight="1" x14ac:dyDescent="0.25">
      <c r="A147" s="1028"/>
      <c r="B147" s="1031"/>
      <c r="C147" s="1029"/>
      <c r="D147" s="1030" t="s">
        <v>370</v>
      </c>
      <c r="E147" s="1039" t="s">
        <v>246</v>
      </c>
      <c r="F147" s="1038"/>
      <c r="G147" s="89"/>
      <c r="H147" s="1038"/>
      <c r="I147" s="1038"/>
      <c r="J147" s="1034" t="s">
        <v>376</v>
      </c>
      <c r="K147" s="15">
        <v>2</v>
      </c>
      <c r="L147" s="15">
        <v>2</v>
      </c>
      <c r="M147" s="16">
        <v>2</v>
      </c>
      <c r="N147" s="562"/>
      <c r="O147" s="1041"/>
    </row>
    <row r="148" spans="1:15" ht="18" customHeight="1" x14ac:dyDescent="0.25">
      <c r="A148" s="1586"/>
      <c r="B148" s="1587"/>
      <c r="C148" s="1588"/>
      <c r="D148" s="1575" t="s">
        <v>39</v>
      </c>
      <c r="E148" s="1666"/>
      <c r="F148" s="36"/>
      <c r="G148" s="65"/>
      <c r="H148" s="73"/>
      <c r="I148" s="36"/>
      <c r="J148" s="1629" t="s">
        <v>48</v>
      </c>
      <c r="K148" s="1668">
        <v>7</v>
      </c>
      <c r="L148" s="1668" t="s">
        <v>215</v>
      </c>
      <c r="M148" s="1670" t="s">
        <v>216</v>
      </c>
    </row>
    <row r="149" spans="1:15" ht="13.5" customHeight="1" x14ac:dyDescent="0.25">
      <c r="A149" s="1586"/>
      <c r="B149" s="1587"/>
      <c r="C149" s="1588"/>
      <c r="D149" s="1576"/>
      <c r="E149" s="1666"/>
      <c r="F149" s="692"/>
      <c r="G149" s="66"/>
      <c r="H149" s="74"/>
      <c r="I149" s="692"/>
      <c r="J149" s="1667"/>
      <c r="K149" s="1669"/>
      <c r="L149" s="1669"/>
      <c r="M149" s="1671"/>
    </row>
    <row r="150" spans="1:15" ht="18" customHeight="1" x14ac:dyDescent="0.25">
      <c r="A150" s="1586"/>
      <c r="B150" s="1591"/>
      <c r="C150" s="1588"/>
      <c r="D150" s="1664" t="s">
        <v>182</v>
      </c>
      <c r="E150" s="1665"/>
      <c r="F150" s="691"/>
      <c r="G150" s="67"/>
      <c r="H150" s="691"/>
      <c r="I150" s="691"/>
      <c r="J150" s="549" t="s">
        <v>119</v>
      </c>
      <c r="K150" s="259">
        <v>4</v>
      </c>
      <c r="L150" s="259">
        <v>4</v>
      </c>
      <c r="M150" s="155">
        <v>4</v>
      </c>
    </row>
    <row r="151" spans="1:15" ht="15.75" customHeight="1" x14ac:dyDescent="0.25">
      <c r="A151" s="1586"/>
      <c r="B151" s="1591"/>
      <c r="C151" s="1588"/>
      <c r="D151" s="1633"/>
      <c r="E151" s="1666"/>
      <c r="F151" s="36"/>
      <c r="G151" s="65"/>
      <c r="H151" s="36"/>
      <c r="I151" s="36"/>
      <c r="J151" s="547" t="s">
        <v>136</v>
      </c>
      <c r="K151" s="96">
        <v>1</v>
      </c>
      <c r="L151" s="96">
        <v>1</v>
      </c>
      <c r="M151" s="20">
        <v>1</v>
      </c>
    </row>
    <row r="152" spans="1:15" ht="25.5" customHeight="1" x14ac:dyDescent="0.25">
      <c r="A152" s="1586"/>
      <c r="B152" s="1591"/>
      <c r="C152" s="1588"/>
      <c r="D152" s="1633"/>
      <c r="E152" s="1666"/>
      <c r="F152" s="36"/>
      <c r="G152" s="56"/>
      <c r="H152" s="36"/>
      <c r="I152" s="36"/>
      <c r="J152" s="550" t="s">
        <v>108</v>
      </c>
      <c r="K152" s="223">
        <v>1</v>
      </c>
      <c r="L152" s="223">
        <v>1</v>
      </c>
      <c r="M152" s="338">
        <v>1</v>
      </c>
    </row>
    <row r="153" spans="1:15" ht="15" customHeight="1" x14ac:dyDescent="0.25">
      <c r="A153" s="640"/>
      <c r="B153" s="685"/>
      <c r="C153" s="642"/>
      <c r="D153" s="680"/>
      <c r="E153" s="649"/>
      <c r="F153" s="36"/>
      <c r="G153" s="56"/>
      <c r="H153" s="36"/>
      <c r="I153" s="36"/>
      <c r="J153" s="547" t="s">
        <v>162</v>
      </c>
      <c r="K153" s="96">
        <v>1</v>
      </c>
      <c r="L153" s="96">
        <v>1</v>
      </c>
      <c r="M153" s="20">
        <v>1</v>
      </c>
    </row>
    <row r="154" spans="1:15" ht="15" customHeight="1" x14ac:dyDescent="0.25">
      <c r="A154" s="640"/>
      <c r="B154" s="685"/>
      <c r="C154" s="642"/>
      <c r="D154" s="680"/>
      <c r="E154" s="624"/>
      <c r="F154" s="38"/>
      <c r="G154" s="69"/>
      <c r="H154" s="1038"/>
      <c r="I154" s="1038"/>
      <c r="J154" s="620" t="s">
        <v>161</v>
      </c>
      <c r="K154" s="361">
        <v>1</v>
      </c>
      <c r="L154" s="324">
        <v>1</v>
      </c>
      <c r="M154" s="115">
        <v>1</v>
      </c>
    </row>
    <row r="155" spans="1:15" ht="19.5" customHeight="1" x14ac:dyDescent="0.25">
      <c r="A155" s="1586"/>
      <c r="B155" s="1591"/>
      <c r="C155" s="1588"/>
      <c r="D155" s="1574" t="s">
        <v>93</v>
      </c>
      <c r="E155" s="1665" t="s">
        <v>185</v>
      </c>
      <c r="F155" s="691"/>
      <c r="G155" s="68"/>
      <c r="H155" s="36"/>
      <c r="I155" s="36"/>
      <c r="J155" s="1629" t="s">
        <v>163</v>
      </c>
      <c r="K155" s="450">
        <v>100</v>
      </c>
      <c r="L155" s="1134"/>
      <c r="M155" s="235"/>
      <c r="O155" s="30"/>
    </row>
    <row r="156" spans="1:15" ht="20.25" customHeight="1" x14ac:dyDescent="0.25">
      <c r="A156" s="1586"/>
      <c r="B156" s="1591"/>
      <c r="C156" s="1588"/>
      <c r="D156" s="1576"/>
      <c r="E156" s="1676"/>
      <c r="F156" s="692"/>
      <c r="G156" s="89"/>
      <c r="H156" s="692"/>
      <c r="I156" s="692"/>
      <c r="J156" s="1672"/>
      <c r="K156" s="340"/>
      <c r="L156" s="261"/>
      <c r="M156" s="236"/>
    </row>
    <row r="157" spans="1:15" ht="11.25" customHeight="1" x14ac:dyDescent="0.25">
      <c r="A157" s="684"/>
      <c r="B157" s="685"/>
      <c r="C157" s="123"/>
      <c r="D157" s="1574" t="s">
        <v>343</v>
      </c>
      <c r="E157" s="665"/>
      <c r="F157" s="36"/>
      <c r="G157" s="56"/>
      <c r="H157" s="36"/>
      <c r="I157" s="1673"/>
      <c r="J157" s="1675" t="s">
        <v>217</v>
      </c>
      <c r="K157" s="352">
        <v>100</v>
      </c>
      <c r="L157" s="696"/>
      <c r="M157" s="398"/>
    </row>
    <row r="158" spans="1:15" ht="15" customHeight="1" x14ac:dyDescent="0.25">
      <c r="A158" s="684"/>
      <c r="B158" s="685"/>
      <c r="C158" s="123"/>
      <c r="D158" s="1576"/>
      <c r="E158" s="665"/>
      <c r="F158" s="692"/>
      <c r="G158" s="66"/>
      <c r="H158" s="74"/>
      <c r="I158" s="1674"/>
      <c r="J158" s="1667"/>
      <c r="K158" s="149"/>
      <c r="L158" s="15"/>
      <c r="M158" s="16"/>
    </row>
    <row r="159" spans="1:15" ht="16.5" customHeight="1" x14ac:dyDescent="0.25">
      <c r="A159" s="659"/>
      <c r="B159" s="686"/>
      <c r="C159" s="683"/>
      <c r="D159" s="1574" t="s">
        <v>89</v>
      </c>
      <c r="E159" s="1665" t="s">
        <v>151</v>
      </c>
      <c r="F159" s="41"/>
      <c r="G159" s="305"/>
      <c r="H159" s="41"/>
      <c r="I159" s="41"/>
      <c r="J159" s="621" t="s">
        <v>164</v>
      </c>
      <c r="K159" s="154">
        <v>4</v>
      </c>
      <c r="L159" s="473">
        <v>7</v>
      </c>
      <c r="M159" s="155"/>
    </row>
    <row r="160" spans="1:15" ht="15" customHeight="1" x14ac:dyDescent="0.25">
      <c r="A160" s="684"/>
      <c r="B160" s="685"/>
      <c r="C160" s="123"/>
      <c r="D160" s="1575"/>
      <c r="E160" s="1666"/>
      <c r="F160" s="36"/>
      <c r="G160" s="35"/>
      <c r="H160" s="36"/>
      <c r="I160" s="36"/>
      <c r="J160" s="644" t="s">
        <v>130</v>
      </c>
      <c r="K160" s="1014">
        <v>8</v>
      </c>
      <c r="L160" s="1046">
        <v>7</v>
      </c>
      <c r="M160" s="694"/>
    </row>
    <row r="161" spans="1:15" ht="14.25" customHeight="1" x14ac:dyDescent="0.25">
      <c r="A161" s="684"/>
      <c r="B161" s="685"/>
      <c r="C161" s="123"/>
      <c r="D161" s="647"/>
      <c r="E161" s="61"/>
      <c r="F161" s="692"/>
      <c r="G161" s="102"/>
      <c r="H161" s="692"/>
      <c r="I161" s="692"/>
      <c r="J161" s="622" t="s">
        <v>90</v>
      </c>
      <c r="K161" s="467"/>
      <c r="L161" s="1009">
        <v>6</v>
      </c>
      <c r="M161" s="311">
        <v>7</v>
      </c>
    </row>
    <row r="162" spans="1:15" ht="16.5" customHeight="1" x14ac:dyDescent="0.25">
      <c r="A162" s="659"/>
      <c r="B162" s="686"/>
      <c r="C162" s="683"/>
      <c r="D162" s="1574" t="s">
        <v>168</v>
      </c>
      <c r="E162" s="391" t="s">
        <v>44</v>
      </c>
      <c r="F162" s="691"/>
      <c r="G162" s="56"/>
      <c r="H162" s="36"/>
      <c r="I162" s="36"/>
      <c r="J162" s="621" t="s">
        <v>43</v>
      </c>
      <c r="K162" s="491" t="s">
        <v>49</v>
      </c>
      <c r="L162" s="1135"/>
      <c r="M162" s="501"/>
    </row>
    <row r="163" spans="1:15" ht="13.5" customHeight="1" x14ac:dyDescent="0.25">
      <c r="A163" s="159"/>
      <c r="B163" s="686"/>
      <c r="C163" s="683"/>
      <c r="D163" s="1542"/>
      <c r="E163" s="649"/>
      <c r="F163" s="36"/>
      <c r="G163" s="56"/>
      <c r="H163" s="36"/>
      <c r="I163" s="36"/>
      <c r="J163" s="1646" t="s">
        <v>239</v>
      </c>
      <c r="K163" s="205" t="s">
        <v>253</v>
      </c>
      <c r="L163" s="205" t="s">
        <v>253</v>
      </c>
      <c r="M163" s="206" t="s">
        <v>40</v>
      </c>
    </row>
    <row r="164" spans="1:15" ht="12.75" customHeight="1" x14ac:dyDescent="0.25">
      <c r="A164" s="159"/>
      <c r="B164" s="686"/>
      <c r="C164" s="683"/>
      <c r="D164" s="1542"/>
      <c r="E164" s="649"/>
      <c r="F164" s="36"/>
      <c r="G164" s="56"/>
      <c r="H164" s="36"/>
      <c r="I164" s="36"/>
      <c r="J164" s="1647"/>
      <c r="K164" s="253"/>
      <c r="L164" s="253"/>
      <c r="M164" s="226"/>
    </row>
    <row r="165" spans="1:15" ht="15.75" customHeight="1" x14ac:dyDescent="0.25">
      <c r="A165" s="159"/>
      <c r="B165" s="686"/>
      <c r="C165" s="683"/>
      <c r="D165" s="1685" t="s">
        <v>344</v>
      </c>
      <c r="E165" s="649"/>
      <c r="F165" s="36"/>
      <c r="G165" s="56"/>
      <c r="H165" s="36"/>
      <c r="I165" s="36"/>
      <c r="J165" s="550" t="s">
        <v>169</v>
      </c>
      <c r="K165" s="205" t="s">
        <v>49</v>
      </c>
      <c r="L165" s="205"/>
      <c r="M165" s="206"/>
    </row>
    <row r="166" spans="1:15" ht="14.25" customHeight="1" x14ac:dyDescent="0.25">
      <c r="A166" s="159"/>
      <c r="B166" s="686"/>
      <c r="C166" s="683"/>
      <c r="D166" s="1686"/>
      <c r="E166" s="662"/>
      <c r="F166" s="692"/>
      <c r="G166" s="89"/>
      <c r="H166" s="692"/>
      <c r="I166" s="692"/>
      <c r="J166" s="257"/>
      <c r="K166" s="704"/>
      <c r="L166" s="704"/>
      <c r="M166" s="207"/>
      <c r="O166" s="30"/>
    </row>
    <row r="167" spans="1:15" ht="23.25" customHeight="1" x14ac:dyDescent="0.25">
      <c r="A167" s="640"/>
      <c r="B167" s="685"/>
      <c r="C167" s="642"/>
      <c r="D167" s="1596" t="s">
        <v>263</v>
      </c>
      <c r="E167" s="619" t="s">
        <v>266</v>
      </c>
      <c r="F167" s="36"/>
      <c r="G167" s="56"/>
      <c r="H167" s="36"/>
      <c r="I167" s="36"/>
      <c r="J167" s="644" t="s">
        <v>262</v>
      </c>
      <c r="K167" s="697">
        <v>1</v>
      </c>
      <c r="L167" s="697"/>
      <c r="M167" s="694"/>
      <c r="N167" s="1683"/>
      <c r="O167" s="1684"/>
    </row>
    <row r="168" spans="1:15" ht="29.25" customHeight="1" x14ac:dyDescent="0.25">
      <c r="A168" s="640"/>
      <c r="B168" s="685"/>
      <c r="C168" s="642"/>
      <c r="D168" s="1590"/>
      <c r="E168" s="662" t="s">
        <v>202</v>
      </c>
      <c r="F168" s="692"/>
      <c r="G168" s="89"/>
      <c r="H168" s="692"/>
      <c r="I168" s="692"/>
      <c r="J168" s="679" t="s">
        <v>265</v>
      </c>
      <c r="K168" s="15"/>
      <c r="L168" s="15">
        <v>4</v>
      </c>
      <c r="M168" s="16">
        <v>4</v>
      </c>
      <c r="N168" s="562"/>
      <c r="O168" s="589"/>
    </row>
    <row r="169" spans="1:15" ht="16.5" customHeight="1" x14ac:dyDescent="0.25">
      <c r="A169" s="830"/>
      <c r="B169" s="762"/>
      <c r="C169" s="761"/>
      <c r="D169" s="1589" t="s">
        <v>357</v>
      </c>
      <c r="E169" s="391" t="s">
        <v>44</v>
      </c>
      <c r="F169" s="840"/>
      <c r="G169" s="56"/>
      <c r="H169" s="36"/>
      <c r="I169" s="36"/>
      <c r="J169" s="1581" t="s">
        <v>355</v>
      </c>
      <c r="K169" s="487">
        <v>1</v>
      </c>
      <c r="L169" s="836"/>
      <c r="M169" s="838"/>
    </row>
    <row r="170" spans="1:15" ht="13.5" customHeight="1" x14ac:dyDescent="0.25">
      <c r="A170" s="159"/>
      <c r="B170" s="762"/>
      <c r="C170" s="761"/>
      <c r="D170" s="1596"/>
      <c r="E170" s="841"/>
      <c r="F170" s="36"/>
      <c r="G170" s="56"/>
      <c r="H170" s="36"/>
      <c r="I170" s="36"/>
      <c r="J170" s="1584"/>
      <c r="K170" s="446"/>
      <c r="L170" s="114"/>
      <c r="M170" s="171"/>
    </row>
    <row r="171" spans="1:15" ht="12.75" customHeight="1" x14ac:dyDescent="0.25">
      <c r="A171" s="159"/>
      <c r="B171" s="762"/>
      <c r="C171" s="761"/>
      <c r="D171" s="1590"/>
      <c r="E171" s="841"/>
      <c r="F171" s="36"/>
      <c r="G171" s="56"/>
      <c r="H171" s="36"/>
      <c r="I171" s="36"/>
      <c r="J171" s="839"/>
      <c r="K171" s="842"/>
      <c r="L171" s="829"/>
      <c r="M171" s="207"/>
    </row>
    <row r="172" spans="1:15" ht="18" customHeight="1" thickBot="1" x14ac:dyDescent="0.3">
      <c r="A172" s="610"/>
      <c r="B172" s="611"/>
      <c r="C172" s="609"/>
      <c r="D172" s="469"/>
      <c r="E172" s="470"/>
      <c r="F172" s="51" t="s">
        <v>5</v>
      </c>
      <c r="G172" s="120">
        <f>SUM(G128:G168)</f>
        <v>7512.2</v>
      </c>
      <c r="H172" s="51">
        <f>SUM(H128:H168)</f>
        <v>6166.4</v>
      </c>
      <c r="I172" s="51">
        <f>SUM(I128:I168)</f>
        <v>6513.2</v>
      </c>
      <c r="J172" s="471"/>
      <c r="K172" s="251"/>
      <c r="L172" s="108"/>
      <c r="M172" s="227"/>
    </row>
    <row r="173" spans="1:15" ht="14.25" customHeight="1" thickBot="1" x14ac:dyDescent="0.3">
      <c r="A173" s="52" t="s">
        <v>4</v>
      </c>
      <c r="B173" s="138" t="s">
        <v>6</v>
      </c>
      <c r="C173" s="1648" t="s">
        <v>7</v>
      </c>
      <c r="D173" s="1649"/>
      <c r="E173" s="1649"/>
      <c r="F173" s="1649"/>
      <c r="G173" s="81">
        <f>G172</f>
        <v>7512.2</v>
      </c>
      <c r="H173" s="81">
        <f t="shared" ref="H173:I173" si="1">H172</f>
        <v>6166.4</v>
      </c>
      <c r="I173" s="81">
        <f t="shared" si="1"/>
        <v>6513.2</v>
      </c>
      <c r="J173" s="1677"/>
      <c r="K173" s="1677"/>
      <c r="L173" s="1677"/>
      <c r="M173" s="1678"/>
    </row>
    <row r="174" spans="1:15" ht="18" customHeight="1" thickBot="1" x14ac:dyDescent="0.3">
      <c r="A174" s="42" t="s">
        <v>4</v>
      </c>
      <c r="B174" s="138" t="s">
        <v>26</v>
      </c>
      <c r="C174" s="1652" t="s">
        <v>84</v>
      </c>
      <c r="D174" s="1679"/>
      <c r="E174" s="1679"/>
      <c r="F174" s="1679"/>
      <c r="G174" s="1679"/>
      <c r="H174" s="1679"/>
      <c r="I174" s="1679"/>
      <c r="J174" s="1679"/>
      <c r="K174" s="1679"/>
      <c r="L174" s="1679"/>
      <c r="M174" s="1680"/>
    </row>
    <row r="175" spans="1:15" ht="12.75" customHeight="1" x14ac:dyDescent="0.25">
      <c r="A175" s="663" t="s">
        <v>4</v>
      </c>
      <c r="B175" s="137" t="s">
        <v>26</v>
      </c>
      <c r="C175" s="353" t="s">
        <v>4</v>
      </c>
      <c r="D175" s="1658" t="s">
        <v>81</v>
      </c>
      <c r="E175" s="683" t="s">
        <v>152</v>
      </c>
      <c r="F175" s="107" t="s">
        <v>23</v>
      </c>
      <c r="G175" s="173">
        <f>332.3-10+75.2</f>
        <v>397.5</v>
      </c>
      <c r="H175" s="173">
        <v>305.8</v>
      </c>
      <c r="I175" s="173">
        <v>305.8</v>
      </c>
      <c r="J175" s="166"/>
      <c r="K175" s="125"/>
      <c r="L175" s="125"/>
      <c r="M175" s="126"/>
    </row>
    <row r="176" spans="1:15" ht="12.75" customHeight="1" x14ac:dyDescent="0.25">
      <c r="A176" s="640"/>
      <c r="B176" s="685"/>
      <c r="C176" s="642"/>
      <c r="D176" s="1659"/>
      <c r="E176" s="683"/>
      <c r="F176" s="36" t="s">
        <v>76</v>
      </c>
      <c r="G176" s="45">
        <f>466.7+15</f>
        <v>481.7</v>
      </c>
      <c r="H176" s="45">
        <v>370</v>
      </c>
      <c r="I176" s="36">
        <v>200</v>
      </c>
      <c r="J176" s="625"/>
      <c r="K176" s="23"/>
      <c r="L176" s="23"/>
      <c r="M176" s="24"/>
    </row>
    <row r="177" spans="1:15" ht="12.75" customHeight="1" x14ac:dyDescent="0.25">
      <c r="A177" s="640"/>
      <c r="B177" s="685"/>
      <c r="C177" s="642"/>
      <c r="D177" s="177"/>
      <c r="E177" s="683"/>
      <c r="F177" s="36" t="s">
        <v>61</v>
      </c>
      <c r="G177" s="45">
        <v>817.1</v>
      </c>
      <c r="H177" s="45">
        <f>846</f>
        <v>846</v>
      </c>
      <c r="I177" s="36">
        <v>861.6</v>
      </c>
      <c r="J177" s="625"/>
      <c r="K177" s="23"/>
      <c r="L177" s="23"/>
      <c r="M177" s="24"/>
    </row>
    <row r="178" spans="1:15" ht="12.75" customHeight="1" x14ac:dyDescent="0.25">
      <c r="A178" s="640"/>
      <c r="B178" s="685"/>
      <c r="C178" s="642"/>
      <c r="D178" s="177"/>
      <c r="E178" s="683"/>
      <c r="F178" s="692" t="s">
        <v>63</v>
      </c>
      <c r="G178" s="48">
        <v>31.3</v>
      </c>
      <c r="H178" s="48">
        <v>31.3</v>
      </c>
      <c r="I178" s="692">
        <v>31.3</v>
      </c>
      <c r="J178" s="687"/>
      <c r="K178" s="25"/>
      <c r="L178" s="25"/>
      <c r="M178" s="26"/>
    </row>
    <row r="179" spans="1:15" ht="15" customHeight="1" x14ac:dyDescent="0.25">
      <c r="A179" s="640"/>
      <c r="B179" s="685"/>
      <c r="C179" s="642"/>
      <c r="D179" s="1589" t="s">
        <v>79</v>
      </c>
      <c r="E179" s="1599" t="s">
        <v>64</v>
      </c>
      <c r="F179" s="36"/>
      <c r="G179" s="36"/>
      <c r="H179" s="36"/>
      <c r="I179" s="36"/>
      <c r="J179" s="690" t="s">
        <v>85</v>
      </c>
      <c r="K179" s="23">
        <v>14.5</v>
      </c>
      <c r="L179" s="23">
        <v>14.5</v>
      </c>
      <c r="M179" s="24">
        <v>14.5</v>
      </c>
    </row>
    <row r="180" spans="1:15" ht="12.75" customHeight="1" x14ac:dyDescent="0.25">
      <c r="A180" s="640"/>
      <c r="B180" s="685"/>
      <c r="C180" s="642"/>
      <c r="D180" s="1596"/>
      <c r="E180" s="1600"/>
      <c r="F180" s="36"/>
      <c r="G180" s="36"/>
      <c r="H180" s="36"/>
      <c r="I180" s="36"/>
      <c r="J180" s="690" t="s">
        <v>35</v>
      </c>
      <c r="K180" s="669">
        <v>75</v>
      </c>
      <c r="L180" s="669">
        <v>74</v>
      </c>
      <c r="M180" s="694">
        <v>81</v>
      </c>
    </row>
    <row r="181" spans="1:15" ht="4.5" customHeight="1" x14ac:dyDescent="0.25">
      <c r="A181" s="640"/>
      <c r="B181" s="685"/>
      <c r="C181" s="642"/>
      <c r="D181" s="1596"/>
      <c r="E181" s="1600"/>
      <c r="F181" s="36"/>
      <c r="G181" s="36"/>
      <c r="H181" s="36"/>
      <c r="I181" s="36"/>
      <c r="J181" s="690"/>
      <c r="K181" s="23"/>
      <c r="L181" s="23"/>
      <c r="M181" s="24"/>
    </row>
    <row r="182" spans="1:15" ht="26.25" customHeight="1" x14ac:dyDescent="0.25">
      <c r="A182" s="640"/>
      <c r="B182" s="685"/>
      <c r="C182" s="642"/>
      <c r="D182" s="1596"/>
      <c r="E182" s="1681"/>
      <c r="F182" s="36"/>
      <c r="G182" s="36"/>
      <c r="H182" s="36"/>
      <c r="I182" s="36"/>
      <c r="J182" s="345" t="s">
        <v>267</v>
      </c>
      <c r="K182" s="96">
        <v>7</v>
      </c>
      <c r="L182" s="96"/>
      <c r="M182" s="18"/>
    </row>
    <row r="183" spans="1:15" ht="16.5" customHeight="1" x14ac:dyDescent="0.25">
      <c r="A183" s="640"/>
      <c r="B183" s="685"/>
      <c r="C183" s="642"/>
      <c r="D183" s="1596"/>
      <c r="E183" s="1682"/>
      <c r="F183" s="36"/>
      <c r="G183" s="36"/>
      <c r="H183" s="36"/>
      <c r="I183" s="36"/>
      <c r="J183" s="583" t="s">
        <v>181</v>
      </c>
      <c r="K183" s="96">
        <v>60</v>
      </c>
      <c r="L183" s="96">
        <v>60</v>
      </c>
      <c r="M183" s="18">
        <v>60</v>
      </c>
    </row>
    <row r="184" spans="1:15" ht="26.25" customHeight="1" x14ac:dyDescent="0.25">
      <c r="A184" s="640"/>
      <c r="B184" s="685"/>
      <c r="C184" s="642"/>
      <c r="D184" s="1596"/>
      <c r="E184" s="665"/>
      <c r="F184" s="36"/>
      <c r="G184" s="36"/>
      <c r="H184" s="36"/>
      <c r="I184" s="36"/>
      <c r="J184" s="345" t="s">
        <v>188</v>
      </c>
      <c r="K184" s="17">
        <v>100</v>
      </c>
      <c r="L184" s="313"/>
      <c r="M184" s="314"/>
      <c r="N184" s="399"/>
      <c r="O184" s="399"/>
    </row>
    <row r="185" spans="1:15" ht="16.5" customHeight="1" x14ac:dyDescent="0.25">
      <c r="A185" s="640"/>
      <c r="B185" s="685"/>
      <c r="C185" s="642"/>
      <c r="D185" s="1596"/>
      <c r="E185" s="665"/>
      <c r="F185" s="36"/>
      <c r="G185" s="36"/>
      <c r="H185" s="36"/>
      <c r="I185" s="36"/>
      <c r="J185" s="345" t="s">
        <v>218</v>
      </c>
      <c r="K185" s="17">
        <v>7</v>
      </c>
      <c r="L185" s="313"/>
      <c r="M185" s="314"/>
      <c r="N185" s="399"/>
      <c r="O185" s="399"/>
    </row>
    <row r="186" spans="1:15" ht="13.5" customHeight="1" x14ac:dyDescent="0.25">
      <c r="A186" s="640"/>
      <c r="B186" s="685"/>
      <c r="C186" s="642"/>
      <c r="D186" s="1596"/>
      <c r="E186" s="665"/>
      <c r="F186" s="692"/>
      <c r="G186" s="692"/>
      <c r="H186" s="692"/>
      <c r="I186" s="396"/>
      <c r="J186" s="374" t="s">
        <v>219</v>
      </c>
      <c r="K186" s="628">
        <v>3</v>
      </c>
      <c r="L186" s="626"/>
      <c r="M186" s="627"/>
      <c r="N186" s="399"/>
      <c r="O186" s="399"/>
    </row>
    <row r="187" spans="1:15" ht="15" customHeight="1" x14ac:dyDescent="0.25">
      <c r="A187" s="640"/>
      <c r="B187" s="685"/>
      <c r="C187" s="642"/>
      <c r="D187" s="645" t="s">
        <v>57</v>
      </c>
      <c r="E187" s="158"/>
      <c r="F187" s="36"/>
      <c r="G187" s="36"/>
      <c r="H187" s="36"/>
      <c r="I187" s="36"/>
      <c r="J187" s="690" t="s">
        <v>68</v>
      </c>
      <c r="K187" s="697">
        <v>1</v>
      </c>
      <c r="L187" s="669">
        <v>1</v>
      </c>
      <c r="M187" s="694">
        <v>1</v>
      </c>
      <c r="N187" s="399"/>
      <c r="O187" s="30"/>
    </row>
    <row r="188" spans="1:15" ht="16.5" customHeight="1" x14ac:dyDescent="0.25">
      <c r="A188" s="640"/>
      <c r="B188" s="685"/>
      <c r="C188" s="642"/>
      <c r="D188" s="646"/>
      <c r="E188" s="80"/>
      <c r="F188" s="692"/>
      <c r="G188" s="48"/>
      <c r="H188" s="48"/>
      <c r="I188" s="48"/>
      <c r="J188" s="374"/>
      <c r="K188" s="15"/>
      <c r="L188" s="29"/>
      <c r="M188" s="16"/>
    </row>
    <row r="189" spans="1:15" ht="13.5" customHeight="1" x14ac:dyDescent="0.25">
      <c r="A189" s="640"/>
      <c r="B189" s="685"/>
      <c r="C189" s="642"/>
      <c r="D189" s="1617" t="s">
        <v>87</v>
      </c>
      <c r="E189" s="291"/>
      <c r="F189" s="691"/>
      <c r="G189" s="72"/>
      <c r="H189" s="72"/>
      <c r="I189" s="72"/>
      <c r="J189" s="1696" t="s">
        <v>141</v>
      </c>
      <c r="K189" s="1697">
        <v>14</v>
      </c>
      <c r="L189" s="1699">
        <v>14</v>
      </c>
      <c r="M189" s="1691">
        <v>14</v>
      </c>
    </row>
    <row r="190" spans="1:15" ht="10.5" customHeight="1" x14ac:dyDescent="0.25">
      <c r="A190" s="640"/>
      <c r="B190" s="685"/>
      <c r="C190" s="642"/>
      <c r="D190" s="1695"/>
      <c r="E190" s="241"/>
      <c r="F190" s="36"/>
      <c r="G190" s="36"/>
      <c r="H190" s="36"/>
      <c r="I190" s="36"/>
      <c r="J190" s="1693"/>
      <c r="K190" s="1698"/>
      <c r="L190" s="1700"/>
      <c r="M190" s="1692"/>
    </row>
    <row r="191" spans="1:15" ht="13.5" customHeight="1" x14ac:dyDescent="0.25">
      <c r="A191" s="640"/>
      <c r="B191" s="685"/>
      <c r="C191" s="642"/>
      <c r="D191" s="1618"/>
      <c r="E191" s="242"/>
      <c r="F191" s="692"/>
      <c r="G191" s="48"/>
      <c r="H191" s="48"/>
      <c r="I191" s="48"/>
      <c r="J191" s="374"/>
      <c r="K191" s="15"/>
      <c r="L191" s="29"/>
      <c r="M191" s="16"/>
    </row>
    <row r="192" spans="1:15" ht="18.75" customHeight="1" x14ac:dyDescent="0.25">
      <c r="A192" s="684"/>
      <c r="B192" s="685"/>
      <c r="C192" s="123"/>
      <c r="D192" s="1633" t="s">
        <v>107</v>
      </c>
      <c r="E192" s="673" t="s">
        <v>44</v>
      </c>
      <c r="F192" s="36"/>
      <c r="G192" s="45"/>
      <c r="H192" s="45"/>
      <c r="I192" s="45"/>
      <c r="J192" s="1693" t="s">
        <v>96</v>
      </c>
      <c r="K192" s="208">
        <v>15</v>
      </c>
      <c r="L192" s="112">
        <v>15</v>
      </c>
      <c r="M192" s="117">
        <v>15</v>
      </c>
      <c r="O192" s="30"/>
    </row>
    <row r="193" spans="1:13" ht="13.5" customHeight="1" x14ac:dyDescent="0.25">
      <c r="A193" s="684"/>
      <c r="B193" s="685"/>
      <c r="C193" s="55"/>
      <c r="D193" s="1688"/>
      <c r="E193" s="62"/>
      <c r="F193" s="692"/>
      <c r="G193" s="74"/>
      <c r="H193" s="74"/>
      <c r="I193" s="74"/>
      <c r="J193" s="1694"/>
      <c r="K193" s="209"/>
      <c r="L193" s="435"/>
      <c r="M193" s="290"/>
    </row>
    <row r="194" spans="1:13" ht="13.5" customHeight="1" x14ac:dyDescent="0.25">
      <c r="A194" s="640"/>
      <c r="B194" s="685"/>
      <c r="C194" s="642"/>
      <c r="D194" s="1574" t="s">
        <v>80</v>
      </c>
      <c r="E194" s="730"/>
      <c r="F194" s="734"/>
      <c r="G194" s="49"/>
      <c r="H194" s="49"/>
      <c r="I194" s="49"/>
      <c r="J194" s="736" t="s">
        <v>99</v>
      </c>
      <c r="K194" s="727">
        <v>172</v>
      </c>
      <c r="L194" s="354">
        <v>172</v>
      </c>
      <c r="M194" s="351">
        <v>172</v>
      </c>
    </row>
    <row r="195" spans="1:13" ht="12" customHeight="1" x14ac:dyDescent="0.25">
      <c r="A195" s="684"/>
      <c r="B195" s="685"/>
      <c r="C195" s="585"/>
      <c r="D195" s="1686"/>
      <c r="E195" s="731"/>
      <c r="F195" s="735"/>
      <c r="G195" s="48"/>
      <c r="H195" s="48"/>
      <c r="I195" s="48"/>
      <c r="J195" s="374"/>
      <c r="K195" s="728"/>
      <c r="L195" s="95"/>
      <c r="M195" s="19"/>
    </row>
    <row r="196" spans="1:13" ht="21.75" customHeight="1" x14ac:dyDescent="0.25">
      <c r="A196" s="733"/>
      <c r="B196" s="732"/>
      <c r="C196" s="123"/>
      <c r="D196" s="1633" t="s">
        <v>346</v>
      </c>
      <c r="E196" s="729"/>
      <c r="F196" s="36"/>
      <c r="G196" s="45"/>
      <c r="H196" s="45"/>
      <c r="I196" s="45"/>
      <c r="J196" s="1581" t="s">
        <v>326</v>
      </c>
      <c r="K196" s="208">
        <v>30</v>
      </c>
      <c r="L196" s="112"/>
      <c r="M196" s="117"/>
    </row>
    <row r="197" spans="1:13" ht="12.75" customHeight="1" x14ac:dyDescent="0.25">
      <c r="A197" s="733"/>
      <c r="B197" s="732"/>
      <c r="C197" s="55"/>
      <c r="D197" s="1688"/>
      <c r="E197" s="296"/>
      <c r="F197" s="735"/>
      <c r="G197" s="74"/>
      <c r="H197" s="74"/>
      <c r="I197" s="74"/>
      <c r="J197" s="1619"/>
      <c r="K197" s="280"/>
      <c r="L197" s="435"/>
      <c r="M197" s="290"/>
    </row>
    <row r="198" spans="1:13" ht="24.75" customHeight="1" x14ac:dyDescent="0.25">
      <c r="A198" s="684"/>
      <c r="B198" s="685"/>
      <c r="C198" s="123"/>
      <c r="D198" s="1633" t="s">
        <v>289</v>
      </c>
      <c r="E198" s="673"/>
      <c r="F198" s="36"/>
      <c r="G198" s="45"/>
      <c r="H198" s="45"/>
      <c r="I198" s="45"/>
      <c r="J198" s="652" t="s">
        <v>220</v>
      </c>
      <c r="K198" s="208"/>
      <c r="L198" s="112">
        <v>10</v>
      </c>
      <c r="M198" s="117">
        <v>10</v>
      </c>
    </row>
    <row r="199" spans="1:13" ht="12.75" customHeight="1" x14ac:dyDescent="0.25">
      <c r="A199" s="684"/>
      <c r="B199" s="685"/>
      <c r="C199" s="55"/>
      <c r="D199" s="1688"/>
      <c r="E199" s="62"/>
      <c r="F199" s="692"/>
      <c r="G199" s="74"/>
      <c r="H199" s="74"/>
      <c r="I199" s="74"/>
      <c r="J199" s="118"/>
      <c r="K199" s="280"/>
      <c r="L199" s="435"/>
      <c r="M199" s="290"/>
    </row>
    <row r="200" spans="1:13" ht="14.25" customHeight="1" x14ac:dyDescent="0.25">
      <c r="A200" s="1586"/>
      <c r="B200" s="1587"/>
      <c r="C200" s="1687"/>
      <c r="D200" s="1664" t="s">
        <v>183</v>
      </c>
      <c r="E200" s="1689" t="s">
        <v>152</v>
      </c>
      <c r="F200" s="33"/>
      <c r="G200" s="36"/>
      <c r="H200" s="45"/>
      <c r="I200" s="45"/>
      <c r="J200" s="652" t="s">
        <v>60</v>
      </c>
      <c r="K200" s="202">
        <v>18</v>
      </c>
      <c r="L200" s="287">
        <v>18</v>
      </c>
      <c r="M200" s="398">
        <v>18</v>
      </c>
    </row>
    <row r="201" spans="1:13" ht="16.5" customHeight="1" x14ac:dyDescent="0.25">
      <c r="A201" s="1586"/>
      <c r="B201" s="1587"/>
      <c r="C201" s="1687"/>
      <c r="D201" s="1688"/>
      <c r="E201" s="1690"/>
      <c r="F201" s="40"/>
      <c r="G201" s="86"/>
      <c r="H201" s="32"/>
      <c r="I201" s="32"/>
      <c r="J201" s="118" t="s">
        <v>69</v>
      </c>
      <c r="K201" s="149">
        <v>7</v>
      </c>
      <c r="L201" s="29">
        <v>7</v>
      </c>
      <c r="M201" s="16">
        <v>7</v>
      </c>
    </row>
    <row r="202" spans="1:13" ht="18" customHeight="1" thickBot="1" x14ac:dyDescent="0.3">
      <c r="A202" s="610"/>
      <c r="B202" s="611"/>
      <c r="C202" s="609"/>
      <c r="D202" s="469"/>
      <c r="E202" s="470"/>
      <c r="F202" s="51" t="s">
        <v>5</v>
      </c>
      <c r="G202" s="120">
        <f>SUM(G175:G201)</f>
        <v>1727.6</v>
      </c>
      <c r="H202" s="120">
        <f t="shared" ref="H202:I202" si="2">SUM(H175:H201)</f>
        <v>1553.1</v>
      </c>
      <c r="I202" s="120">
        <f t="shared" si="2"/>
        <v>1398.7</v>
      </c>
      <c r="J202" s="471"/>
      <c r="K202" s="251"/>
      <c r="L202" s="108"/>
      <c r="M202" s="227"/>
    </row>
    <row r="203" spans="1:13" ht="11.25" customHeight="1" x14ac:dyDescent="0.25">
      <c r="A203" s="658" t="s">
        <v>4</v>
      </c>
      <c r="B203" s="660" t="s">
        <v>26</v>
      </c>
      <c r="C203" s="655" t="s">
        <v>6</v>
      </c>
      <c r="D203" s="1707" t="s">
        <v>261</v>
      </c>
      <c r="E203" s="1709"/>
      <c r="F203" s="107" t="s">
        <v>23</v>
      </c>
      <c r="G203" s="125">
        <f>8.1-4.3+3.6+2.1-1.8</f>
        <v>7.7</v>
      </c>
      <c r="H203" s="107">
        <f>577.5+3.6+4.4</f>
        <v>585.5</v>
      </c>
      <c r="I203" s="264">
        <f>1478.9+3.6+1.4</f>
        <v>1483.9</v>
      </c>
      <c r="J203" s="240"/>
      <c r="K203" s="122"/>
      <c r="L203" s="125"/>
      <c r="M203" s="126"/>
    </row>
    <row r="204" spans="1:13" ht="11.25" customHeight="1" x14ac:dyDescent="0.25">
      <c r="A204" s="659"/>
      <c r="B204" s="661"/>
      <c r="C204" s="656"/>
      <c r="D204" s="1708"/>
      <c r="E204" s="1710"/>
      <c r="F204" s="36" t="s">
        <v>53</v>
      </c>
      <c r="G204" s="23">
        <v>233.3</v>
      </c>
      <c r="H204" s="36">
        <v>0</v>
      </c>
      <c r="I204" s="65">
        <v>0</v>
      </c>
      <c r="J204" s="712"/>
      <c r="K204" s="56"/>
      <c r="L204" s="23"/>
      <c r="M204" s="24"/>
    </row>
    <row r="205" spans="1:13" ht="11.25" customHeight="1" x14ac:dyDescent="0.25">
      <c r="A205" s="659"/>
      <c r="B205" s="661"/>
      <c r="C205" s="656"/>
      <c r="D205" s="1708"/>
      <c r="E205" s="1710"/>
      <c r="F205" s="36" t="s">
        <v>61</v>
      </c>
      <c r="G205" s="23">
        <f>447.2+17.9</f>
        <v>465.1</v>
      </c>
      <c r="H205" s="36">
        <f>22+17.9</f>
        <v>39.9</v>
      </c>
      <c r="I205" s="65">
        <f>22+17.9</f>
        <v>39.9</v>
      </c>
      <c r="J205" s="712"/>
      <c r="K205" s="56"/>
      <c r="L205" s="23"/>
      <c r="M205" s="24"/>
    </row>
    <row r="206" spans="1:13" ht="11.25" customHeight="1" x14ac:dyDescent="0.25">
      <c r="A206" s="659"/>
      <c r="B206" s="661"/>
      <c r="C206" s="656"/>
      <c r="D206" s="1708"/>
      <c r="E206" s="1710"/>
      <c r="F206" s="36" t="s">
        <v>63</v>
      </c>
      <c r="G206" s="23">
        <v>155.30000000000001</v>
      </c>
      <c r="H206" s="36"/>
      <c r="I206" s="65"/>
      <c r="J206" s="712"/>
      <c r="K206" s="56"/>
      <c r="L206" s="23"/>
      <c r="M206" s="24"/>
    </row>
    <row r="207" spans="1:13" ht="11.25" customHeight="1" x14ac:dyDescent="0.25">
      <c r="A207" s="710"/>
      <c r="B207" s="711"/>
      <c r="C207" s="709"/>
      <c r="D207" s="1708"/>
      <c r="E207" s="1710"/>
      <c r="F207" s="36" t="s">
        <v>306</v>
      </c>
      <c r="G207" s="23">
        <f>4.3+11.4</f>
        <v>15.7</v>
      </c>
      <c r="H207" s="36">
        <v>24.9</v>
      </c>
      <c r="I207" s="65">
        <v>8.3000000000000007</v>
      </c>
      <c r="J207" s="712"/>
      <c r="K207" s="56"/>
      <c r="L207" s="23"/>
      <c r="M207" s="24"/>
    </row>
    <row r="208" spans="1:13" ht="11.25" customHeight="1" x14ac:dyDescent="0.25">
      <c r="A208" s="659"/>
      <c r="B208" s="661"/>
      <c r="C208" s="656"/>
      <c r="D208" s="1708"/>
      <c r="E208" s="1710"/>
      <c r="F208" s="36" t="s">
        <v>41</v>
      </c>
      <c r="G208" s="23">
        <v>997</v>
      </c>
      <c r="H208" s="36">
        <v>67.3</v>
      </c>
      <c r="I208" s="65">
        <f>I216+I220</f>
        <v>0</v>
      </c>
      <c r="J208" s="712"/>
      <c r="K208" s="56"/>
      <c r="L208" s="23"/>
      <c r="M208" s="24"/>
    </row>
    <row r="209" spans="1:13" ht="15" customHeight="1" x14ac:dyDescent="0.25">
      <c r="A209" s="1705"/>
      <c r="B209" s="1706"/>
      <c r="C209" s="1687"/>
      <c r="D209" s="1664" t="s">
        <v>134</v>
      </c>
      <c r="E209" s="59" t="s">
        <v>282</v>
      </c>
      <c r="F209" s="691"/>
      <c r="G209" s="49"/>
      <c r="H209" s="1229"/>
      <c r="I209" s="68"/>
      <c r="J209" s="1701" t="s">
        <v>128</v>
      </c>
      <c r="K209" s="1045">
        <v>1</v>
      </c>
      <c r="L209" s="1047"/>
      <c r="M209" s="1043"/>
    </row>
    <row r="210" spans="1:13" ht="14.25" customHeight="1" x14ac:dyDescent="0.25">
      <c r="A210" s="1705"/>
      <c r="B210" s="1706"/>
      <c r="C210" s="1687"/>
      <c r="D210" s="1633"/>
      <c r="E210" s="390" t="s">
        <v>152</v>
      </c>
      <c r="F210" s="36"/>
      <c r="G210" s="45"/>
      <c r="H210" s="36"/>
      <c r="I210" s="56"/>
      <c r="J210" s="1702"/>
      <c r="K210" s="468"/>
      <c r="L210" s="1048"/>
      <c r="M210" s="1044"/>
    </row>
    <row r="211" spans="1:13" ht="25.5" customHeight="1" x14ac:dyDescent="0.25">
      <c r="A211" s="1705"/>
      <c r="B211" s="1706"/>
      <c r="C211" s="1687"/>
      <c r="D211" s="1711"/>
      <c r="E211" s="702" t="s">
        <v>294</v>
      </c>
      <c r="F211" s="692"/>
      <c r="G211" s="48"/>
      <c r="H211" s="1230"/>
      <c r="I211" s="89"/>
      <c r="J211" s="14" t="s">
        <v>242</v>
      </c>
      <c r="K211" s="15">
        <v>100</v>
      </c>
      <c r="L211" s="29"/>
      <c r="M211" s="16"/>
    </row>
    <row r="212" spans="1:13" ht="24.75" customHeight="1" x14ac:dyDescent="0.25">
      <c r="A212" s="659"/>
      <c r="B212" s="661"/>
      <c r="C212" s="656"/>
      <c r="D212" s="1703" t="s">
        <v>275</v>
      </c>
      <c r="E212" s="629" t="s">
        <v>282</v>
      </c>
      <c r="F212" s="36"/>
      <c r="G212" s="45"/>
      <c r="H212" s="36"/>
      <c r="I212" s="56"/>
      <c r="J212" s="1054" t="s">
        <v>92</v>
      </c>
      <c r="K212" s="751"/>
      <c r="L212" s="1048">
        <v>20</v>
      </c>
      <c r="M212" s="1044">
        <v>80</v>
      </c>
    </row>
    <row r="213" spans="1:13" ht="15" customHeight="1" x14ac:dyDescent="0.25">
      <c r="A213" s="659"/>
      <c r="B213" s="661"/>
      <c r="C213" s="656"/>
      <c r="D213" s="1704"/>
      <c r="E213" s="630"/>
      <c r="F213" s="692"/>
      <c r="G213" s="48"/>
      <c r="H213" s="1230"/>
      <c r="I213" s="89"/>
      <c r="J213" s="678"/>
      <c r="K213" s="29"/>
      <c r="L213" s="29"/>
      <c r="M213" s="16"/>
    </row>
    <row r="214" spans="1:13" ht="24.75" customHeight="1" x14ac:dyDescent="0.25">
      <c r="A214" s="1705"/>
      <c r="B214" s="1706"/>
      <c r="C214" s="1687"/>
      <c r="D214" s="1575" t="s">
        <v>126</v>
      </c>
      <c r="E214" s="59" t="s">
        <v>283</v>
      </c>
      <c r="F214" s="36"/>
      <c r="G214" s="45"/>
      <c r="H214" s="36"/>
      <c r="I214" s="56"/>
      <c r="J214" s="1701" t="s">
        <v>127</v>
      </c>
      <c r="K214" s="481"/>
      <c r="L214" s="1048">
        <v>1</v>
      </c>
      <c r="M214" s="1044"/>
    </row>
    <row r="215" spans="1:13" ht="15" customHeight="1" x14ac:dyDescent="0.25">
      <c r="A215" s="1705"/>
      <c r="B215" s="1706"/>
      <c r="C215" s="1687"/>
      <c r="D215" s="1575"/>
      <c r="E215" s="631" t="s">
        <v>202</v>
      </c>
      <c r="F215" s="36"/>
      <c r="G215" s="45"/>
      <c r="H215" s="36"/>
      <c r="I215" s="56"/>
      <c r="J215" s="1702"/>
      <c r="K215" s="1048"/>
      <c r="L215" s="1048"/>
      <c r="M215" s="1044"/>
    </row>
    <row r="216" spans="1:13" ht="16.5" customHeight="1" x14ac:dyDescent="0.25">
      <c r="A216" s="1705"/>
      <c r="B216" s="1706"/>
      <c r="C216" s="1687"/>
      <c r="D216" s="1603"/>
      <c r="E216" s="216" t="s">
        <v>294</v>
      </c>
      <c r="F216" s="36"/>
      <c r="G216" s="45"/>
      <c r="H216" s="36"/>
      <c r="I216" s="56"/>
      <c r="J216" s="14" t="s">
        <v>113</v>
      </c>
      <c r="K216" s="15">
        <v>1</v>
      </c>
      <c r="L216" s="29"/>
      <c r="M216" s="16"/>
    </row>
    <row r="217" spans="1:13" ht="14.25" customHeight="1" x14ac:dyDescent="0.25">
      <c r="A217" s="1586"/>
      <c r="B217" s="1587"/>
      <c r="C217" s="1687"/>
      <c r="D217" s="1574" t="s">
        <v>197</v>
      </c>
      <c r="E217" s="1712" t="s">
        <v>298</v>
      </c>
      <c r="F217" s="691"/>
      <c r="G217" s="49"/>
      <c r="H217" s="1229"/>
      <c r="I217" s="68"/>
      <c r="J217" s="1320" t="s">
        <v>397</v>
      </c>
      <c r="K217" s="1404" t="s">
        <v>49</v>
      </c>
      <c r="L217" s="1404" t="s">
        <v>49</v>
      </c>
      <c r="M217" s="171" t="s">
        <v>49</v>
      </c>
    </row>
    <row r="218" spans="1:13" ht="14.25" customHeight="1" x14ac:dyDescent="0.25">
      <c r="A218" s="1586"/>
      <c r="B218" s="1587"/>
      <c r="C218" s="1687"/>
      <c r="D218" s="1575"/>
      <c r="E218" s="1713"/>
      <c r="F218" s="36"/>
      <c r="G218" s="45"/>
      <c r="H218" s="36"/>
      <c r="I218" s="56"/>
      <c r="J218" s="1054"/>
      <c r="K218" s="287"/>
      <c r="L218" s="114"/>
      <c r="M218" s="171"/>
    </row>
    <row r="219" spans="1:13" ht="9.75" customHeight="1" x14ac:dyDescent="0.25">
      <c r="A219" s="1586"/>
      <c r="B219" s="1587"/>
      <c r="C219" s="1687"/>
      <c r="D219" s="1623"/>
      <c r="E219" s="1714"/>
      <c r="F219" s="692"/>
      <c r="G219" s="48"/>
      <c r="H219" s="1230"/>
      <c r="I219" s="89"/>
      <c r="J219" s="14"/>
      <c r="K219" s="29"/>
      <c r="L219" s="29"/>
      <c r="M219" s="16"/>
    </row>
    <row r="220" spans="1:13" ht="14.25" customHeight="1" x14ac:dyDescent="0.25">
      <c r="A220" s="1586"/>
      <c r="B220" s="1587"/>
      <c r="C220" s="1687"/>
      <c r="D220" s="1574" t="s">
        <v>347</v>
      </c>
      <c r="E220" s="1712" t="s">
        <v>298</v>
      </c>
      <c r="F220" s="36"/>
      <c r="G220" s="1051"/>
      <c r="H220" s="1229"/>
      <c r="I220" s="68"/>
      <c r="J220" s="1054" t="s">
        <v>200</v>
      </c>
      <c r="K220" s="287"/>
      <c r="L220" s="1035" t="s">
        <v>49</v>
      </c>
      <c r="M220" s="204"/>
    </row>
    <row r="221" spans="1:13" ht="13.5" customHeight="1" x14ac:dyDescent="0.25">
      <c r="A221" s="1586"/>
      <c r="B221" s="1587"/>
      <c r="C221" s="1687"/>
      <c r="D221" s="1575"/>
      <c r="E221" s="1713"/>
      <c r="F221" s="36"/>
      <c r="G221" s="45"/>
      <c r="H221" s="36"/>
      <c r="I221" s="56"/>
      <c r="J221" s="1054"/>
      <c r="K221" s="1048"/>
      <c r="L221" s="114"/>
      <c r="M221" s="171"/>
    </row>
    <row r="222" spans="1:13" ht="14.25" customHeight="1" x14ac:dyDescent="0.25">
      <c r="A222" s="1586"/>
      <c r="B222" s="1587"/>
      <c r="C222" s="1687"/>
      <c r="D222" s="1576"/>
      <c r="E222" s="1714"/>
      <c r="F222" s="1038"/>
      <c r="G222" s="1052"/>
      <c r="H222" s="1230"/>
      <c r="I222" s="89"/>
      <c r="J222" s="14"/>
      <c r="K222" s="29"/>
      <c r="L222" s="29"/>
      <c r="M222" s="16"/>
    </row>
    <row r="223" spans="1:13" ht="29.25" customHeight="1" x14ac:dyDescent="0.25">
      <c r="A223" s="1586"/>
      <c r="B223" s="1587"/>
      <c r="C223" s="1687"/>
      <c r="D223" s="1574" t="s">
        <v>139</v>
      </c>
      <c r="E223" s="1665" t="s">
        <v>299</v>
      </c>
      <c r="F223" s="1037"/>
      <c r="G223" s="1051"/>
      <c r="H223" s="1229"/>
      <c r="I223" s="68"/>
      <c r="J223" s="490" t="s">
        <v>149</v>
      </c>
      <c r="K223" s="259">
        <v>8</v>
      </c>
      <c r="L223" s="473">
        <v>8</v>
      </c>
      <c r="M223" s="155">
        <v>8</v>
      </c>
    </row>
    <row r="224" spans="1:13" ht="27.75" customHeight="1" x14ac:dyDescent="0.25">
      <c r="A224" s="1586"/>
      <c r="B224" s="1587"/>
      <c r="C224" s="1687"/>
      <c r="D224" s="1576"/>
      <c r="E224" s="1676"/>
      <c r="F224" s="1038"/>
      <c r="G224" s="1052"/>
      <c r="H224" s="1230"/>
      <c r="I224" s="89"/>
      <c r="J224" s="14" t="s">
        <v>348</v>
      </c>
      <c r="K224" s="29">
        <v>5</v>
      </c>
      <c r="L224" s="29">
        <v>6</v>
      </c>
      <c r="M224" s="16">
        <v>6</v>
      </c>
    </row>
    <row r="225" spans="1:13" ht="20.25" customHeight="1" x14ac:dyDescent="0.25">
      <c r="A225" s="1586"/>
      <c r="B225" s="1587"/>
      <c r="C225" s="1687"/>
      <c r="D225" s="1574" t="s">
        <v>364</v>
      </c>
      <c r="E225" s="1730" t="s">
        <v>202</v>
      </c>
      <c r="F225" s="1037"/>
      <c r="G225" s="1051"/>
      <c r="H225" s="1229"/>
      <c r="I225" s="68"/>
      <c r="J225" s="1581" t="s">
        <v>365</v>
      </c>
      <c r="K225" s="1290">
        <v>3</v>
      </c>
      <c r="L225" s="1289">
        <v>5</v>
      </c>
      <c r="M225" s="1288">
        <v>5</v>
      </c>
    </row>
    <row r="226" spans="1:13" ht="12" customHeight="1" x14ac:dyDescent="0.25">
      <c r="A226" s="1586"/>
      <c r="B226" s="1587"/>
      <c r="C226" s="1687"/>
      <c r="D226" s="1576"/>
      <c r="E226" s="1601"/>
      <c r="F226" s="1038"/>
      <c r="G226" s="1052"/>
      <c r="H226" s="1230"/>
      <c r="I226" s="89"/>
      <c r="J226" s="1619"/>
      <c r="K226" s="1036"/>
      <c r="L226" s="15"/>
      <c r="M226" s="16"/>
    </row>
    <row r="227" spans="1:13" ht="18" customHeight="1" thickBot="1" x14ac:dyDescent="0.3">
      <c r="A227" s="610"/>
      <c r="B227" s="611"/>
      <c r="C227" s="609"/>
      <c r="D227" s="469"/>
      <c r="E227" s="470"/>
      <c r="F227" s="79" t="s">
        <v>5</v>
      </c>
      <c r="G227" s="139">
        <f>SUM(G203:G224)</f>
        <v>1874.1</v>
      </c>
      <c r="H227" s="51">
        <f>SUM(H203:H224)</f>
        <v>717.6</v>
      </c>
      <c r="I227" s="120">
        <f>SUM(I203:I224)</f>
        <v>1532.1</v>
      </c>
      <c r="J227" s="1142"/>
      <c r="K227" s="251"/>
      <c r="L227" s="108"/>
      <c r="M227" s="227"/>
    </row>
    <row r="228" spans="1:13" ht="14.25" customHeight="1" thickBot="1" x14ac:dyDescent="0.3">
      <c r="A228" s="52" t="s">
        <v>4</v>
      </c>
      <c r="B228" s="43" t="s">
        <v>26</v>
      </c>
      <c r="C228" s="1649" t="s">
        <v>7</v>
      </c>
      <c r="D228" s="1649"/>
      <c r="E228" s="1649"/>
      <c r="F228" s="1718"/>
      <c r="G228" s="263">
        <f>G227+G202</f>
        <v>3601.7</v>
      </c>
      <c r="H228" s="1022">
        <f>H227+H202</f>
        <v>2270.6999999999998</v>
      </c>
      <c r="I228" s="1233">
        <f>I227+I202</f>
        <v>2930.8</v>
      </c>
      <c r="J228" s="1719"/>
      <c r="K228" s="1677"/>
      <c r="L228" s="1677"/>
      <c r="M228" s="1678"/>
    </row>
    <row r="229" spans="1:13" ht="14.25" customHeight="1" thickBot="1" x14ac:dyDescent="0.3">
      <c r="A229" s="52" t="s">
        <v>4</v>
      </c>
      <c r="B229" s="1720" t="s">
        <v>8</v>
      </c>
      <c r="C229" s="1721"/>
      <c r="D229" s="1721"/>
      <c r="E229" s="1721"/>
      <c r="F229" s="1722"/>
      <c r="G229" s="39">
        <f>G228+G173+G126</f>
        <v>35612.300000000003</v>
      </c>
      <c r="H229" s="82">
        <f>H228+H173+H126</f>
        <v>44916.4</v>
      </c>
      <c r="I229" s="1145">
        <f>I228+I173+I126</f>
        <v>45266.400000000001</v>
      </c>
      <c r="J229" s="1723"/>
      <c r="K229" s="1723"/>
      <c r="L229" s="1723"/>
      <c r="M229" s="1724"/>
    </row>
    <row r="230" spans="1:13" ht="14.25" customHeight="1" thickBot="1" x14ac:dyDescent="0.3">
      <c r="A230" s="57" t="s">
        <v>32</v>
      </c>
      <c r="B230" s="1725" t="s">
        <v>51</v>
      </c>
      <c r="C230" s="1726"/>
      <c r="D230" s="1726"/>
      <c r="E230" s="1726"/>
      <c r="F230" s="1727"/>
      <c r="G230" s="265">
        <f>SUM(G229)</f>
        <v>35612.300000000003</v>
      </c>
      <c r="H230" s="83">
        <f t="shared" ref="H230:I230" si="3">SUM(H229)</f>
        <v>44916.4</v>
      </c>
      <c r="I230" s="1234">
        <f t="shared" si="3"/>
        <v>45266.400000000001</v>
      </c>
      <c r="J230" s="1728"/>
      <c r="K230" s="1728"/>
      <c r="L230" s="1728"/>
      <c r="M230" s="1729"/>
    </row>
    <row r="231" spans="1:13" ht="14.25" customHeight="1" x14ac:dyDescent="0.25">
      <c r="A231" s="1761"/>
      <c r="B231" s="1761"/>
      <c r="C231" s="1761"/>
      <c r="D231" s="1761"/>
      <c r="E231" s="1761"/>
      <c r="F231" s="1761"/>
      <c r="G231" s="1761"/>
      <c r="H231" s="1761"/>
      <c r="I231" s="378"/>
      <c r="J231" s="58"/>
      <c r="K231" s="58"/>
      <c r="L231" s="58"/>
      <c r="M231" s="58"/>
    </row>
    <row r="232" spans="1:13" s="4" customFormat="1" ht="12" customHeight="1" x14ac:dyDescent="0.25">
      <c r="A232" s="300"/>
      <c r="B232" s="273"/>
      <c r="C232" s="273"/>
      <c r="D232" s="273"/>
      <c r="E232" s="535"/>
      <c r="F232" s="273"/>
      <c r="G232" s="273"/>
      <c r="H232" s="273"/>
      <c r="I232" s="273"/>
      <c r="J232" s="273"/>
      <c r="K232" s="300"/>
      <c r="L232" s="300"/>
      <c r="M232" s="300"/>
    </row>
    <row r="233" spans="1:13" s="5" customFormat="1" ht="15" customHeight="1" thickBot="1" x14ac:dyDescent="0.3">
      <c r="A233" s="1762" t="s">
        <v>12</v>
      </c>
      <c r="B233" s="1762"/>
      <c r="C233" s="1762"/>
      <c r="D233" s="1762"/>
      <c r="E233" s="1762"/>
      <c r="F233" s="1762"/>
      <c r="G233" s="90"/>
      <c r="H233" s="90"/>
      <c r="I233" s="90"/>
      <c r="J233" s="58"/>
      <c r="K233" s="58"/>
      <c r="L233" s="58"/>
      <c r="M233" s="58"/>
    </row>
    <row r="234" spans="1:13" ht="62.25" customHeight="1" thickBot="1" x14ac:dyDescent="0.3">
      <c r="A234" s="1763" t="s">
        <v>9</v>
      </c>
      <c r="B234" s="1764"/>
      <c r="C234" s="1764"/>
      <c r="D234" s="1764"/>
      <c r="E234" s="1764"/>
      <c r="F234" s="1765"/>
      <c r="G234" s="274" t="s">
        <v>212</v>
      </c>
      <c r="H234" s="285" t="s">
        <v>147</v>
      </c>
      <c r="I234" s="285" t="s">
        <v>213</v>
      </c>
      <c r="J234" s="10"/>
      <c r="K234" s="10"/>
      <c r="L234" s="10"/>
      <c r="M234" s="10"/>
    </row>
    <row r="235" spans="1:13" ht="14.25" customHeight="1" x14ac:dyDescent="0.25">
      <c r="A235" s="1766" t="s">
        <v>13</v>
      </c>
      <c r="B235" s="1767"/>
      <c r="C235" s="1767"/>
      <c r="D235" s="1767"/>
      <c r="E235" s="1767"/>
      <c r="F235" s="1768"/>
      <c r="G235" s="275">
        <f>G236+G244+G245+G246+G243</f>
        <v>31988.2</v>
      </c>
      <c r="H235" s="331">
        <f>H236+H244+H245+H246+H243</f>
        <v>26060.3</v>
      </c>
      <c r="I235" s="331">
        <f>I236+I244+I245+I246+I243</f>
        <v>17351.7</v>
      </c>
      <c r="J235" s="10"/>
      <c r="K235" s="10"/>
      <c r="L235" s="10"/>
      <c r="M235" s="10"/>
    </row>
    <row r="236" spans="1:13" ht="14.25" customHeight="1" x14ac:dyDescent="0.25">
      <c r="A236" s="1769" t="s">
        <v>70</v>
      </c>
      <c r="B236" s="1770"/>
      <c r="C236" s="1770"/>
      <c r="D236" s="1770"/>
      <c r="E236" s="1770"/>
      <c r="F236" s="1771"/>
      <c r="G236" s="276">
        <f>SUM(G237:G242)</f>
        <v>25821.200000000001</v>
      </c>
      <c r="H236" s="276">
        <f t="shared" ref="H236:I236" si="4">SUM(H237:H242)</f>
        <v>26029</v>
      </c>
      <c r="I236" s="330">
        <f t="shared" si="4"/>
        <v>17320.400000000001</v>
      </c>
      <c r="J236" s="10"/>
      <c r="K236" s="10"/>
      <c r="L236" s="10"/>
      <c r="M236" s="10"/>
    </row>
    <row r="237" spans="1:13" ht="14.25" customHeight="1" x14ac:dyDescent="0.25">
      <c r="A237" s="1715" t="s">
        <v>18</v>
      </c>
      <c r="B237" s="1716"/>
      <c r="C237" s="1716"/>
      <c r="D237" s="1716"/>
      <c r="E237" s="1716"/>
      <c r="F237" s="1717"/>
      <c r="G237" s="713">
        <f>SUMIF(F16:F230,"SB",G16:G230)</f>
        <v>9157.9</v>
      </c>
      <c r="H237" s="713">
        <f>SUMIF(F16:F230,"SB",H16:H230)</f>
        <v>14653.3</v>
      </c>
      <c r="I237" s="713">
        <f>SUMIF(F16:F230,"SB",I16:I230)</f>
        <v>12193</v>
      </c>
      <c r="J237" s="30"/>
      <c r="K237" s="10"/>
      <c r="L237" s="10"/>
      <c r="M237" s="10"/>
    </row>
    <row r="238" spans="1:13" ht="14.25" customHeight="1" x14ac:dyDescent="0.25">
      <c r="A238" s="1731" t="s">
        <v>62</v>
      </c>
      <c r="B238" s="1732"/>
      <c r="C238" s="1732"/>
      <c r="D238" s="1732"/>
      <c r="E238" s="1732"/>
      <c r="F238" s="1733"/>
      <c r="G238" s="713">
        <f>SUMIF(F16:F230,"SB(VR)",G16:G230)</f>
        <v>1900</v>
      </c>
      <c r="H238" s="713">
        <f>SUMIF(F16:F230,"SB(VR)",H16:H230)</f>
        <v>1279.0999999999999</v>
      </c>
      <c r="I238" s="713">
        <f>SUMIF(F16:F230,"SB(VR)",I16:I230)</f>
        <v>1501.5</v>
      </c>
      <c r="J238" s="10"/>
      <c r="K238" s="10"/>
      <c r="L238" s="10"/>
      <c r="M238" s="10"/>
    </row>
    <row r="239" spans="1:13" ht="29.25" customHeight="1" x14ac:dyDescent="0.25">
      <c r="A239" s="1750" t="s">
        <v>110</v>
      </c>
      <c r="B239" s="1751"/>
      <c r="C239" s="1751"/>
      <c r="D239" s="1751"/>
      <c r="E239" s="1751"/>
      <c r="F239" s="1752"/>
      <c r="G239" s="32">
        <f>SUMIF(F16:F228,"SB(ES)",G16:G228)</f>
        <v>2912.5</v>
      </c>
      <c r="H239" s="32">
        <f>SUMIF(F16:F228,"SB(ES)",H16:H228)</f>
        <v>59.1</v>
      </c>
      <c r="I239" s="32">
        <f>SUMIF(F16:F228,"SB(ES)",I16:I228)</f>
        <v>0</v>
      </c>
      <c r="J239" s="10"/>
      <c r="K239" s="10"/>
      <c r="L239" s="10"/>
      <c r="M239" s="10"/>
    </row>
    <row r="240" spans="1:13" ht="14.25" customHeight="1" x14ac:dyDescent="0.25">
      <c r="A240" s="1750" t="s">
        <v>159</v>
      </c>
      <c r="B240" s="1751"/>
      <c r="C240" s="1751"/>
      <c r="D240" s="1751"/>
      <c r="E240" s="1751"/>
      <c r="F240" s="1752"/>
      <c r="G240" s="32">
        <f>SUMIF(F16:F228,"SB(VB)",G16:G228)</f>
        <v>5000</v>
      </c>
      <c r="H240" s="32">
        <f>SUMIF(F16:F228,"SB(VB)",H16:H228)</f>
        <v>5000</v>
      </c>
      <c r="I240" s="32">
        <f>SUMIF(F16:F228,"SB(VB)",I16:I228)</f>
        <v>0</v>
      </c>
      <c r="J240" s="10"/>
      <c r="K240" s="10"/>
      <c r="L240" s="10"/>
      <c r="M240" s="10"/>
    </row>
    <row r="241" spans="1:15" ht="28.5" customHeight="1" x14ac:dyDescent="0.25">
      <c r="A241" s="1518" t="s">
        <v>184</v>
      </c>
      <c r="B241" s="1756"/>
      <c r="C241" s="1756"/>
      <c r="D241" s="1756"/>
      <c r="E241" s="1756"/>
      <c r="F241" s="1757"/>
      <c r="G241" s="32">
        <f>SUMIF(F16:F230,"SB(KPP)",G16:G230)</f>
        <v>6835.1</v>
      </c>
      <c r="H241" s="32">
        <f>SUMIF(F16:F230,"SB(KPP)",H16:H230)</f>
        <v>5012.6000000000004</v>
      </c>
      <c r="I241" s="32">
        <f>SUMIF(F16:F230,"SB(KPP)",I16:I230)</f>
        <v>3617.6</v>
      </c>
      <c r="J241" s="10"/>
      <c r="K241" s="10"/>
      <c r="L241" s="10"/>
      <c r="M241" s="10"/>
    </row>
    <row r="242" spans="1:15" ht="28.5" customHeight="1" x14ac:dyDescent="0.25">
      <c r="A242" s="1518" t="s">
        <v>307</v>
      </c>
      <c r="B242" s="1519"/>
      <c r="C242" s="1519"/>
      <c r="D242" s="1519"/>
      <c r="E242" s="1519"/>
      <c r="F242" s="1520"/>
      <c r="G242" s="32">
        <f>SUMIF(F17:F231,"SB(ESA)",G17:G231)</f>
        <v>15.7</v>
      </c>
      <c r="H242" s="32">
        <f>SUMIF(F17:F231,"SB(ESA)",H17:H231)</f>
        <v>24.9</v>
      </c>
      <c r="I242" s="32">
        <f>SUMIF(F17:F231,"SB(ESA)",I17:I231)</f>
        <v>8.3000000000000007</v>
      </c>
      <c r="J242" s="10"/>
      <c r="K242" s="10"/>
      <c r="L242" s="10"/>
      <c r="M242" s="10"/>
    </row>
    <row r="243" spans="1:15" ht="15.75" customHeight="1" x14ac:dyDescent="0.25">
      <c r="A243" s="1741" t="s">
        <v>359</v>
      </c>
      <c r="B243" s="1758"/>
      <c r="C243" s="1758"/>
      <c r="D243" s="1758"/>
      <c r="E243" s="1758"/>
      <c r="F243" s="1759"/>
      <c r="G243" s="140">
        <f>SUMIF(F14:F230,"KPP",G14:G230)</f>
        <v>0</v>
      </c>
      <c r="H243" s="140">
        <f>SUMIF(F14:F230,"KPP",H14:H230)</f>
        <v>0</v>
      </c>
      <c r="I243" s="140">
        <f>SUMIF(F14:F230,"KPP",I14:I230)</f>
        <v>0</v>
      </c>
      <c r="J243" s="10"/>
      <c r="K243" s="10"/>
      <c r="L243" s="10"/>
      <c r="M243" s="10"/>
    </row>
    <row r="244" spans="1:15" ht="14.25" customHeight="1" x14ac:dyDescent="0.25">
      <c r="A244" s="1760" t="s">
        <v>73</v>
      </c>
      <c r="B244" s="1742"/>
      <c r="C244" s="1742"/>
      <c r="D244" s="1742"/>
      <c r="E244" s="1742"/>
      <c r="F244" s="1743"/>
      <c r="G244" s="140">
        <f>SUMIF(F16:F229,"SB(VRL)",G16:G229)</f>
        <v>270.89999999999998</v>
      </c>
      <c r="H244" s="140">
        <f>SUMIF(F16:F229,"SB(VRL)",H16:H229)</f>
        <v>31.3</v>
      </c>
      <c r="I244" s="140">
        <f>SUMIF(F16:F229,"SB(VRL)",I16:I229)</f>
        <v>31.3</v>
      </c>
      <c r="J244" s="10"/>
      <c r="K244" s="10"/>
      <c r="L244" s="10"/>
      <c r="M244" s="10"/>
    </row>
    <row r="245" spans="1:15" ht="14.25" customHeight="1" x14ac:dyDescent="0.25">
      <c r="A245" s="1741" t="s">
        <v>74</v>
      </c>
      <c r="B245" s="1742"/>
      <c r="C245" s="1742"/>
      <c r="D245" s="1742"/>
      <c r="E245" s="1742"/>
      <c r="F245" s="1743"/>
      <c r="G245" s="140">
        <f>SUMIF(F16:F230,"SB(ŽPL)",G16:G230)</f>
        <v>690.1</v>
      </c>
      <c r="H245" s="140">
        <f>SUMIF(F16:F230,"SB(ŽPL)",H16:H230)</f>
        <v>0</v>
      </c>
      <c r="I245" s="140">
        <f>SUMIF(F16:F230,"SB(ŽPL)",I16:I230)</f>
        <v>0</v>
      </c>
      <c r="J245" s="10"/>
      <c r="K245" s="10"/>
      <c r="L245" s="10"/>
      <c r="M245" s="10"/>
    </row>
    <row r="246" spans="1:15" ht="14.25" customHeight="1" x14ac:dyDescent="0.25">
      <c r="A246" s="1744" t="s">
        <v>116</v>
      </c>
      <c r="B246" s="1745"/>
      <c r="C246" s="1745"/>
      <c r="D246" s="1745"/>
      <c r="E246" s="1745"/>
      <c r="F246" s="1746"/>
      <c r="G246" s="140">
        <f>SUMIF(F16:F230,"SB(L)",G16:G230)</f>
        <v>5206</v>
      </c>
      <c r="H246" s="140">
        <f>SUMIF(F16:F230,"SB(L)",H16:H230)</f>
        <v>0</v>
      </c>
      <c r="I246" s="140">
        <f>SUMIF(F16:F230,"SB(L)",I16:I230)</f>
        <v>0</v>
      </c>
      <c r="J246" s="10"/>
      <c r="K246" s="10"/>
      <c r="L246" s="10"/>
      <c r="M246" s="10"/>
    </row>
    <row r="247" spans="1:15" ht="14.25" customHeight="1" x14ac:dyDescent="0.25">
      <c r="A247" s="1747" t="s">
        <v>14</v>
      </c>
      <c r="B247" s="1748"/>
      <c r="C247" s="1748"/>
      <c r="D247" s="1748"/>
      <c r="E247" s="1748"/>
      <c r="F247" s="1749"/>
      <c r="G247" s="141">
        <f>G249+G250+G251+G248</f>
        <v>3624.1</v>
      </c>
      <c r="H247" s="141">
        <f t="shared" ref="H247:I247" si="5">H249+H250+H251+H248</f>
        <v>18856.099999999999</v>
      </c>
      <c r="I247" s="141">
        <f t="shared" si="5"/>
        <v>27914.7</v>
      </c>
      <c r="J247" s="10"/>
      <c r="K247" s="10"/>
      <c r="L247" s="10"/>
      <c r="M247" s="10"/>
    </row>
    <row r="248" spans="1:15" ht="14.25" customHeight="1" x14ac:dyDescent="0.25">
      <c r="A248" s="1750" t="s">
        <v>19</v>
      </c>
      <c r="B248" s="1751"/>
      <c r="C248" s="1751"/>
      <c r="D248" s="1751"/>
      <c r="E248" s="1751"/>
      <c r="F248" s="1752"/>
      <c r="G248" s="32">
        <f>SUMIF(F16:F230,"ES",G16:G230)</f>
        <v>997</v>
      </c>
      <c r="H248" s="32">
        <f>SUMIF(F16:F230,"ES",H16:H230)</f>
        <v>1401.7</v>
      </c>
      <c r="I248" s="32">
        <f>SUMIF(F16:F230,"ES",I16:I230)</f>
        <v>1339.6</v>
      </c>
      <c r="J248" s="10"/>
      <c r="K248" s="10"/>
      <c r="L248" s="10"/>
      <c r="M248" s="10"/>
    </row>
    <row r="249" spans="1:15" ht="14.25" customHeight="1" x14ac:dyDescent="0.25">
      <c r="A249" s="1753" t="s">
        <v>20</v>
      </c>
      <c r="B249" s="1754"/>
      <c r="C249" s="1754"/>
      <c r="D249" s="1754"/>
      <c r="E249" s="1754"/>
      <c r="F249" s="1755"/>
      <c r="G249" s="32">
        <f>SUMIF(F16:F230,"KVJUD",G16:G230)</f>
        <v>1542</v>
      </c>
      <c r="H249" s="32">
        <f>SUMIF(F16:F230,"KVJUD",H16:H230)</f>
        <v>1500</v>
      </c>
      <c r="I249" s="32">
        <f>SUMIF(F16:F230,"KVJUD",I16:I230)</f>
        <v>1500</v>
      </c>
      <c r="J249" s="30"/>
      <c r="K249" s="30"/>
      <c r="L249" s="30"/>
      <c r="M249" s="30"/>
    </row>
    <row r="250" spans="1:15" ht="14.25" customHeight="1" x14ac:dyDescent="0.25">
      <c r="A250" s="1731" t="s">
        <v>21</v>
      </c>
      <c r="B250" s="1732"/>
      <c r="C250" s="1732"/>
      <c r="D250" s="1732"/>
      <c r="E250" s="1732"/>
      <c r="F250" s="1733"/>
      <c r="G250" s="32">
        <f>SUMIF(F16:F230,"LRVB",G16:G230)</f>
        <v>1000</v>
      </c>
      <c r="H250" s="32">
        <f>SUMIF(F16:F230,"LRVB",H16:H230)</f>
        <v>15650</v>
      </c>
      <c r="I250" s="32">
        <f>SUMIF(F16:F230,"LRVB",I16:I230)</f>
        <v>25015.1</v>
      </c>
      <c r="J250" s="30"/>
      <c r="K250" s="30"/>
      <c r="L250" s="30"/>
      <c r="M250" s="30"/>
    </row>
    <row r="251" spans="1:15" ht="14.25" customHeight="1" x14ac:dyDescent="0.25">
      <c r="A251" s="1734" t="s">
        <v>22</v>
      </c>
      <c r="B251" s="1735"/>
      <c r="C251" s="1735"/>
      <c r="D251" s="1735"/>
      <c r="E251" s="1735"/>
      <c r="F251" s="1736"/>
      <c r="G251" s="32">
        <f>SUMIF(F16:F230,"Kt",G16:G230)</f>
        <v>85.1</v>
      </c>
      <c r="H251" s="32">
        <f>SUMIF(F16:F230,"Kt",H16:H230)</f>
        <v>304.39999999999998</v>
      </c>
      <c r="I251" s="32">
        <f>SUMIF(F16:F230,"Kt",I16:I230)</f>
        <v>60</v>
      </c>
      <c r="J251" s="30"/>
      <c r="K251" s="30"/>
      <c r="L251" s="30"/>
      <c r="M251" s="30"/>
    </row>
    <row r="252" spans="1:15" ht="14.25" customHeight="1" thickBot="1" x14ac:dyDescent="0.3">
      <c r="A252" s="1737" t="s">
        <v>15</v>
      </c>
      <c r="B252" s="1738"/>
      <c r="C252" s="1738"/>
      <c r="D252" s="1738"/>
      <c r="E252" s="1738"/>
      <c r="F252" s="1739"/>
      <c r="G252" s="142">
        <f>SUM(G235,G247)</f>
        <v>35612.300000000003</v>
      </c>
      <c r="H252" s="142">
        <f>SUM(H235,H247)</f>
        <v>44916.4</v>
      </c>
      <c r="I252" s="142">
        <f>SUM(I235,I247)</f>
        <v>45266.400000000001</v>
      </c>
      <c r="J252" s="30"/>
      <c r="K252" s="30"/>
      <c r="L252" s="30"/>
      <c r="M252" s="30"/>
    </row>
    <row r="253" spans="1:15" x14ac:dyDescent="0.25">
      <c r="F253" s="268"/>
      <c r="G253" s="269"/>
      <c r="H253" s="269"/>
      <c r="I253" s="269"/>
      <c r="J253" s="4"/>
    </row>
    <row r="255" spans="1:15" s="2" customFormat="1" x14ac:dyDescent="0.25">
      <c r="E255" s="738"/>
      <c r="F255" s="739"/>
      <c r="G255" s="740"/>
      <c r="H255" s="740"/>
      <c r="I255" s="740"/>
      <c r="N255" s="1"/>
      <c r="O255" s="1"/>
    </row>
    <row r="256" spans="1:15" s="2" customFormat="1" x14ac:dyDescent="0.25">
      <c r="E256" s="579"/>
      <c r="F256" s="3"/>
      <c r="G256" s="10"/>
      <c r="H256" s="10"/>
      <c r="I256" s="10"/>
      <c r="N256" s="1"/>
      <c r="O256" s="1"/>
    </row>
    <row r="257" spans="5:15" s="2" customFormat="1" x14ac:dyDescent="0.25">
      <c r="E257" s="579"/>
      <c r="F257" s="3"/>
      <c r="J257" s="10"/>
      <c r="N257" s="1"/>
      <c r="O257" s="1"/>
    </row>
    <row r="258" spans="5:15" s="2" customFormat="1" x14ac:dyDescent="0.25">
      <c r="E258" s="579"/>
      <c r="F258" s="3"/>
      <c r="I258" s="10"/>
      <c r="N258" s="1"/>
      <c r="O258" s="1"/>
    </row>
    <row r="260" spans="5:15" s="2" customFormat="1" x14ac:dyDescent="0.25">
      <c r="E260" s="579"/>
      <c r="F260" s="3"/>
      <c r="J260" s="10"/>
      <c r="N260" s="1"/>
      <c r="O260" s="1"/>
    </row>
    <row r="263" spans="5:15" s="2" customFormat="1" x14ac:dyDescent="0.25">
      <c r="E263" s="579"/>
      <c r="F263" s="3"/>
      <c r="J263" s="10"/>
      <c r="N263" s="1"/>
      <c r="O263" s="1"/>
    </row>
    <row r="266" spans="5:15" s="2" customFormat="1" x14ac:dyDescent="0.25">
      <c r="E266" s="579"/>
      <c r="F266" s="3"/>
      <c r="J266" s="10"/>
      <c r="N266" s="1"/>
      <c r="O266" s="1"/>
    </row>
  </sheetData>
  <mergeCells count="233">
    <mergeCell ref="A250:F250"/>
    <mergeCell ref="A251:F251"/>
    <mergeCell ref="A252:F252"/>
    <mergeCell ref="J1:M1"/>
    <mergeCell ref="D34:D36"/>
    <mergeCell ref="J49:J50"/>
    <mergeCell ref="J109:J110"/>
    <mergeCell ref="J54:J55"/>
    <mergeCell ref="A245:F245"/>
    <mergeCell ref="A246:F246"/>
    <mergeCell ref="A247:F247"/>
    <mergeCell ref="A248:F248"/>
    <mergeCell ref="A249:F249"/>
    <mergeCell ref="A238:F238"/>
    <mergeCell ref="A239:F239"/>
    <mergeCell ref="A240:F240"/>
    <mergeCell ref="A241:F241"/>
    <mergeCell ref="A243:F243"/>
    <mergeCell ref="A244:F244"/>
    <mergeCell ref="A231:H231"/>
    <mergeCell ref="A233:F233"/>
    <mergeCell ref="A234:F234"/>
    <mergeCell ref="A235:F235"/>
    <mergeCell ref="A236:F236"/>
    <mergeCell ref="A237:F237"/>
    <mergeCell ref="C228:F228"/>
    <mergeCell ref="J228:M228"/>
    <mergeCell ref="B229:F229"/>
    <mergeCell ref="J229:M229"/>
    <mergeCell ref="B230:F230"/>
    <mergeCell ref="J230:M230"/>
    <mergeCell ref="A223:A224"/>
    <mergeCell ref="B223:B224"/>
    <mergeCell ref="C223:C224"/>
    <mergeCell ref="D223:D224"/>
    <mergeCell ref="E223:E224"/>
    <mergeCell ref="A225:A226"/>
    <mergeCell ref="B225:B226"/>
    <mergeCell ref="C225:C226"/>
    <mergeCell ref="D225:D226"/>
    <mergeCell ref="E225:E226"/>
    <mergeCell ref="J225:J226"/>
    <mergeCell ref="A220:A222"/>
    <mergeCell ref="B220:B222"/>
    <mergeCell ref="C220:C222"/>
    <mergeCell ref="D220:D222"/>
    <mergeCell ref="E220:E222"/>
    <mergeCell ref="A217:A219"/>
    <mergeCell ref="B217:B219"/>
    <mergeCell ref="C217:C219"/>
    <mergeCell ref="D217:D219"/>
    <mergeCell ref="E217:E219"/>
    <mergeCell ref="J209:J210"/>
    <mergeCell ref="D212:D213"/>
    <mergeCell ref="A214:A216"/>
    <mergeCell ref="B214:B216"/>
    <mergeCell ref="C214:C216"/>
    <mergeCell ref="D214:D216"/>
    <mergeCell ref="J214:J215"/>
    <mergeCell ref="D203:D208"/>
    <mergeCell ref="E203:E208"/>
    <mergeCell ref="A209:A211"/>
    <mergeCell ref="B209:B211"/>
    <mergeCell ref="C209:C211"/>
    <mergeCell ref="D209:D211"/>
    <mergeCell ref="A200:A201"/>
    <mergeCell ref="B200:B201"/>
    <mergeCell ref="C200:C201"/>
    <mergeCell ref="D200:D201"/>
    <mergeCell ref="E200:E201"/>
    <mergeCell ref="M189:M190"/>
    <mergeCell ref="D192:D193"/>
    <mergeCell ref="J192:J193"/>
    <mergeCell ref="D194:D195"/>
    <mergeCell ref="D198:D199"/>
    <mergeCell ref="D189:D191"/>
    <mergeCell ref="J189:J190"/>
    <mergeCell ref="K189:K190"/>
    <mergeCell ref="L189:L190"/>
    <mergeCell ref="D196:D197"/>
    <mergeCell ref="J196:J197"/>
    <mergeCell ref="C173:F173"/>
    <mergeCell ref="J173:M173"/>
    <mergeCell ref="C174:M174"/>
    <mergeCell ref="D179:D186"/>
    <mergeCell ref="E179:E183"/>
    <mergeCell ref="N167:O167"/>
    <mergeCell ref="D162:D164"/>
    <mergeCell ref="J163:J164"/>
    <mergeCell ref="D165:D166"/>
    <mergeCell ref="D167:D168"/>
    <mergeCell ref="D175:D176"/>
    <mergeCell ref="D169:D171"/>
    <mergeCell ref="J169:J170"/>
    <mergeCell ref="J155:J156"/>
    <mergeCell ref="D157:D158"/>
    <mergeCell ref="I157:I158"/>
    <mergeCell ref="J157:J158"/>
    <mergeCell ref="D159:D160"/>
    <mergeCell ref="E159:E160"/>
    <mergeCell ref="A155:A156"/>
    <mergeCell ref="B155:B156"/>
    <mergeCell ref="C155:C156"/>
    <mergeCell ref="D155:D156"/>
    <mergeCell ref="E155:E156"/>
    <mergeCell ref="A150:A152"/>
    <mergeCell ref="B150:B152"/>
    <mergeCell ref="C150:C152"/>
    <mergeCell ref="D150:D152"/>
    <mergeCell ref="E150:E152"/>
    <mergeCell ref="J148:J149"/>
    <mergeCell ref="K148:K149"/>
    <mergeCell ref="L148:L149"/>
    <mergeCell ref="M148:M149"/>
    <mergeCell ref="A148:A149"/>
    <mergeCell ref="B148:B149"/>
    <mergeCell ref="C148:C149"/>
    <mergeCell ref="D148:D149"/>
    <mergeCell ref="E148:E149"/>
    <mergeCell ref="D139:D141"/>
    <mergeCell ref="J139:J141"/>
    <mergeCell ref="D145:D146"/>
    <mergeCell ref="J145:J146"/>
    <mergeCell ref="D123:D124"/>
    <mergeCell ref="C126:F126"/>
    <mergeCell ref="C127:M127"/>
    <mergeCell ref="D133:D134"/>
    <mergeCell ref="D115:D116"/>
    <mergeCell ref="E118:E120"/>
    <mergeCell ref="J118:J119"/>
    <mergeCell ref="D121:D122"/>
    <mergeCell ref="D128:D131"/>
    <mergeCell ref="E128:E130"/>
    <mergeCell ref="D135:D136"/>
    <mergeCell ref="D109:D110"/>
    <mergeCell ref="D111:D112"/>
    <mergeCell ref="D113:D114"/>
    <mergeCell ref="A106:A108"/>
    <mergeCell ref="B106:B108"/>
    <mergeCell ref="C106:C108"/>
    <mergeCell ref="D106:D108"/>
    <mergeCell ref="E106:E108"/>
    <mergeCell ref="D100:D103"/>
    <mergeCell ref="A104:A105"/>
    <mergeCell ref="B104:B105"/>
    <mergeCell ref="C104:C105"/>
    <mergeCell ref="D104:D105"/>
    <mergeCell ref="J104:J105"/>
    <mergeCell ref="C89:C96"/>
    <mergeCell ref="C97:C99"/>
    <mergeCell ref="D85:D87"/>
    <mergeCell ref="J77:J78"/>
    <mergeCell ref="D79:D80"/>
    <mergeCell ref="E79:E80"/>
    <mergeCell ref="D73:D74"/>
    <mergeCell ref="E73:E74"/>
    <mergeCell ref="J73:J74"/>
    <mergeCell ref="J85:J87"/>
    <mergeCell ref="D83:D84"/>
    <mergeCell ref="E83:E84"/>
    <mergeCell ref="J83:J84"/>
    <mergeCell ref="D81:D82"/>
    <mergeCell ref="E81:E82"/>
    <mergeCell ref="N73:N74"/>
    <mergeCell ref="A75:A78"/>
    <mergeCell ref="B75:B78"/>
    <mergeCell ref="C75:C78"/>
    <mergeCell ref="D75:D78"/>
    <mergeCell ref="E75:E78"/>
    <mergeCell ref="A71:A72"/>
    <mergeCell ref="B71:B72"/>
    <mergeCell ref="D71:D72"/>
    <mergeCell ref="E71:E72"/>
    <mergeCell ref="J65:J66"/>
    <mergeCell ref="D67:D68"/>
    <mergeCell ref="D69:D70"/>
    <mergeCell ref="E69:E70"/>
    <mergeCell ref="J71:J72"/>
    <mergeCell ref="D57:D58"/>
    <mergeCell ref="E57:E58"/>
    <mergeCell ref="J57:J58"/>
    <mergeCell ref="D60:D62"/>
    <mergeCell ref="D54:D56"/>
    <mergeCell ref="A49:A50"/>
    <mergeCell ref="B49:B50"/>
    <mergeCell ref="C49:C53"/>
    <mergeCell ref="D49:D50"/>
    <mergeCell ref="A51:A53"/>
    <mergeCell ref="B51:B53"/>
    <mergeCell ref="D51:D53"/>
    <mergeCell ref="D63:D64"/>
    <mergeCell ref="A42:A43"/>
    <mergeCell ref="B42:B43"/>
    <mergeCell ref="C42:C43"/>
    <mergeCell ref="D42:D43"/>
    <mergeCell ref="A34:A38"/>
    <mergeCell ref="B34:B38"/>
    <mergeCell ref="C34:C38"/>
    <mergeCell ref="J51:J52"/>
    <mergeCell ref="E52:E53"/>
    <mergeCell ref="H9:H11"/>
    <mergeCell ref="C44:C48"/>
    <mergeCell ref="D44:D46"/>
    <mergeCell ref="E45:E46"/>
    <mergeCell ref="D47:D48"/>
    <mergeCell ref="E47:E48"/>
    <mergeCell ref="J34:J35"/>
    <mergeCell ref="D39:D40"/>
    <mergeCell ref="J39:J40"/>
    <mergeCell ref="A242:F242"/>
    <mergeCell ref="A5:M5"/>
    <mergeCell ref="A6:M6"/>
    <mergeCell ref="A7:M7"/>
    <mergeCell ref="J8:M8"/>
    <mergeCell ref="A9:A11"/>
    <mergeCell ref="B9:B11"/>
    <mergeCell ref="C9:C11"/>
    <mergeCell ref="D9:D11"/>
    <mergeCell ref="B14:M14"/>
    <mergeCell ref="C15:M15"/>
    <mergeCell ref="D16:D19"/>
    <mergeCell ref="D29:D31"/>
    <mergeCell ref="E29:E31"/>
    <mergeCell ref="J30:J31"/>
    <mergeCell ref="I9:I11"/>
    <mergeCell ref="J9:M9"/>
    <mergeCell ref="J10:J11"/>
    <mergeCell ref="K10:M10"/>
    <mergeCell ref="A12:M12"/>
    <mergeCell ref="A13:M13"/>
    <mergeCell ref="E9:E11"/>
    <mergeCell ref="F9:F11"/>
    <mergeCell ref="G9:G11"/>
  </mergeCells>
  <printOptions horizontalCentered="1"/>
  <pageMargins left="0.78740157480314965" right="0.39370078740157483" top="0.39370078740157483" bottom="0.39370078740157483" header="0" footer="0"/>
  <pageSetup paperSize="9" scale="60" orientation="portrait" r:id="rId1"/>
  <headerFooter alignWithMargins="0"/>
  <rowBreaks count="2" manualBreakCount="2">
    <brk id="70" max="12" man="1"/>
    <brk id="127"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0"/>
  <sheetViews>
    <sheetView topLeftCell="A226" zoomScaleNormal="100" zoomScaleSheetLayoutView="100" workbookViewId="0">
      <selection activeCell="I256" sqref="I256"/>
    </sheetView>
  </sheetViews>
  <sheetFormatPr defaultColWidth="9.1796875" defaultRowHeight="13" x14ac:dyDescent="0.25"/>
  <cols>
    <col min="1" max="3" width="2.7265625" style="2" customWidth="1"/>
    <col min="4" max="4" width="36" style="2" customWidth="1"/>
    <col min="5" max="5" width="4.453125" style="755" customWidth="1"/>
    <col min="6" max="6" width="8.81640625" style="3" customWidth="1"/>
    <col min="7" max="9" width="8" style="2" customWidth="1"/>
    <col min="10" max="10" width="8.453125" style="2" customWidth="1"/>
    <col min="11" max="11" width="8.26953125" style="2" customWidth="1"/>
    <col min="12" max="12" width="8" style="2" customWidth="1"/>
    <col min="13" max="13" width="8.26953125" style="2" customWidth="1"/>
    <col min="14" max="14" width="8.453125" style="2" customWidth="1"/>
    <col min="15" max="15" width="8" style="2" customWidth="1"/>
    <col min="16" max="16" width="35" style="2" customWidth="1"/>
    <col min="17" max="17" width="4.7265625" style="1104" customWidth="1"/>
    <col min="18" max="18" width="4.7265625" style="2" customWidth="1"/>
    <col min="19" max="19" width="4.453125" style="2" customWidth="1"/>
    <col min="20" max="20" width="40.453125" style="2" customWidth="1"/>
    <col min="21" max="21" width="21.7265625" style="1" customWidth="1"/>
    <col min="22" max="25" width="9.1796875" style="1"/>
    <col min="26" max="26" width="8.7265625" style="1" customWidth="1"/>
    <col min="27" max="16384" width="9.1796875" style="1"/>
  </cols>
  <sheetData>
    <row r="1" spans="1:40" s="91" customFormat="1" ht="20.25" customHeight="1" x14ac:dyDescent="0.35">
      <c r="B1" s="225"/>
      <c r="C1" s="225"/>
      <c r="D1" s="225"/>
      <c r="E1" s="225"/>
      <c r="P1" s="429"/>
      <c r="Q1" s="1065"/>
      <c r="R1" s="339"/>
      <c r="S1" s="339"/>
      <c r="T1" s="429" t="s">
        <v>142</v>
      </c>
      <c r="U1" s="225"/>
      <c r="V1" s="225"/>
      <c r="W1" s="225"/>
      <c r="X1" s="225"/>
      <c r="Y1" s="225"/>
      <c r="Z1" s="225"/>
      <c r="AA1" s="225"/>
      <c r="AB1" s="225"/>
      <c r="AC1" s="225"/>
      <c r="AD1" s="225"/>
      <c r="AE1" s="225"/>
      <c r="AF1" s="225"/>
      <c r="AG1" s="225"/>
      <c r="AH1" s="225"/>
      <c r="AI1" s="225"/>
      <c r="AJ1" s="225"/>
      <c r="AK1" s="225"/>
      <c r="AL1" s="225"/>
      <c r="AM1" s="225"/>
      <c r="AN1" s="225"/>
    </row>
    <row r="2" spans="1:40" s="22" customFormat="1" ht="14" x14ac:dyDescent="0.25">
      <c r="A2" s="1521" t="s">
        <v>293</v>
      </c>
      <c r="B2" s="1521"/>
      <c r="C2" s="1521"/>
      <c r="D2" s="1521"/>
      <c r="E2" s="1521"/>
      <c r="F2" s="1521"/>
      <c r="G2" s="1521"/>
      <c r="H2" s="1521"/>
      <c r="I2" s="1521"/>
      <c r="J2" s="1521"/>
      <c r="K2" s="1521"/>
      <c r="L2" s="1521"/>
      <c r="M2" s="1521"/>
      <c r="N2" s="1521"/>
      <c r="O2" s="1521"/>
      <c r="P2" s="1521"/>
      <c r="Q2" s="1521"/>
      <c r="R2" s="1521"/>
      <c r="S2" s="1521"/>
      <c r="T2" s="1521"/>
    </row>
    <row r="3" spans="1:40" ht="15.75" customHeight="1" x14ac:dyDescent="0.25">
      <c r="A3" s="1522" t="s">
        <v>27</v>
      </c>
      <c r="B3" s="1522"/>
      <c r="C3" s="1522"/>
      <c r="D3" s="1522"/>
      <c r="E3" s="1522"/>
      <c r="F3" s="1522"/>
      <c r="G3" s="1522"/>
      <c r="H3" s="1522"/>
      <c r="I3" s="1522"/>
      <c r="J3" s="1522"/>
      <c r="K3" s="1522"/>
      <c r="L3" s="1522"/>
      <c r="M3" s="1522"/>
      <c r="N3" s="1522"/>
      <c r="O3" s="1522"/>
      <c r="P3" s="1522"/>
      <c r="Q3" s="1522"/>
      <c r="R3" s="1522"/>
      <c r="S3" s="1522"/>
      <c r="T3" s="1522"/>
    </row>
    <row r="4" spans="1:40" ht="15" customHeight="1" x14ac:dyDescent="0.25">
      <c r="A4" s="1523" t="s">
        <v>16</v>
      </c>
      <c r="B4" s="1523"/>
      <c r="C4" s="1523"/>
      <c r="D4" s="1523"/>
      <c r="E4" s="1523"/>
      <c r="F4" s="1523"/>
      <c r="G4" s="1523"/>
      <c r="H4" s="1523"/>
      <c r="I4" s="1523"/>
      <c r="J4" s="1523"/>
      <c r="K4" s="1523"/>
      <c r="L4" s="1523"/>
      <c r="M4" s="1523"/>
      <c r="N4" s="1523"/>
      <c r="O4" s="1523"/>
      <c r="P4" s="1523"/>
      <c r="Q4" s="1523"/>
      <c r="R4" s="1523"/>
      <c r="S4" s="1523"/>
      <c r="T4" s="1523"/>
    </row>
    <row r="5" spans="1:40" ht="15" customHeight="1" thickBot="1" x14ac:dyDescent="0.3">
      <c r="A5" s="11"/>
      <c r="B5" s="11"/>
      <c r="C5" s="11"/>
      <c r="D5" s="11"/>
      <c r="E5" s="533"/>
      <c r="F5" s="132"/>
      <c r="G5" s="11"/>
      <c r="H5" s="11"/>
      <c r="I5" s="11"/>
      <c r="J5" s="11"/>
      <c r="K5" s="11"/>
      <c r="L5" s="11"/>
      <c r="M5" s="11"/>
      <c r="N5" s="11"/>
      <c r="O5" s="11"/>
      <c r="P5" s="1524" t="s">
        <v>83</v>
      </c>
      <c r="Q5" s="1524"/>
      <c r="R5" s="1524"/>
      <c r="S5" s="1524"/>
      <c r="T5" s="1525"/>
    </row>
    <row r="6" spans="1:40" s="22" customFormat="1" ht="30" customHeight="1" x14ac:dyDescent="0.25">
      <c r="A6" s="1526" t="s">
        <v>17</v>
      </c>
      <c r="B6" s="1529" t="s">
        <v>0</v>
      </c>
      <c r="C6" s="1529" t="s">
        <v>1</v>
      </c>
      <c r="D6" s="1532" t="s">
        <v>11</v>
      </c>
      <c r="E6" s="1565" t="s">
        <v>2</v>
      </c>
      <c r="F6" s="1568" t="s">
        <v>3</v>
      </c>
      <c r="G6" s="1846" t="s">
        <v>212</v>
      </c>
      <c r="H6" s="1823" t="s">
        <v>350</v>
      </c>
      <c r="I6" s="1852" t="s">
        <v>144</v>
      </c>
      <c r="J6" s="1846" t="s">
        <v>147</v>
      </c>
      <c r="K6" s="1823" t="s">
        <v>194</v>
      </c>
      <c r="L6" s="1852" t="s">
        <v>144</v>
      </c>
      <c r="M6" s="1846" t="s">
        <v>213</v>
      </c>
      <c r="N6" s="1823" t="s">
        <v>349</v>
      </c>
      <c r="O6" s="1852" t="s">
        <v>144</v>
      </c>
      <c r="P6" s="1552" t="s">
        <v>10</v>
      </c>
      <c r="Q6" s="1553"/>
      <c r="R6" s="1553"/>
      <c r="S6" s="1855"/>
      <c r="T6" s="787"/>
    </row>
    <row r="7" spans="1:40" s="22" customFormat="1" ht="18.75" customHeight="1" x14ac:dyDescent="0.25">
      <c r="A7" s="1527"/>
      <c r="B7" s="1530"/>
      <c r="C7" s="1530"/>
      <c r="D7" s="1533"/>
      <c r="E7" s="1566"/>
      <c r="F7" s="1569"/>
      <c r="G7" s="1847"/>
      <c r="H7" s="1824"/>
      <c r="I7" s="1853"/>
      <c r="J7" s="1849"/>
      <c r="K7" s="1824"/>
      <c r="L7" s="1853"/>
      <c r="M7" s="1849"/>
      <c r="N7" s="1824"/>
      <c r="O7" s="1853"/>
      <c r="P7" s="1555" t="s">
        <v>11</v>
      </c>
      <c r="Q7" s="1851" t="s">
        <v>72</v>
      </c>
      <c r="R7" s="1557"/>
      <c r="S7" s="1557"/>
      <c r="T7" s="788"/>
    </row>
    <row r="8" spans="1:40" s="22" customFormat="1" ht="77.25" customHeight="1" thickBot="1" x14ac:dyDescent="0.3">
      <c r="A8" s="1528"/>
      <c r="B8" s="1531"/>
      <c r="C8" s="1531"/>
      <c r="D8" s="1534"/>
      <c r="E8" s="1567"/>
      <c r="F8" s="1570"/>
      <c r="G8" s="1848"/>
      <c r="H8" s="1825"/>
      <c r="I8" s="1854"/>
      <c r="J8" s="1850"/>
      <c r="K8" s="1825"/>
      <c r="L8" s="1854"/>
      <c r="M8" s="1850"/>
      <c r="N8" s="1825"/>
      <c r="O8" s="1854"/>
      <c r="P8" s="1556"/>
      <c r="Q8" s="1066" t="s">
        <v>114</v>
      </c>
      <c r="R8" s="92" t="s">
        <v>148</v>
      </c>
      <c r="S8" s="92" t="s">
        <v>211</v>
      </c>
      <c r="T8" s="768" t="s">
        <v>143</v>
      </c>
    </row>
    <row r="9" spans="1:40" s="7" customFormat="1" ht="14.25" customHeight="1" x14ac:dyDescent="0.25">
      <c r="A9" s="1559" t="s">
        <v>54</v>
      </c>
      <c r="B9" s="1560"/>
      <c r="C9" s="1560"/>
      <c r="D9" s="1560"/>
      <c r="E9" s="1560"/>
      <c r="F9" s="1560"/>
      <c r="G9" s="1560"/>
      <c r="H9" s="1560"/>
      <c r="I9" s="1560"/>
      <c r="J9" s="1560"/>
      <c r="K9" s="1560"/>
      <c r="L9" s="1560"/>
      <c r="M9" s="1560"/>
      <c r="N9" s="1560"/>
      <c r="O9" s="1560"/>
      <c r="P9" s="1560"/>
      <c r="Q9" s="1560"/>
      <c r="R9" s="1560"/>
      <c r="S9" s="1560"/>
      <c r="T9" s="1561"/>
    </row>
    <row r="10" spans="1:40" s="7" customFormat="1" ht="14.25" customHeight="1" x14ac:dyDescent="0.25">
      <c r="A10" s="1562" t="s">
        <v>24</v>
      </c>
      <c r="B10" s="1563"/>
      <c r="C10" s="1563"/>
      <c r="D10" s="1563"/>
      <c r="E10" s="1563"/>
      <c r="F10" s="1563"/>
      <c r="G10" s="1563"/>
      <c r="H10" s="1563"/>
      <c r="I10" s="1563"/>
      <c r="J10" s="1563"/>
      <c r="K10" s="1563"/>
      <c r="L10" s="1563"/>
      <c r="M10" s="1563"/>
      <c r="N10" s="1563"/>
      <c r="O10" s="1563"/>
      <c r="P10" s="1563"/>
      <c r="Q10" s="1563"/>
      <c r="R10" s="1563"/>
      <c r="S10" s="1563"/>
      <c r="T10" s="1564"/>
    </row>
    <row r="11" spans="1:40" ht="16.5" customHeight="1" x14ac:dyDescent="0.25">
      <c r="A11" s="13" t="s">
        <v>4</v>
      </c>
      <c r="B11" s="1535" t="s">
        <v>28</v>
      </c>
      <c r="C11" s="1536"/>
      <c r="D11" s="1536"/>
      <c r="E11" s="1536"/>
      <c r="F11" s="1536"/>
      <c r="G11" s="1536"/>
      <c r="H11" s="1536"/>
      <c r="I11" s="1536"/>
      <c r="J11" s="1536"/>
      <c r="K11" s="1536"/>
      <c r="L11" s="1536"/>
      <c r="M11" s="1536"/>
      <c r="N11" s="1536"/>
      <c r="O11" s="1536"/>
      <c r="P11" s="1536"/>
      <c r="Q11" s="1536"/>
      <c r="R11" s="1536"/>
      <c r="S11" s="1536"/>
      <c r="T11" s="1537"/>
    </row>
    <row r="12" spans="1:40" ht="15" customHeight="1" thickBot="1" x14ac:dyDescent="0.3">
      <c r="A12" s="131" t="s">
        <v>4</v>
      </c>
      <c r="B12" s="9" t="s">
        <v>4</v>
      </c>
      <c r="C12" s="1538" t="s">
        <v>273</v>
      </c>
      <c r="D12" s="1539"/>
      <c r="E12" s="1539"/>
      <c r="F12" s="1539"/>
      <c r="G12" s="1539"/>
      <c r="H12" s="1539"/>
      <c r="I12" s="1539"/>
      <c r="J12" s="1539"/>
      <c r="K12" s="1539"/>
      <c r="L12" s="1539"/>
      <c r="M12" s="1539"/>
      <c r="N12" s="1539"/>
      <c r="O12" s="1539"/>
      <c r="P12" s="1809"/>
      <c r="Q12" s="1809"/>
      <c r="R12" s="1809"/>
      <c r="S12" s="1809"/>
      <c r="T12" s="1810"/>
    </row>
    <row r="13" spans="1:40" ht="19.5" customHeight="1" x14ac:dyDescent="0.25">
      <c r="A13" s="885" t="s">
        <v>4</v>
      </c>
      <c r="B13" s="886" t="s">
        <v>4</v>
      </c>
      <c r="C13" s="880" t="s">
        <v>4</v>
      </c>
      <c r="D13" s="1541" t="s">
        <v>232</v>
      </c>
      <c r="E13" s="594" t="s">
        <v>44</v>
      </c>
      <c r="F13" s="1395" t="s">
        <v>23</v>
      </c>
      <c r="G13" s="1396">
        <f>3411.5+88.8-25.8-7+10+182.4</f>
        <v>3659.9</v>
      </c>
      <c r="H13" s="1396">
        <f>3411.5+88.8-25.8-7+10+182.4+83.2+117</f>
        <v>3860.1</v>
      </c>
      <c r="I13" s="1394">
        <f>+H13-G13</f>
        <v>200.2</v>
      </c>
      <c r="J13" s="1396">
        <f>9281.9-200-200.7+7-300-406.3+230.8</f>
        <v>8412.7000000000007</v>
      </c>
      <c r="K13" s="1396">
        <f>9281.9-200-200.7+7-300-406.3+230.8-320.9+357.2-1486.9+150-12.8+131.7-125-496.1+1378.9</f>
        <v>7988.8</v>
      </c>
      <c r="L13" s="1394">
        <f>+K13-J13</f>
        <v>-423.9</v>
      </c>
      <c r="M13" s="1020">
        <v>4329.7</v>
      </c>
      <c r="N13" s="1396">
        <f>4329.7+460.4-300</f>
        <v>4490.1000000000004</v>
      </c>
      <c r="O13" s="1394">
        <f>+N13-M13</f>
        <v>160.4</v>
      </c>
      <c r="P13" s="1502"/>
      <c r="Q13" s="1087"/>
      <c r="R13" s="1503"/>
      <c r="S13" s="1503"/>
      <c r="T13" s="1504" t="s">
        <v>412</v>
      </c>
    </row>
    <row r="14" spans="1:40" ht="15.75" customHeight="1" x14ac:dyDescent="0.25">
      <c r="A14" s="885"/>
      <c r="B14" s="762"/>
      <c r="C14" s="880"/>
      <c r="D14" s="1807"/>
      <c r="E14" s="594" t="s">
        <v>246</v>
      </c>
      <c r="F14" s="1337" t="s">
        <v>53</v>
      </c>
      <c r="G14" s="1338">
        <f>1657.5+165+100+194.4</f>
        <v>2116.9</v>
      </c>
      <c r="H14" s="1338">
        <f>1657.5+165+100+194.4-338.1+752.1+190+250</f>
        <v>2970.9</v>
      </c>
      <c r="I14" s="1226">
        <f>+H14-G14</f>
        <v>854</v>
      </c>
      <c r="J14" s="1411">
        <v>0</v>
      </c>
      <c r="K14" s="1338">
        <v>0</v>
      </c>
      <c r="L14" s="1226"/>
      <c r="M14" s="78">
        <v>0</v>
      </c>
      <c r="N14" s="383">
        <v>0</v>
      </c>
      <c r="O14" s="314"/>
      <c r="P14" s="161"/>
      <c r="Q14" s="1068"/>
      <c r="R14" s="163"/>
      <c r="S14" s="163"/>
      <c r="T14" s="1491"/>
      <c r="V14" s="30"/>
    </row>
    <row r="15" spans="1:40" ht="15.75" customHeight="1" x14ac:dyDescent="0.25">
      <c r="A15" s="1191"/>
      <c r="B15" s="762"/>
      <c r="C15" s="1183"/>
      <c r="D15" s="1807"/>
      <c r="E15" s="591"/>
      <c r="F15" s="1337" t="s">
        <v>76</v>
      </c>
      <c r="G15" s="1338">
        <f>4417.2+100+369.9+279.9+486.4+50</f>
        <v>5703.4</v>
      </c>
      <c r="H15" s="1338">
        <f>4417.2+100+369.9+279.9+486.4+50-20+500+150+35-15</f>
        <v>6353.4</v>
      </c>
      <c r="I15" s="1226">
        <f>+H15-G15</f>
        <v>650</v>
      </c>
      <c r="J15" s="1338">
        <f>5083.3-363.6+213.6</f>
        <v>4933.3</v>
      </c>
      <c r="K15" s="1338">
        <f>5083.3-363.6+213.6-200.6-213.6-83.6-550+754.4+2.7</f>
        <v>4642.6000000000004</v>
      </c>
      <c r="L15" s="1226">
        <f>+K15-J15</f>
        <v>-290.7</v>
      </c>
      <c r="M15" s="1424">
        <f>5467.9+100</f>
        <v>5567.9</v>
      </c>
      <c r="N15" s="1338">
        <f>5467.9+100-2150.3</f>
        <v>3417.6</v>
      </c>
      <c r="O15" s="1226">
        <f>+N15-M15</f>
        <v>-2150.3000000000002</v>
      </c>
      <c r="P15" s="161"/>
      <c r="Q15" s="1068"/>
      <c r="R15" s="163"/>
      <c r="S15" s="163"/>
      <c r="T15" s="1491"/>
      <c r="U15" s="30"/>
    </row>
    <row r="16" spans="1:40" ht="15.75" customHeight="1" x14ac:dyDescent="0.25">
      <c r="A16" s="885"/>
      <c r="B16" s="762"/>
      <c r="C16" s="880"/>
      <c r="D16" s="1807"/>
      <c r="E16" s="591"/>
      <c r="F16" s="1400" t="s">
        <v>75</v>
      </c>
      <c r="G16" s="1112">
        <v>744.1</v>
      </c>
      <c r="H16" s="1338">
        <f>744.1-54</f>
        <v>690.1</v>
      </c>
      <c r="I16" s="1226">
        <f>+H16-G16</f>
        <v>-54</v>
      </c>
      <c r="J16" s="45">
        <v>0</v>
      </c>
      <c r="K16" s="383">
        <v>0</v>
      </c>
      <c r="L16" s="1226"/>
      <c r="M16" s="78">
        <v>0</v>
      </c>
      <c r="N16" s="383">
        <v>0</v>
      </c>
      <c r="O16" s="314"/>
      <c r="P16" s="161"/>
      <c r="Q16" s="1068"/>
      <c r="R16" s="163"/>
      <c r="S16" s="163"/>
      <c r="T16" s="1491"/>
    </row>
    <row r="17" spans="1:21" ht="15.75" customHeight="1" x14ac:dyDescent="0.25">
      <c r="A17" s="885"/>
      <c r="B17" s="762"/>
      <c r="C17" s="880"/>
      <c r="D17" s="477"/>
      <c r="E17" s="591"/>
      <c r="F17" s="34" t="s">
        <v>61</v>
      </c>
      <c r="G17" s="110">
        <v>0</v>
      </c>
      <c r="H17" s="383">
        <v>0</v>
      </c>
      <c r="I17" s="1226"/>
      <c r="J17" s="78">
        <v>0</v>
      </c>
      <c r="K17" s="383">
        <v>0</v>
      </c>
      <c r="L17" s="1226"/>
      <c r="M17" s="78">
        <v>0</v>
      </c>
      <c r="N17" s="383">
        <v>0</v>
      </c>
      <c r="O17" s="314"/>
      <c r="P17" s="161"/>
      <c r="Q17" s="1068"/>
      <c r="R17" s="163"/>
      <c r="S17" s="163"/>
      <c r="T17" s="1491"/>
    </row>
    <row r="18" spans="1:21" ht="15.75" customHeight="1" x14ac:dyDescent="0.25">
      <c r="A18" s="885"/>
      <c r="B18" s="762"/>
      <c r="C18" s="880"/>
      <c r="D18" s="477"/>
      <c r="E18" s="591"/>
      <c r="F18" s="36" t="s">
        <v>63</v>
      </c>
      <c r="G18" s="69">
        <v>84.3</v>
      </c>
      <c r="H18" s="383">
        <v>84.3</v>
      </c>
      <c r="I18" s="1226"/>
      <c r="J18" s="85">
        <v>0</v>
      </c>
      <c r="K18" s="383">
        <v>0</v>
      </c>
      <c r="L18" s="1226"/>
      <c r="M18" s="78">
        <v>0</v>
      </c>
      <c r="N18" s="383">
        <v>0</v>
      </c>
      <c r="O18" s="314"/>
      <c r="P18" s="161"/>
      <c r="Q18" s="1068"/>
      <c r="R18" s="163"/>
      <c r="S18" s="163"/>
      <c r="T18" s="1491"/>
    </row>
    <row r="19" spans="1:21" ht="15.75" customHeight="1" x14ac:dyDescent="0.25">
      <c r="A19" s="885"/>
      <c r="B19" s="762"/>
      <c r="C19" s="880"/>
      <c r="D19" s="477"/>
      <c r="E19" s="591"/>
      <c r="F19" s="1337" t="s">
        <v>146</v>
      </c>
      <c r="G19" s="1338">
        <f>1003.7+339.6+1207.7+251.6</f>
        <v>2802.6</v>
      </c>
      <c r="H19" s="1338">
        <f>1003.7+339.6+1207.7+251.6+90.6+19.3</f>
        <v>2912.5</v>
      </c>
      <c r="I19" s="1226">
        <f>+H19-G19</f>
        <v>109.9</v>
      </c>
      <c r="J19" s="1338">
        <f>430.2-339.6-867+912.9</f>
        <v>136.5</v>
      </c>
      <c r="K19" s="1338">
        <f>430.2-339.6-867+912.9-90.6+13.2</f>
        <v>59.1</v>
      </c>
      <c r="L19" s="1226">
        <f>+K19-J19</f>
        <v>-77.400000000000006</v>
      </c>
      <c r="M19" s="78">
        <v>0</v>
      </c>
      <c r="N19" s="383">
        <v>0</v>
      </c>
      <c r="O19" s="314"/>
      <c r="P19" s="161"/>
      <c r="Q19" s="1068"/>
      <c r="R19" s="163"/>
      <c r="S19" s="163"/>
      <c r="T19" s="1491"/>
    </row>
    <row r="20" spans="1:21" ht="15.75" customHeight="1" x14ac:dyDescent="0.25">
      <c r="A20" s="885"/>
      <c r="B20" s="762"/>
      <c r="C20" s="880"/>
      <c r="D20" s="477"/>
      <c r="E20" s="591"/>
      <c r="F20" s="1337" t="s">
        <v>308</v>
      </c>
      <c r="G20" s="917">
        <v>5000</v>
      </c>
      <c r="H20" s="1338">
        <f>5000</f>
        <v>5000</v>
      </c>
      <c r="I20" s="1226">
        <f>+H20-G20</f>
        <v>0</v>
      </c>
      <c r="J20" s="1423">
        <v>5000</v>
      </c>
      <c r="K20" s="1338">
        <f>5000</f>
        <v>5000</v>
      </c>
      <c r="L20" s="1226">
        <f>+K20-J20</f>
        <v>0</v>
      </c>
      <c r="M20" s="1411"/>
      <c r="N20" s="1338"/>
      <c r="O20" s="1226"/>
      <c r="P20" s="161"/>
      <c r="Q20" s="1068"/>
      <c r="R20" s="163"/>
      <c r="S20" s="163"/>
      <c r="T20" s="1491"/>
    </row>
    <row r="21" spans="1:21" ht="15.75" customHeight="1" x14ac:dyDescent="0.25">
      <c r="A21" s="885"/>
      <c r="B21" s="762"/>
      <c r="C21" s="880"/>
      <c r="D21" s="477"/>
      <c r="E21" s="591"/>
      <c r="F21" s="480" t="s">
        <v>358</v>
      </c>
      <c r="G21" s="69">
        <v>0</v>
      </c>
      <c r="H21" s="383">
        <f>400-400</f>
        <v>0</v>
      </c>
      <c r="I21" s="1226"/>
      <c r="J21" s="85">
        <v>0</v>
      </c>
      <c r="K21" s="383">
        <v>0</v>
      </c>
      <c r="L21" s="1226"/>
      <c r="M21" s="78">
        <v>0</v>
      </c>
      <c r="N21" s="383">
        <v>0</v>
      </c>
      <c r="O21" s="314"/>
      <c r="P21" s="161"/>
      <c r="Q21" s="1068"/>
      <c r="R21" s="163"/>
      <c r="S21" s="163"/>
      <c r="T21" s="1491"/>
    </row>
    <row r="22" spans="1:21" ht="15.75" customHeight="1" x14ac:dyDescent="0.25">
      <c r="A22" s="885"/>
      <c r="B22" s="762"/>
      <c r="C22" s="880"/>
      <c r="D22" s="477"/>
      <c r="E22" s="591"/>
      <c r="F22" s="480" t="s">
        <v>41</v>
      </c>
      <c r="G22" s="383">
        <f>291.6-40-251.6</f>
        <v>0</v>
      </c>
      <c r="H22" s="383">
        <f>291.6-40-251.6</f>
        <v>0</v>
      </c>
      <c r="I22" s="1226"/>
      <c r="J22" s="383">
        <f>2207.3+40-912.9</f>
        <v>1334.4</v>
      </c>
      <c r="K22" s="383">
        <f>2207.3+40-912.9</f>
        <v>1334.4</v>
      </c>
      <c r="L22" s="1226"/>
      <c r="M22" s="78">
        <v>1339.6</v>
      </c>
      <c r="N22" s="383">
        <v>1339.6</v>
      </c>
      <c r="O22" s="314"/>
      <c r="P22" s="161"/>
      <c r="Q22" s="1068"/>
      <c r="R22" s="163"/>
      <c r="S22" s="163"/>
      <c r="T22" s="1491"/>
    </row>
    <row r="23" spans="1:21" ht="18.75" customHeight="1" x14ac:dyDescent="0.25">
      <c r="A23" s="885"/>
      <c r="B23" s="762"/>
      <c r="C23" s="880"/>
      <c r="D23" s="477"/>
      <c r="E23" s="591"/>
      <c r="F23" s="1337" t="s">
        <v>45</v>
      </c>
      <c r="G23" s="1397">
        <v>1542</v>
      </c>
      <c r="H23" s="1338">
        <f>1542-542+542</f>
        <v>1542</v>
      </c>
      <c r="I23" s="1226">
        <f t="shared" ref="I23:I25" si="0">+H23-G23</f>
        <v>0</v>
      </c>
      <c r="J23" s="1411">
        <v>0</v>
      </c>
      <c r="K23" s="1338">
        <v>1500</v>
      </c>
      <c r="L23" s="1226">
        <f>+K23-J23</f>
        <v>1500</v>
      </c>
      <c r="M23" s="1411">
        <v>0</v>
      </c>
      <c r="N23" s="1338">
        <v>1500</v>
      </c>
      <c r="O23" s="1226">
        <f>+N23-M23</f>
        <v>1500</v>
      </c>
      <c r="P23" s="161"/>
      <c r="Q23" s="1068"/>
      <c r="R23" s="163"/>
      <c r="S23" s="163"/>
      <c r="T23" s="1491"/>
    </row>
    <row r="24" spans="1:21" ht="22.5" customHeight="1" x14ac:dyDescent="0.25">
      <c r="A24" s="885"/>
      <c r="B24" s="762"/>
      <c r="C24" s="880"/>
      <c r="D24" s="477"/>
      <c r="E24" s="591"/>
      <c r="F24" s="1400" t="s">
        <v>157</v>
      </c>
      <c r="G24" s="1425">
        <f>1000</f>
        <v>1000</v>
      </c>
      <c r="H24" s="1338">
        <f>1000</f>
        <v>1000</v>
      </c>
      <c r="I24" s="1226">
        <f t="shared" si="0"/>
        <v>0</v>
      </c>
      <c r="J24" s="1338">
        <f>6350-700</f>
        <v>5650</v>
      </c>
      <c r="K24" s="1338">
        <f>6350-700+10000</f>
        <v>15650</v>
      </c>
      <c r="L24" s="1226">
        <f>+K24-J24</f>
        <v>10000</v>
      </c>
      <c r="M24" s="1338">
        <f>13015.1-1000</f>
        <v>12015.1</v>
      </c>
      <c r="N24" s="1338">
        <f>13015.1-1000+1000+12000</f>
        <v>25015.1</v>
      </c>
      <c r="O24" s="1226">
        <f>+N24-M24</f>
        <v>13000</v>
      </c>
      <c r="P24" s="161"/>
      <c r="Q24" s="1068"/>
      <c r="R24" s="163"/>
      <c r="S24" s="163"/>
      <c r="T24" s="1491"/>
    </row>
    <row r="25" spans="1:21" ht="15" customHeight="1" x14ac:dyDescent="0.25">
      <c r="A25" s="885"/>
      <c r="B25" s="762"/>
      <c r="C25" s="880"/>
      <c r="D25" s="477"/>
      <c r="E25" s="591"/>
      <c r="F25" s="1398" t="s">
        <v>42</v>
      </c>
      <c r="G25" s="1399">
        <f>100.2+4.9</f>
        <v>105.1</v>
      </c>
      <c r="H25" s="1129">
        <f>100.2+4.9+40-60</f>
        <v>85.1</v>
      </c>
      <c r="I25" s="1335">
        <f t="shared" si="0"/>
        <v>-20</v>
      </c>
      <c r="J25" s="1399">
        <v>114.2</v>
      </c>
      <c r="K25" s="1129">
        <f>114.2+170.2-40+60</f>
        <v>304.39999999999998</v>
      </c>
      <c r="L25" s="1335">
        <f>+K25-J25</f>
        <v>190.2</v>
      </c>
      <c r="M25" s="1318">
        <v>60</v>
      </c>
      <c r="N25" s="444">
        <v>60</v>
      </c>
      <c r="O25" s="1336"/>
      <c r="P25" s="484"/>
      <c r="Q25" s="1069"/>
      <c r="R25" s="486"/>
      <c r="S25" s="486"/>
      <c r="T25" s="1491"/>
      <c r="U25" s="1392"/>
    </row>
    <row r="26" spans="1:21" ht="17.25" customHeight="1" x14ac:dyDescent="0.25">
      <c r="A26" s="854"/>
      <c r="B26" s="859"/>
      <c r="C26" s="856"/>
      <c r="D26" s="1543" t="s">
        <v>94</v>
      </c>
      <c r="E26" s="1545" t="s">
        <v>247</v>
      </c>
      <c r="F26" s="375" t="s">
        <v>386</v>
      </c>
      <c r="G26" s="1112"/>
      <c r="H26" s="1006"/>
      <c r="I26" s="1112"/>
      <c r="J26" s="228"/>
      <c r="K26" s="1006">
        <v>1500</v>
      </c>
      <c r="L26" s="1220">
        <v>1500</v>
      </c>
      <c r="M26" s="228"/>
      <c r="N26" s="1006">
        <v>1500</v>
      </c>
      <c r="O26" s="1346">
        <f>+N26-M26</f>
        <v>1500</v>
      </c>
      <c r="P26" s="1493" t="s">
        <v>43</v>
      </c>
      <c r="Q26" s="1490">
        <v>1</v>
      </c>
      <c r="R26" s="1480"/>
      <c r="S26" s="1480"/>
      <c r="T26" s="1815" t="s">
        <v>418</v>
      </c>
    </row>
    <row r="27" spans="1:21" ht="17.25" customHeight="1" x14ac:dyDescent="0.25">
      <c r="A27" s="854"/>
      <c r="B27" s="859"/>
      <c r="C27" s="856"/>
      <c r="D27" s="1544"/>
      <c r="E27" s="1546"/>
      <c r="F27" s="1368" t="s">
        <v>385</v>
      </c>
      <c r="G27" s="1112">
        <v>99.7</v>
      </c>
      <c r="H27" s="1006">
        <f>99.7+83.2</f>
        <v>182.9</v>
      </c>
      <c r="I27" s="1112">
        <f>+H27-G27</f>
        <v>83.2</v>
      </c>
      <c r="J27" s="228"/>
      <c r="K27" s="1006"/>
      <c r="L27" s="1220"/>
      <c r="M27" s="228"/>
      <c r="N27" s="1006"/>
      <c r="O27" s="1346"/>
      <c r="P27" s="1547" t="s">
        <v>153</v>
      </c>
      <c r="Q27" s="205">
        <v>15</v>
      </c>
      <c r="R27" s="223">
        <v>45</v>
      </c>
      <c r="S27" s="223">
        <v>85</v>
      </c>
      <c r="T27" s="1816"/>
    </row>
    <row r="28" spans="1:21" ht="17.25" customHeight="1" x14ac:dyDescent="0.25">
      <c r="A28" s="1406"/>
      <c r="B28" s="1408"/>
      <c r="C28" s="1407"/>
      <c r="D28" s="1544"/>
      <c r="E28" s="1546"/>
      <c r="F28" s="1420" t="s">
        <v>400</v>
      </c>
      <c r="G28" s="1112"/>
      <c r="H28" s="1814"/>
      <c r="I28" s="1112"/>
      <c r="J28" s="228">
        <v>5000</v>
      </c>
      <c r="K28" s="1006">
        <f>5000</f>
        <v>5000</v>
      </c>
      <c r="L28" s="1220">
        <f t="shared" ref="L28:L34" si="1">+K28-J28</f>
        <v>0</v>
      </c>
      <c r="M28" s="228"/>
      <c r="N28" s="1006"/>
      <c r="O28" s="1346"/>
      <c r="P28" s="1812"/>
      <c r="Q28" s="1481"/>
      <c r="R28" s="1480"/>
      <c r="S28" s="1480"/>
      <c r="T28" s="1816"/>
    </row>
    <row r="29" spans="1:21" ht="17.25" customHeight="1" x14ac:dyDescent="0.25">
      <c r="A29" s="1406"/>
      <c r="B29" s="1408"/>
      <c r="C29" s="1407"/>
      <c r="D29" s="1544"/>
      <c r="E29" s="1546"/>
      <c r="F29" s="1420" t="s">
        <v>401</v>
      </c>
      <c r="G29" s="1112"/>
      <c r="H29" s="1814"/>
      <c r="I29" s="1112"/>
      <c r="J29" s="228">
        <v>3650</v>
      </c>
      <c r="K29" s="1006">
        <f>3650</f>
        <v>3650</v>
      </c>
      <c r="L29" s="1220">
        <f t="shared" si="1"/>
        <v>0</v>
      </c>
      <c r="M29" s="228">
        <v>12000</v>
      </c>
      <c r="N29" s="1006">
        <f>12000+1000</f>
        <v>13000</v>
      </c>
      <c r="O29" s="1346">
        <f>+N29-M29</f>
        <v>1000</v>
      </c>
      <c r="P29" s="1812"/>
      <c r="Q29" s="1481"/>
      <c r="R29" s="1480"/>
      <c r="S29" s="1480"/>
      <c r="T29" s="1816"/>
    </row>
    <row r="30" spans="1:21" ht="17.25" customHeight="1" x14ac:dyDescent="0.25">
      <c r="A30" s="854"/>
      <c r="B30" s="859"/>
      <c r="C30" s="856"/>
      <c r="D30" s="1613"/>
      <c r="E30" s="1811"/>
      <c r="F30" s="1418" t="s">
        <v>384</v>
      </c>
      <c r="G30" s="571"/>
      <c r="H30" s="1221"/>
      <c r="I30" s="1222"/>
      <c r="J30" s="1021">
        <v>1350</v>
      </c>
      <c r="K30" s="1221">
        <f>1350-550</f>
        <v>800</v>
      </c>
      <c r="L30" s="1222">
        <f t="shared" si="1"/>
        <v>-550</v>
      </c>
      <c r="M30" s="1021">
        <v>2700</v>
      </c>
      <c r="N30" s="1221">
        <f>2700-2150.3</f>
        <v>549.70000000000005</v>
      </c>
      <c r="O30" s="1372">
        <f>+N30-M30</f>
        <v>-2150.3000000000002</v>
      </c>
      <c r="P30" s="1813"/>
      <c r="Q30" s="1240"/>
      <c r="R30" s="29"/>
      <c r="S30" s="29"/>
      <c r="T30" s="1817"/>
    </row>
    <row r="31" spans="1:21" ht="27" customHeight="1" x14ac:dyDescent="0.25">
      <c r="A31" s="854"/>
      <c r="B31" s="859"/>
      <c r="C31" s="856"/>
      <c r="D31" s="1409" t="s">
        <v>296</v>
      </c>
      <c r="E31" s="1405"/>
      <c r="F31" s="1368" t="s">
        <v>385</v>
      </c>
      <c r="G31" s="1112"/>
      <c r="H31" s="1006"/>
      <c r="I31" s="1112"/>
      <c r="J31" s="228">
        <v>1100</v>
      </c>
      <c r="K31" s="1006">
        <f>1100-496.1</f>
        <v>603.9</v>
      </c>
      <c r="L31" s="1220">
        <f t="shared" si="1"/>
        <v>-496.1</v>
      </c>
      <c r="M31" s="228"/>
      <c r="N31" s="1006"/>
      <c r="O31" s="1346"/>
      <c r="P31" s="346" t="s">
        <v>235</v>
      </c>
      <c r="Q31" s="1013">
        <v>50</v>
      </c>
      <c r="R31" s="176">
        <v>100</v>
      </c>
      <c r="S31" s="176"/>
      <c r="T31" s="1491"/>
      <c r="U31" s="1410"/>
    </row>
    <row r="32" spans="1:21" ht="26.25" customHeight="1" x14ac:dyDescent="0.25">
      <c r="A32" s="1406"/>
      <c r="B32" s="1408"/>
      <c r="C32" s="1407"/>
      <c r="D32" s="1409"/>
      <c r="E32" s="1405"/>
      <c r="F32" s="1420" t="s">
        <v>384</v>
      </c>
      <c r="G32" s="1112"/>
      <c r="H32" s="1006"/>
      <c r="I32" s="1112"/>
      <c r="J32" s="228"/>
      <c r="K32" s="1006">
        <v>754.4</v>
      </c>
      <c r="L32" s="1220">
        <f t="shared" si="1"/>
        <v>754.4</v>
      </c>
      <c r="M32" s="228"/>
      <c r="N32" s="1006"/>
      <c r="O32" s="1112"/>
      <c r="P32" s="1494" t="s">
        <v>236</v>
      </c>
      <c r="Q32" s="1018">
        <v>100</v>
      </c>
      <c r="R32" s="222"/>
      <c r="S32" s="222"/>
      <c r="T32" s="1491"/>
      <c r="U32" s="1410"/>
    </row>
    <row r="33" spans="1:21" ht="18" customHeight="1" x14ac:dyDescent="0.25">
      <c r="A33" s="854"/>
      <c r="B33" s="859"/>
      <c r="C33" s="856"/>
      <c r="D33" s="872"/>
      <c r="E33" s="613"/>
      <c r="F33" s="1418" t="s">
        <v>401</v>
      </c>
      <c r="G33" s="1412"/>
      <c r="H33" s="1221"/>
      <c r="I33" s="571"/>
      <c r="J33" s="1021">
        <v>2000</v>
      </c>
      <c r="K33" s="1221">
        <f>2000</f>
        <v>2000</v>
      </c>
      <c r="L33" s="1222">
        <f t="shared" si="1"/>
        <v>0</v>
      </c>
      <c r="M33" s="1423"/>
      <c r="N33" s="1110"/>
      <c r="O33" s="917"/>
      <c r="P33" s="1413"/>
      <c r="Q33" s="1"/>
      <c r="R33" s="176"/>
      <c r="S33" s="176"/>
      <c r="T33" s="1492"/>
    </row>
    <row r="34" spans="1:21" ht="17.25" customHeight="1" x14ac:dyDescent="0.25">
      <c r="A34" s="1586"/>
      <c r="B34" s="1591"/>
      <c r="C34" s="1588"/>
      <c r="D34" s="1589" t="s">
        <v>172</v>
      </c>
      <c r="E34" s="1443" t="s">
        <v>246</v>
      </c>
      <c r="F34" s="218" t="s">
        <v>385</v>
      </c>
      <c r="G34" s="905"/>
      <c r="H34" s="905"/>
      <c r="I34" s="1379"/>
      <c r="J34" s="1381">
        <f>876.7-200</f>
        <v>676.7</v>
      </c>
      <c r="K34" s="1218">
        <f>676.7-320.9</f>
        <v>355.8</v>
      </c>
      <c r="L34" s="1380">
        <f t="shared" si="1"/>
        <v>-320.89999999999998</v>
      </c>
      <c r="M34" s="1449"/>
      <c r="N34" s="1450"/>
      <c r="O34" s="1451"/>
      <c r="P34" s="1581"/>
      <c r="Q34" s="1489"/>
      <c r="R34" s="1479"/>
      <c r="S34" s="1479"/>
      <c r="T34" s="1815" t="s">
        <v>406</v>
      </c>
    </row>
    <row r="35" spans="1:21" ht="17.25" customHeight="1" x14ac:dyDescent="0.25">
      <c r="A35" s="1586"/>
      <c r="B35" s="1591"/>
      <c r="C35" s="1588"/>
      <c r="D35" s="1596"/>
      <c r="E35" s="1444"/>
      <c r="F35" s="218" t="s">
        <v>392</v>
      </c>
      <c r="G35" s="905">
        <f>1003.7+339.6</f>
        <v>1343.3</v>
      </c>
      <c r="H35" s="905">
        <v>1433.9</v>
      </c>
      <c r="I35" s="1379">
        <f>+H35-G35</f>
        <v>90.6</v>
      </c>
      <c r="J35" s="1381">
        <f>430.2-339.6</f>
        <v>90.6</v>
      </c>
      <c r="K35" s="1218">
        <v>0</v>
      </c>
      <c r="L35" s="1380">
        <f t="shared" ref="L35:L37" si="2">+K35-J35</f>
        <v>-90.6</v>
      </c>
      <c r="M35" s="1414"/>
      <c r="N35" s="1415"/>
      <c r="O35" s="1416"/>
      <c r="P35" s="1582"/>
      <c r="Q35" s="1481"/>
      <c r="R35" s="1480"/>
      <c r="S35" s="1480"/>
      <c r="T35" s="1816"/>
    </row>
    <row r="36" spans="1:21" ht="17.25" customHeight="1" x14ac:dyDescent="0.25">
      <c r="A36" s="1586"/>
      <c r="B36" s="1591"/>
      <c r="C36" s="1588"/>
      <c r="D36" s="1596"/>
      <c r="E36" s="1444"/>
      <c r="F36" s="218"/>
      <c r="G36" s="905"/>
      <c r="H36" s="905"/>
      <c r="I36" s="1379"/>
      <c r="J36" s="1446"/>
      <c r="K36" s="1447"/>
      <c r="L36" s="1448"/>
      <c r="M36" s="1414"/>
      <c r="N36" s="1415"/>
      <c r="O36" s="1416"/>
      <c r="P36" s="1486"/>
      <c r="Q36" s="1481"/>
      <c r="R36" s="1480"/>
      <c r="S36" s="1480"/>
      <c r="T36" s="1816"/>
      <c r="U36" s="1393"/>
    </row>
    <row r="37" spans="1:21" ht="17.25" customHeight="1" x14ac:dyDescent="0.25">
      <c r="A37" s="1586"/>
      <c r="B37" s="1591"/>
      <c r="C37" s="1588"/>
      <c r="D37" s="1596"/>
      <c r="E37" s="1444"/>
      <c r="F37" s="218" t="s">
        <v>393</v>
      </c>
      <c r="G37" s="905">
        <v>27.7</v>
      </c>
      <c r="H37" s="905"/>
      <c r="I37" s="1379"/>
      <c r="J37" s="1381">
        <v>74.2</v>
      </c>
      <c r="K37" s="1218">
        <v>244.4</v>
      </c>
      <c r="L37" s="1380">
        <f t="shared" si="2"/>
        <v>170.2</v>
      </c>
      <c r="M37" s="1445"/>
      <c r="N37" s="1415"/>
      <c r="O37" s="1416"/>
      <c r="P37" s="1486"/>
      <c r="Q37" s="1481"/>
      <c r="R37" s="1480"/>
      <c r="S37" s="1480"/>
      <c r="T37" s="1816"/>
    </row>
    <row r="38" spans="1:21" ht="17.25" customHeight="1" x14ac:dyDescent="0.25">
      <c r="A38" s="1586"/>
      <c r="B38" s="1591"/>
      <c r="C38" s="1588"/>
      <c r="D38" s="1596"/>
      <c r="E38" s="1444"/>
      <c r="F38" s="218" t="s">
        <v>385</v>
      </c>
      <c r="G38" s="1006">
        <v>400</v>
      </c>
      <c r="H38" s="1006">
        <f>400</f>
        <v>400</v>
      </c>
      <c r="I38" s="1346">
        <f t="shared" ref="I38" si="3">+H38-G38</f>
        <v>0</v>
      </c>
      <c r="J38" s="1446"/>
      <c r="K38" s="1447"/>
      <c r="L38" s="1453"/>
      <c r="M38" s="1414"/>
      <c r="N38" s="1415"/>
      <c r="O38" s="1416"/>
      <c r="P38" s="1486"/>
      <c r="Q38" s="1481"/>
      <c r="R38" s="1480"/>
      <c r="S38" s="1480"/>
      <c r="T38" s="1816"/>
    </row>
    <row r="39" spans="1:21" ht="17.25" customHeight="1" x14ac:dyDescent="0.25">
      <c r="A39" s="1586"/>
      <c r="B39" s="1591"/>
      <c r="C39" s="1588"/>
      <c r="D39" s="1454"/>
      <c r="E39" s="1452"/>
      <c r="F39" s="1420" t="s">
        <v>384</v>
      </c>
      <c r="G39" s="1112">
        <v>1050.9000000000001</v>
      </c>
      <c r="H39" s="1006">
        <f>1050.9+35</f>
        <v>1085.9000000000001</v>
      </c>
      <c r="I39" s="1112">
        <f>+H39-G39</f>
        <v>35</v>
      </c>
      <c r="J39" s="1421">
        <v>311.89999999999998</v>
      </c>
      <c r="K39" s="1218">
        <f>311.9+2.7</f>
        <v>314.60000000000002</v>
      </c>
      <c r="L39" s="1419">
        <f>+K39-J39</f>
        <v>2.7000000000000499</v>
      </c>
      <c r="M39" s="1414"/>
      <c r="N39" s="1415"/>
      <c r="O39" s="1416"/>
      <c r="P39" s="1486"/>
      <c r="Q39" s="1481"/>
      <c r="R39" s="1480"/>
      <c r="S39" s="1480"/>
      <c r="T39" s="1816"/>
    </row>
    <row r="40" spans="1:21" ht="27.75" customHeight="1" x14ac:dyDescent="0.25">
      <c r="A40" s="1586"/>
      <c r="B40" s="1591"/>
      <c r="C40" s="1588"/>
      <c r="D40" s="211" t="s">
        <v>106</v>
      </c>
      <c r="E40" s="600"/>
      <c r="F40" s="1361"/>
      <c r="G40" s="1397"/>
      <c r="H40" s="1338"/>
      <c r="I40" s="1397"/>
      <c r="J40" s="1411"/>
      <c r="K40" s="1338"/>
      <c r="L40" s="1422"/>
      <c r="M40" s="78"/>
      <c r="N40" s="383"/>
      <c r="O40" s="110"/>
      <c r="P40" s="47" t="s">
        <v>122</v>
      </c>
      <c r="Q40" s="1371" t="s">
        <v>388</v>
      </c>
      <c r="R40" s="1370">
        <v>100</v>
      </c>
      <c r="S40" s="96"/>
      <c r="T40" s="1816"/>
    </row>
    <row r="41" spans="1:21" ht="27" customHeight="1" x14ac:dyDescent="0.25">
      <c r="A41" s="1586"/>
      <c r="B41" s="1591"/>
      <c r="C41" s="1588"/>
      <c r="D41" s="866" t="s">
        <v>91</v>
      </c>
      <c r="E41" s="864"/>
      <c r="F41" s="877"/>
      <c r="G41" s="89"/>
      <c r="H41" s="889"/>
      <c r="I41" s="89"/>
      <c r="J41" s="893"/>
      <c r="K41" s="889"/>
      <c r="L41" s="102"/>
      <c r="M41" s="893"/>
      <c r="N41" s="889"/>
      <c r="O41" s="89"/>
      <c r="P41" s="1485" t="s">
        <v>123</v>
      </c>
      <c r="Q41" s="1369" t="s">
        <v>387</v>
      </c>
      <c r="R41" s="29">
        <v>100</v>
      </c>
      <c r="S41" s="29"/>
      <c r="T41" s="1817"/>
    </row>
    <row r="42" spans="1:21" ht="18" customHeight="1" x14ac:dyDescent="0.25">
      <c r="A42" s="854"/>
      <c r="B42" s="859"/>
      <c r="C42" s="856"/>
      <c r="D42" s="1589" t="s">
        <v>133</v>
      </c>
      <c r="E42" s="592"/>
      <c r="F42" s="218"/>
      <c r="G42" s="1006"/>
      <c r="H42" s="1006"/>
      <c r="I42" s="1358"/>
      <c r="J42" s="1109"/>
      <c r="K42" s="127"/>
      <c r="L42" s="35"/>
      <c r="M42" s="45"/>
      <c r="N42" s="127"/>
      <c r="O42" s="56"/>
      <c r="P42" s="1584" t="s">
        <v>137</v>
      </c>
      <c r="Q42" s="1299" t="s">
        <v>372</v>
      </c>
      <c r="R42" s="432">
        <v>100</v>
      </c>
      <c r="S42" s="432"/>
      <c r="T42" s="1815" t="s">
        <v>407</v>
      </c>
    </row>
    <row r="43" spans="1:21" ht="18" customHeight="1" x14ac:dyDescent="0.25">
      <c r="A43" s="1308"/>
      <c r="B43" s="1310"/>
      <c r="C43" s="1309"/>
      <c r="D43" s="1596"/>
      <c r="E43" s="592"/>
      <c r="F43" s="218" t="s">
        <v>381</v>
      </c>
      <c r="G43" s="1006">
        <f>143.7+194.4</f>
        <v>338.1</v>
      </c>
      <c r="H43" s="1006">
        <v>0</v>
      </c>
      <c r="I43" s="1346">
        <f t="shared" ref="I43:I44" si="4">+H43-G43</f>
        <v>-338.1</v>
      </c>
      <c r="J43" s="1109"/>
      <c r="K43" s="127"/>
      <c r="L43" s="35"/>
      <c r="M43" s="45"/>
      <c r="N43" s="127"/>
      <c r="O43" s="56"/>
      <c r="P43" s="1584"/>
      <c r="Q43" s="1299"/>
      <c r="R43" s="403"/>
      <c r="S43" s="403"/>
      <c r="T43" s="1816"/>
    </row>
    <row r="44" spans="1:21" ht="18" customHeight="1" x14ac:dyDescent="0.25">
      <c r="A44" s="1308"/>
      <c r="B44" s="1310"/>
      <c r="C44" s="1309"/>
      <c r="D44" s="1596"/>
      <c r="E44" s="592"/>
      <c r="F44" s="218" t="s">
        <v>389</v>
      </c>
      <c r="G44" s="1006">
        <v>115.4</v>
      </c>
      <c r="H44" s="1006">
        <v>61.4</v>
      </c>
      <c r="I44" s="1346">
        <f t="shared" si="4"/>
        <v>-54</v>
      </c>
      <c r="J44" s="1109"/>
      <c r="K44" s="127"/>
      <c r="L44" s="35"/>
      <c r="M44" s="45"/>
      <c r="N44" s="127"/>
      <c r="O44" s="56"/>
      <c r="P44" s="1584"/>
      <c r="Q44" s="1299"/>
      <c r="R44" s="403"/>
      <c r="S44" s="403"/>
      <c r="T44" s="1816"/>
    </row>
    <row r="45" spans="1:21" ht="111.75" customHeight="1" x14ac:dyDescent="0.25">
      <c r="A45" s="1148"/>
      <c r="B45" s="1153"/>
      <c r="C45" s="1150"/>
      <c r="D45" s="1590"/>
      <c r="E45" s="1440"/>
      <c r="F45" s="286" t="s">
        <v>384</v>
      </c>
      <c r="G45" s="1221">
        <f>928.8+369.9</f>
        <v>1298.7</v>
      </c>
      <c r="H45" s="1221">
        <v>1798.7</v>
      </c>
      <c r="I45" s="1372">
        <f>+H45-G45</f>
        <v>500</v>
      </c>
      <c r="J45" s="1373">
        <f>564.2-363.6</f>
        <v>200.6</v>
      </c>
      <c r="K45" s="1221">
        <v>0</v>
      </c>
      <c r="L45" s="1222">
        <f>+K45-J45</f>
        <v>-200.6</v>
      </c>
      <c r="M45" s="74"/>
      <c r="N45" s="127"/>
      <c r="O45" s="56"/>
      <c r="P45" s="1584"/>
      <c r="Q45" s="1435"/>
      <c r="R45" s="1436"/>
      <c r="S45" s="403"/>
      <c r="T45" s="1817"/>
    </row>
    <row r="46" spans="1:21" ht="45" customHeight="1" x14ac:dyDescent="0.25">
      <c r="A46" s="1427"/>
      <c r="B46" s="1429"/>
      <c r="C46" s="1428"/>
      <c r="D46" s="1772" t="s">
        <v>404</v>
      </c>
      <c r="E46" s="1499"/>
      <c r="F46" s="1442" t="s">
        <v>381</v>
      </c>
      <c r="G46" s="1396">
        <v>0</v>
      </c>
      <c r="H46" s="1396">
        <f>1010-257.9</f>
        <v>752.1</v>
      </c>
      <c r="I46" s="1394">
        <f>+H46-G46</f>
        <v>752.1</v>
      </c>
      <c r="J46" s="1438"/>
      <c r="K46" s="1396"/>
      <c r="L46" s="1439"/>
      <c r="M46" s="1500"/>
      <c r="N46" s="1396"/>
      <c r="O46" s="1394"/>
      <c r="P46" s="1437" t="s">
        <v>405</v>
      </c>
      <c r="Q46" s="1512" t="s">
        <v>253</v>
      </c>
      <c r="R46" s="1513"/>
      <c r="S46" s="1514"/>
      <c r="T46" s="1856" t="s">
        <v>419</v>
      </c>
    </row>
    <row r="47" spans="1:21" ht="45" customHeight="1" x14ac:dyDescent="0.25">
      <c r="A47" s="1495"/>
      <c r="B47" s="1497"/>
      <c r="C47" s="1496"/>
      <c r="D47" s="1773"/>
      <c r="E47" s="1499"/>
      <c r="F47" s="218" t="s">
        <v>385</v>
      </c>
      <c r="G47" s="1006"/>
      <c r="H47" s="1006"/>
      <c r="I47" s="1346"/>
      <c r="J47" s="1112"/>
      <c r="K47" s="1006">
        <v>1378.9</v>
      </c>
      <c r="L47" s="1220">
        <f>+K47-J47</f>
        <v>1378.9</v>
      </c>
      <c r="M47" s="228"/>
      <c r="N47" s="1006"/>
      <c r="O47" s="1112"/>
      <c r="P47" s="1501"/>
      <c r="Q47" s="1791"/>
      <c r="R47" s="1375">
        <v>40</v>
      </c>
      <c r="S47" s="1375">
        <v>80</v>
      </c>
      <c r="T47" s="1856"/>
    </row>
    <row r="48" spans="1:21" ht="45" customHeight="1" x14ac:dyDescent="0.25">
      <c r="A48" s="1427"/>
      <c r="B48" s="1429"/>
      <c r="C48" s="1428"/>
      <c r="D48" s="1774"/>
      <c r="E48" s="1499"/>
      <c r="F48" s="218" t="s">
        <v>401</v>
      </c>
      <c r="G48" s="1006"/>
      <c r="H48" s="1006"/>
      <c r="I48" s="1372"/>
      <c r="J48" s="1112"/>
      <c r="K48" s="1006">
        <v>10000</v>
      </c>
      <c r="L48" s="1220">
        <f>+K48-J48</f>
        <v>10000</v>
      </c>
      <c r="M48" s="228"/>
      <c r="N48" s="1006">
        <v>12000</v>
      </c>
      <c r="O48" s="1112">
        <f>+N48-M48</f>
        <v>12000</v>
      </c>
      <c r="P48" s="1501"/>
      <c r="Q48" s="1792"/>
      <c r="R48" s="1375"/>
      <c r="S48" s="1375"/>
      <c r="T48" s="1856"/>
    </row>
    <row r="49" spans="1:20" ht="25" customHeight="1" x14ac:dyDescent="0.25">
      <c r="A49" s="1586"/>
      <c r="B49" s="1587"/>
      <c r="C49" s="1588"/>
      <c r="D49" s="1589" t="s">
        <v>132</v>
      </c>
      <c r="E49" s="594" t="s">
        <v>246</v>
      </c>
      <c r="F49" s="835"/>
      <c r="G49" s="832"/>
      <c r="H49" s="832"/>
      <c r="I49" s="847"/>
      <c r="J49" s="892"/>
      <c r="K49" s="888"/>
      <c r="L49" s="113"/>
      <c r="M49" s="892"/>
      <c r="N49" s="888"/>
      <c r="O49" s="201"/>
      <c r="P49" s="1472" t="s">
        <v>115</v>
      </c>
      <c r="Q49" s="1071">
        <v>100</v>
      </c>
      <c r="R49" s="254"/>
      <c r="S49" s="254"/>
      <c r="T49" s="1491"/>
    </row>
    <row r="50" spans="1:20" ht="15" customHeight="1" x14ac:dyDescent="0.25">
      <c r="A50" s="1586"/>
      <c r="B50" s="1587"/>
      <c r="C50" s="1588"/>
      <c r="D50" s="1590"/>
      <c r="E50" s="601"/>
      <c r="F50" s="333"/>
      <c r="G50" s="89"/>
      <c r="H50" s="1221"/>
      <c r="I50" s="571"/>
      <c r="J50" s="893"/>
      <c r="K50" s="889"/>
      <c r="L50" s="102"/>
      <c r="M50" s="893"/>
      <c r="N50" s="889"/>
      <c r="O50" s="89"/>
      <c r="P50" s="199"/>
      <c r="Q50" s="1072"/>
      <c r="R50" s="255"/>
      <c r="S50" s="255"/>
      <c r="T50" s="1517"/>
    </row>
    <row r="51" spans="1:20" ht="41.25" customHeight="1" x14ac:dyDescent="0.25">
      <c r="A51" s="885"/>
      <c r="B51" s="886"/>
      <c r="C51" s="1571" t="s">
        <v>210</v>
      </c>
      <c r="D51" s="1574" t="s">
        <v>140</v>
      </c>
      <c r="E51" s="602" t="s">
        <v>246</v>
      </c>
      <c r="F51" s="835" t="s">
        <v>385</v>
      </c>
      <c r="G51" s="1315"/>
      <c r="H51" s="1315"/>
      <c r="I51" s="201"/>
      <c r="J51" s="1374">
        <f>235.8+7</f>
        <v>242.8</v>
      </c>
      <c r="K51" s="832">
        <v>600</v>
      </c>
      <c r="L51" s="1137">
        <f>+K51-J51</f>
        <v>357.2</v>
      </c>
      <c r="M51" s="1020">
        <v>235.8</v>
      </c>
      <c r="N51" s="832">
        <v>696.2</v>
      </c>
      <c r="O51" s="847">
        <f>+N51-M51</f>
        <v>460.4</v>
      </c>
      <c r="P51" s="756" t="s">
        <v>240</v>
      </c>
      <c r="Q51" s="1489" t="s">
        <v>49</v>
      </c>
      <c r="R51" s="1212"/>
      <c r="S51" s="1212"/>
      <c r="T51" s="1491" t="s">
        <v>421</v>
      </c>
    </row>
    <row r="52" spans="1:20" ht="26.25" customHeight="1" x14ac:dyDescent="0.25">
      <c r="A52" s="885"/>
      <c r="B52" s="886"/>
      <c r="C52" s="1572"/>
      <c r="D52" s="1575"/>
      <c r="E52" s="1577" t="s">
        <v>295</v>
      </c>
      <c r="F52" s="36"/>
      <c r="G52" s="56"/>
      <c r="H52" s="1006"/>
      <c r="I52" s="1112"/>
      <c r="J52" s="228"/>
      <c r="K52" s="1006"/>
      <c r="L52" s="1220"/>
      <c r="M52" s="45"/>
      <c r="N52" s="127"/>
      <c r="O52" s="56"/>
      <c r="P52" s="603" t="s">
        <v>241</v>
      </c>
      <c r="Q52" s="387" t="s">
        <v>49</v>
      </c>
      <c r="R52" s="474"/>
      <c r="S52" s="474"/>
      <c r="T52" s="1491"/>
    </row>
    <row r="53" spans="1:20" ht="28.5" customHeight="1" x14ac:dyDescent="0.25">
      <c r="A53" s="885"/>
      <c r="B53" s="762"/>
      <c r="C53" s="1572"/>
      <c r="D53" s="1576"/>
      <c r="E53" s="1578"/>
      <c r="F53" s="877"/>
      <c r="G53" s="89"/>
      <c r="H53" s="889"/>
      <c r="I53" s="89"/>
      <c r="J53" s="893"/>
      <c r="K53" s="889"/>
      <c r="L53" s="102"/>
      <c r="M53" s="893"/>
      <c r="N53" s="889"/>
      <c r="O53" s="89"/>
      <c r="P53" s="118" t="s">
        <v>155</v>
      </c>
      <c r="Q53" s="1223"/>
      <c r="R53" s="1482" t="s">
        <v>205</v>
      </c>
      <c r="S53" s="1482" t="s">
        <v>206</v>
      </c>
      <c r="T53" s="1517"/>
    </row>
    <row r="54" spans="1:20" ht="13.5" customHeight="1" x14ac:dyDescent="0.25">
      <c r="A54" s="854"/>
      <c r="B54" s="859"/>
      <c r="C54" s="1572"/>
      <c r="D54" s="1575" t="s">
        <v>209</v>
      </c>
      <c r="E54" s="1579" t="s">
        <v>246</v>
      </c>
      <c r="F54" s="36"/>
      <c r="G54" s="56"/>
      <c r="H54" s="127"/>
      <c r="I54" s="56"/>
      <c r="J54" s="45"/>
      <c r="K54" s="127"/>
      <c r="L54" s="35"/>
      <c r="M54" s="45"/>
      <c r="N54" s="127"/>
      <c r="O54" s="56"/>
      <c r="P54" s="402" t="s">
        <v>103</v>
      </c>
      <c r="Q54" s="536"/>
      <c r="R54" s="537" t="s">
        <v>205</v>
      </c>
      <c r="S54" s="777" t="s">
        <v>206</v>
      </c>
      <c r="T54" s="1491"/>
    </row>
    <row r="55" spans="1:20" ht="14.25" customHeight="1" x14ac:dyDescent="0.25">
      <c r="A55" s="854"/>
      <c r="B55" s="859"/>
      <c r="C55" s="1573"/>
      <c r="D55" s="1575"/>
      <c r="E55" s="1580"/>
      <c r="F55" s="877"/>
      <c r="G55" s="89"/>
      <c r="H55" s="889"/>
      <c r="I55" s="89"/>
      <c r="J55" s="893"/>
      <c r="K55" s="889"/>
      <c r="L55" s="102"/>
      <c r="M55" s="893"/>
      <c r="N55" s="889"/>
      <c r="O55" s="89"/>
      <c r="P55" s="404"/>
      <c r="Q55" s="400"/>
      <c r="R55" s="401"/>
      <c r="S55" s="778"/>
      <c r="T55" s="1491"/>
    </row>
    <row r="56" spans="1:20" ht="21" customHeight="1" x14ac:dyDescent="0.25">
      <c r="A56" s="1598"/>
      <c r="B56" s="1587"/>
      <c r="C56" s="1599" t="s">
        <v>260</v>
      </c>
      <c r="D56" s="1543" t="s">
        <v>52</v>
      </c>
      <c r="E56" s="594" t="s">
        <v>246</v>
      </c>
      <c r="F56" s="835" t="s">
        <v>385</v>
      </c>
      <c r="G56" s="832"/>
      <c r="H56" s="832"/>
      <c r="I56" s="1358"/>
      <c r="J56" s="1374">
        <f>2259.9+300-300+230.8</f>
        <v>2490.6999999999998</v>
      </c>
      <c r="K56" s="832">
        <v>1003.8</v>
      </c>
      <c r="L56" s="1137">
        <f>+K56-J56</f>
        <v>-1486.9</v>
      </c>
      <c r="M56" s="1020">
        <v>300</v>
      </c>
      <c r="N56" s="832">
        <v>0</v>
      </c>
      <c r="O56" s="847">
        <f>+N56-M56</f>
        <v>-300</v>
      </c>
      <c r="P56" s="1581" t="s">
        <v>104</v>
      </c>
      <c r="Q56" s="997">
        <v>35</v>
      </c>
      <c r="R56" s="1376">
        <v>90</v>
      </c>
      <c r="S56" s="1376">
        <v>100</v>
      </c>
      <c r="T56" s="1857" t="s">
        <v>408</v>
      </c>
    </row>
    <row r="57" spans="1:20" ht="23.25" customHeight="1" x14ac:dyDescent="0.25">
      <c r="A57" s="1598"/>
      <c r="B57" s="1587"/>
      <c r="C57" s="1600"/>
      <c r="D57" s="1544"/>
      <c r="E57" s="591"/>
      <c r="F57" s="218"/>
      <c r="G57" s="1006"/>
      <c r="H57" s="1006"/>
      <c r="I57" s="1346"/>
      <c r="J57" s="1109"/>
      <c r="K57" s="1006"/>
      <c r="L57" s="1220"/>
      <c r="M57" s="228"/>
      <c r="N57" s="1006"/>
      <c r="O57" s="1112"/>
      <c r="P57" s="1584"/>
      <c r="Q57" s="1324"/>
      <c r="R57" s="1375">
        <v>100</v>
      </c>
      <c r="S57" s="1375">
        <v>0</v>
      </c>
      <c r="T57" s="1857"/>
    </row>
    <row r="58" spans="1:20" ht="21.75" customHeight="1" x14ac:dyDescent="0.25">
      <c r="A58" s="1598"/>
      <c r="B58" s="1587"/>
      <c r="C58" s="1600"/>
      <c r="D58" s="1544"/>
      <c r="E58" s="591"/>
      <c r="F58" s="218" t="s">
        <v>381</v>
      </c>
      <c r="G58" s="1006">
        <v>46.8</v>
      </c>
      <c r="H58" s="1006">
        <f>1246.8-1010</f>
        <v>236.8</v>
      </c>
      <c r="I58" s="1346">
        <f>+H58-G58</f>
        <v>190</v>
      </c>
      <c r="J58" s="1109"/>
      <c r="K58" s="1006"/>
      <c r="L58" s="1220"/>
      <c r="M58" s="228"/>
      <c r="N58" s="1006"/>
      <c r="O58" s="1112"/>
      <c r="P58" s="1584"/>
      <c r="Q58" s="1324"/>
      <c r="R58" s="192"/>
      <c r="S58" s="192"/>
      <c r="T58" s="1857"/>
    </row>
    <row r="59" spans="1:20" ht="17.25" customHeight="1" x14ac:dyDescent="0.25">
      <c r="A59" s="1598"/>
      <c r="B59" s="1587"/>
      <c r="C59" s="1600"/>
      <c r="D59" s="1544"/>
      <c r="E59" s="585"/>
      <c r="F59" s="286"/>
      <c r="G59" s="1221"/>
      <c r="H59" s="1221"/>
      <c r="I59" s="1372"/>
      <c r="J59" s="1373"/>
      <c r="K59" s="1221"/>
      <c r="L59" s="1222"/>
      <c r="M59" s="1021"/>
      <c r="N59" s="1221"/>
      <c r="O59" s="571"/>
      <c r="P59" s="1619"/>
      <c r="Q59" s="1070"/>
      <c r="R59" s="95"/>
      <c r="S59" s="95"/>
      <c r="T59" s="1857"/>
    </row>
    <row r="60" spans="1:20" ht="57" customHeight="1" x14ac:dyDescent="0.25">
      <c r="A60" s="1598"/>
      <c r="B60" s="1587"/>
      <c r="C60" s="1600"/>
      <c r="D60" s="1574" t="s">
        <v>131</v>
      </c>
      <c r="E60" s="604" t="s">
        <v>246</v>
      </c>
      <c r="F60" s="835" t="s">
        <v>384</v>
      </c>
      <c r="G60" s="832">
        <v>486.4</v>
      </c>
      <c r="H60" s="832">
        <v>636.4</v>
      </c>
      <c r="I60" s="1358">
        <f>+H60-G60</f>
        <v>150</v>
      </c>
      <c r="J60" s="1374">
        <f>213.6+400</f>
        <v>613.6</v>
      </c>
      <c r="K60" s="832">
        <v>400</v>
      </c>
      <c r="L60" s="1137">
        <f>+K60-J60</f>
        <v>-213.6</v>
      </c>
      <c r="M60" s="1020"/>
      <c r="N60" s="1498"/>
      <c r="O60" s="68"/>
      <c r="P60" s="1592" t="s">
        <v>120</v>
      </c>
      <c r="Q60" s="1417" t="s">
        <v>154</v>
      </c>
      <c r="R60" s="354">
        <v>100</v>
      </c>
      <c r="S60" s="354"/>
      <c r="T60" s="1617" t="s">
        <v>422</v>
      </c>
    </row>
    <row r="61" spans="1:20" ht="81.75" customHeight="1" x14ac:dyDescent="0.25">
      <c r="A61" s="1598"/>
      <c r="B61" s="1587"/>
      <c r="C61" s="1600"/>
      <c r="D61" s="1575"/>
      <c r="E61" s="1594"/>
      <c r="F61" s="218" t="s">
        <v>385</v>
      </c>
      <c r="G61" s="1006"/>
      <c r="H61" s="1006"/>
      <c r="I61" s="1346"/>
      <c r="J61" s="1109">
        <f>700-300</f>
        <v>400</v>
      </c>
      <c r="K61" s="1006">
        <v>550</v>
      </c>
      <c r="L61" s="1220">
        <f>+K61-J61</f>
        <v>150</v>
      </c>
      <c r="M61" s="228"/>
      <c r="N61" s="127"/>
      <c r="O61" s="56"/>
      <c r="P61" s="1593"/>
      <c r="Q61" s="1089" t="s">
        <v>402</v>
      </c>
      <c r="R61" s="355"/>
      <c r="S61" s="355"/>
      <c r="T61" s="1695"/>
    </row>
    <row r="62" spans="1:20" ht="54.75" customHeight="1" x14ac:dyDescent="0.25">
      <c r="A62" s="1598"/>
      <c r="B62" s="1587"/>
      <c r="C62" s="1601"/>
      <c r="D62" s="1576"/>
      <c r="E62" s="1595"/>
      <c r="F62" s="1418" t="s">
        <v>381</v>
      </c>
      <c r="G62" s="571"/>
      <c r="H62" s="1221">
        <v>250</v>
      </c>
      <c r="I62" s="571">
        <v>250</v>
      </c>
      <c r="J62" s="1391"/>
      <c r="K62" s="1221"/>
      <c r="L62" s="1222"/>
      <c r="M62" s="1391"/>
      <c r="N62" s="1389"/>
      <c r="O62" s="102"/>
      <c r="P62" s="409" t="s">
        <v>121</v>
      </c>
      <c r="Q62" s="410"/>
      <c r="R62" s="1344" t="s">
        <v>124</v>
      </c>
      <c r="S62" s="766" t="s">
        <v>154</v>
      </c>
      <c r="T62" s="1618"/>
    </row>
    <row r="63" spans="1:20" ht="15" customHeight="1" x14ac:dyDescent="0.25">
      <c r="A63" s="854"/>
      <c r="B63" s="859"/>
      <c r="C63" s="585"/>
      <c r="D63" s="1596" t="s">
        <v>234</v>
      </c>
      <c r="E63" s="591" t="s">
        <v>246</v>
      </c>
      <c r="F63" s="218" t="s">
        <v>384</v>
      </c>
      <c r="G63" s="1006"/>
      <c r="H63" s="1006"/>
      <c r="I63" s="1112"/>
      <c r="J63" s="228">
        <v>113.5</v>
      </c>
      <c r="K63" s="1006">
        <v>29.9</v>
      </c>
      <c r="L63" s="1220">
        <f t="shared" ref="L63:L66" si="5">+K63-J63</f>
        <v>-83.6</v>
      </c>
      <c r="M63" s="45"/>
      <c r="N63" s="127"/>
      <c r="O63" s="35"/>
      <c r="P63" s="1584" t="s">
        <v>103</v>
      </c>
      <c r="Q63" s="1224" t="s">
        <v>373</v>
      </c>
      <c r="R63" s="1480">
        <v>100</v>
      </c>
      <c r="S63" s="1480"/>
      <c r="T63" s="1815" t="s">
        <v>409</v>
      </c>
    </row>
    <row r="64" spans="1:20" ht="17.25" customHeight="1" x14ac:dyDescent="0.25">
      <c r="A64" s="854"/>
      <c r="B64" s="859"/>
      <c r="C64" s="585"/>
      <c r="D64" s="1596"/>
      <c r="E64" s="1384"/>
      <c r="F64" s="218"/>
      <c r="G64" s="1006"/>
      <c r="H64" s="1006"/>
      <c r="I64" s="1346"/>
      <c r="J64" s="1109"/>
      <c r="K64" s="1006"/>
      <c r="L64" s="1220"/>
      <c r="M64" s="45"/>
      <c r="N64" s="127"/>
      <c r="O64" s="35"/>
      <c r="P64" s="1584"/>
      <c r="Q64" s="1505" t="s">
        <v>372</v>
      </c>
      <c r="R64" s="1480"/>
      <c r="S64" s="1480"/>
      <c r="T64" s="1816"/>
    </row>
    <row r="65" spans="1:22" ht="17.25" customHeight="1" x14ac:dyDescent="0.25">
      <c r="A65" s="1308"/>
      <c r="B65" s="1310"/>
      <c r="C65" s="585"/>
      <c r="D65" s="1596"/>
      <c r="E65" s="1384"/>
      <c r="F65" s="218"/>
      <c r="G65" s="1006"/>
      <c r="H65" s="1006"/>
      <c r="I65" s="1346"/>
      <c r="J65" s="1109">
        <f>429-406.3</f>
        <v>22.7</v>
      </c>
      <c r="K65" s="1006">
        <v>9.9</v>
      </c>
      <c r="L65" s="1220">
        <f t="shared" si="5"/>
        <v>-12.8</v>
      </c>
      <c r="M65" s="45"/>
      <c r="N65" s="127"/>
      <c r="O65" s="35"/>
      <c r="P65" s="1474"/>
      <c r="Q65" s="1505"/>
      <c r="R65" s="1480"/>
      <c r="S65" s="1480"/>
      <c r="T65" s="1816"/>
    </row>
    <row r="66" spans="1:22" ht="17.25" customHeight="1" x14ac:dyDescent="0.25">
      <c r="A66" s="1308"/>
      <c r="B66" s="1310"/>
      <c r="C66" s="585"/>
      <c r="D66" s="1596"/>
      <c r="E66" s="1384"/>
      <c r="F66" s="218" t="s">
        <v>392</v>
      </c>
      <c r="G66" s="1006">
        <f>251.6+1207.7</f>
        <v>1459.3</v>
      </c>
      <c r="H66" s="1006">
        <v>1478.6</v>
      </c>
      <c r="I66" s="1346">
        <f>+H66-G66</f>
        <v>19.3</v>
      </c>
      <c r="J66" s="1109">
        <f>912.9-867</f>
        <v>45.9</v>
      </c>
      <c r="K66" s="1006">
        <v>59.1</v>
      </c>
      <c r="L66" s="1220">
        <f t="shared" si="5"/>
        <v>13.2</v>
      </c>
      <c r="M66" s="45"/>
      <c r="N66" s="127"/>
      <c r="O66" s="35"/>
      <c r="P66" s="1474"/>
      <c r="Q66" s="1505"/>
      <c r="R66" s="1480"/>
      <c r="S66" s="1480"/>
      <c r="T66" s="1816"/>
    </row>
    <row r="67" spans="1:22" ht="15" customHeight="1" x14ac:dyDescent="0.25">
      <c r="A67" s="1308"/>
      <c r="B67" s="1310"/>
      <c r="C67" s="585"/>
      <c r="D67" s="1596"/>
      <c r="E67" s="1384"/>
      <c r="F67" s="218"/>
      <c r="G67" s="1006"/>
      <c r="H67" s="1006"/>
      <c r="I67" s="1346"/>
      <c r="J67" s="1109"/>
      <c r="K67" s="1006"/>
      <c r="L67" s="1220"/>
      <c r="M67" s="45"/>
      <c r="N67" s="127"/>
      <c r="O67" s="35"/>
      <c r="P67" s="1474"/>
      <c r="Q67" s="1505"/>
      <c r="R67" s="1480"/>
      <c r="S67" s="1480"/>
      <c r="T67" s="1816"/>
      <c r="V67" s="30"/>
    </row>
    <row r="68" spans="1:22" ht="17.149999999999999" customHeight="1" x14ac:dyDescent="0.25">
      <c r="A68" s="854"/>
      <c r="B68" s="859"/>
      <c r="C68" s="856"/>
      <c r="D68" s="1597"/>
      <c r="E68" s="1383"/>
      <c r="F68" s="1403" t="s">
        <v>393</v>
      </c>
      <c r="G68" s="1221"/>
      <c r="H68" s="1221">
        <v>40</v>
      </c>
      <c r="I68" s="1372">
        <f>+H68-G68</f>
        <v>40</v>
      </c>
      <c r="J68" s="1373">
        <v>40</v>
      </c>
      <c r="K68" s="1221">
        <v>0</v>
      </c>
      <c r="L68" s="1222">
        <f>+K68-J68</f>
        <v>-40</v>
      </c>
      <c r="M68" s="1391"/>
      <c r="N68" s="1389"/>
      <c r="O68" s="102"/>
      <c r="P68" s="1473"/>
      <c r="Q68" s="219"/>
      <c r="R68" s="29"/>
      <c r="S68" s="29"/>
      <c r="T68" s="1492"/>
    </row>
    <row r="69" spans="1:22" ht="13.5" customHeight="1" x14ac:dyDescent="0.25">
      <c r="A69" s="854"/>
      <c r="B69" s="855"/>
      <c r="C69" s="55"/>
      <c r="D69" s="1544" t="s">
        <v>233</v>
      </c>
      <c r="E69" s="1608"/>
      <c r="F69" s="36"/>
      <c r="G69" s="56"/>
      <c r="H69" s="127"/>
      <c r="I69" s="56"/>
      <c r="J69" s="45"/>
      <c r="K69" s="127"/>
      <c r="L69" s="35"/>
      <c r="M69" s="45"/>
      <c r="N69" s="888"/>
      <c r="O69" s="113"/>
      <c r="P69" s="1581" t="s">
        <v>327</v>
      </c>
      <c r="Q69" s="1073"/>
      <c r="R69" s="393">
        <v>1</v>
      </c>
      <c r="S69" s="192"/>
      <c r="T69" s="1401"/>
    </row>
    <row r="70" spans="1:22" ht="12.75" customHeight="1" x14ac:dyDescent="0.25">
      <c r="A70" s="854"/>
      <c r="B70" s="855"/>
      <c r="C70" s="55"/>
      <c r="D70" s="1544"/>
      <c r="E70" s="1609"/>
      <c r="F70" s="36"/>
      <c r="G70" s="56"/>
      <c r="H70" s="127"/>
      <c r="I70" s="56"/>
      <c r="J70" s="45"/>
      <c r="K70" s="127"/>
      <c r="L70" s="35"/>
      <c r="M70" s="45"/>
      <c r="N70" s="127"/>
      <c r="O70" s="35"/>
      <c r="P70" s="1844"/>
      <c r="Q70" s="1073"/>
      <c r="R70" s="232"/>
      <c r="S70" s="192"/>
      <c r="T70" s="1401"/>
    </row>
    <row r="71" spans="1:22" ht="7.5" customHeight="1" x14ac:dyDescent="0.25">
      <c r="A71" s="854"/>
      <c r="B71" s="859"/>
      <c r="C71" s="856"/>
      <c r="D71" s="866"/>
      <c r="E71" s="864"/>
      <c r="F71" s="407"/>
      <c r="G71" s="56"/>
      <c r="H71" s="127"/>
      <c r="I71" s="56"/>
      <c r="J71" s="45"/>
      <c r="K71" s="127"/>
      <c r="L71" s="35"/>
      <c r="M71" s="45"/>
      <c r="N71" s="889"/>
      <c r="O71" s="102"/>
      <c r="P71" s="1474"/>
      <c r="Q71" s="904"/>
      <c r="R71" s="1480"/>
      <c r="S71" s="1480"/>
      <c r="T71" s="1402"/>
    </row>
    <row r="72" spans="1:22" ht="14.25" customHeight="1" x14ac:dyDescent="0.25">
      <c r="A72" s="854"/>
      <c r="B72" s="859"/>
      <c r="C72" s="856"/>
      <c r="D72" s="1596" t="s">
        <v>208</v>
      </c>
      <c r="E72" s="591" t="s">
        <v>246</v>
      </c>
      <c r="F72" s="876"/>
      <c r="G72" s="188"/>
      <c r="H72" s="430"/>
      <c r="I72" s="188"/>
      <c r="J72" s="892"/>
      <c r="K72" s="888"/>
      <c r="L72" s="113"/>
      <c r="M72" s="892"/>
      <c r="N72" s="127"/>
      <c r="O72" s="35"/>
      <c r="P72" s="1475" t="s">
        <v>71</v>
      </c>
      <c r="Q72" s="1074">
        <v>1</v>
      </c>
      <c r="R72" s="1479"/>
      <c r="S72" s="1479"/>
      <c r="T72" s="1401"/>
    </row>
    <row r="73" spans="1:22" ht="17.25" customHeight="1" x14ac:dyDescent="0.25">
      <c r="A73" s="854"/>
      <c r="B73" s="859"/>
      <c r="C73" s="856"/>
      <c r="D73" s="1596"/>
      <c r="E73" s="868"/>
      <c r="F73" s="37"/>
      <c r="G73" s="56"/>
      <c r="H73" s="127"/>
      <c r="I73" s="56"/>
      <c r="J73" s="45"/>
      <c r="K73" s="127"/>
      <c r="L73" s="35"/>
      <c r="M73" s="45"/>
      <c r="N73" s="127"/>
      <c r="O73" s="35"/>
      <c r="P73" s="1474" t="s">
        <v>243</v>
      </c>
      <c r="Q73" s="904" t="s">
        <v>313</v>
      </c>
      <c r="R73" s="1480">
        <v>60</v>
      </c>
      <c r="S73" s="1480">
        <v>100</v>
      </c>
      <c r="T73" s="1401"/>
    </row>
    <row r="74" spans="1:22" ht="8.25" customHeight="1" x14ac:dyDescent="0.25">
      <c r="A74" s="854"/>
      <c r="B74" s="859"/>
      <c r="C74" s="856"/>
      <c r="D74" s="1596"/>
      <c r="E74" s="868"/>
      <c r="F74" s="333"/>
      <c r="G74" s="89"/>
      <c r="H74" s="889"/>
      <c r="I74" s="89"/>
      <c r="J74" s="893"/>
      <c r="K74" s="889"/>
      <c r="L74" s="102"/>
      <c r="M74" s="893"/>
      <c r="N74" s="889"/>
      <c r="O74" s="102"/>
      <c r="P74" s="14"/>
      <c r="Q74" s="219"/>
      <c r="R74" s="29"/>
      <c r="S74" s="29"/>
      <c r="T74" s="1402"/>
    </row>
    <row r="75" spans="1:22" ht="29.25" customHeight="1" x14ac:dyDescent="0.25">
      <c r="A75" s="860"/>
      <c r="B75" s="855"/>
      <c r="C75" s="123"/>
      <c r="D75" s="1602" t="s">
        <v>328</v>
      </c>
      <c r="E75" s="594"/>
      <c r="F75" s="835"/>
      <c r="G75" s="847"/>
      <c r="H75" s="832"/>
      <c r="I75" s="1137"/>
      <c r="J75" s="1020">
        <v>105.9</v>
      </c>
      <c r="K75" s="832">
        <v>237.6</v>
      </c>
      <c r="L75" s="1137">
        <f>+K75-J75</f>
        <v>131.69999999999999</v>
      </c>
      <c r="M75" s="1390"/>
      <c r="N75" s="1388"/>
      <c r="O75" s="113"/>
      <c r="P75" s="372" t="s">
        <v>245</v>
      </c>
      <c r="Q75" s="1089" t="s">
        <v>390</v>
      </c>
      <c r="R75" s="176">
        <v>100</v>
      </c>
      <c r="S75" s="176"/>
      <c r="T75" s="1777" t="s">
        <v>411</v>
      </c>
    </row>
    <row r="76" spans="1:22" ht="26.25" customHeight="1" x14ac:dyDescent="0.25">
      <c r="A76" s="860"/>
      <c r="B76" s="855"/>
      <c r="C76" s="123"/>
      <c r="D76" s="1603"/>
      <c r="E76" s="1387"/>
      <c r="F76" s="218" t="s">
        <v>393</v>
      </c>
      <c r="G76" s="1112">
        <v>72.5</v>
      </c>
      <c r="H76" s="1006">
        <v>12.5</v>
      </c>
      <c r="I76" s="1220">
        <f>+H76-G76</f>
        <v>-60</v>
      </c>
      <c r="J76" s="228">
        <v>0</v>
      </c>
      <c r="K76" s="1006">
        <v>60</v>
      </c>
      <c r="L76" s="1220">
        <f>+K76-J76</f>
        <v>60</v>
      </c>
      <c r="M76" s="45"/>
      <c r="N76" s="127"/>
      <c r="O76" s="35"/>
      <c r="P76" s="1487" t="s">
        <v>244</v>
      </c>
      <c r="Q76" s="1377" t="s">
        <v>391</v>
      </c>
      <c r="R76" s="1378" t="s">
        <v>383</v>
      </c>
      <c r="S76" s="96"/>
      <c r="T76" s="1835"/>
      <c r="V76" s="30"/>
    </row>
    <row r="77" spans="1:22" ht="15.75" customHeight="1" x14ac:dyDescent="0.25">
      <c r="A77" s="860"/>
      <c r="B77" s="855"/>
      <c r="C77" s="123"/>
      <c r="D77" s="1382"/>
      <c r="E77" s="1387"/>
      <c r="F77" s="36"/>
      <c r="G77" s="56"/>
      <c r="H77" s="127"/>
      <c r="I77" s="35"/>
      <c r="J77" s="45"/>
      <c r="K77" s="127"/>
      <c r="L77" s="35"/>
      <c r="M77" s="45"/>
      <c r="N77" s="127"/>
      <c r="O77" s="35"/>
      <c r="P77" s="1584" t="s">
        <v>287</v>
      </c>
      <c r="Q77" s="322"/>
      <c r="R77" s="223"/>
      <c r="S77" s="223">
        <v>50</v>
      </c>
      <c r="T77" s="1835"/>
    </row>
    <row r="78" spans="1:22" ht="12" customHeight="1" x14ac:dyDescent="0.25">
      <c r="A78" s="860"/>
      <c r="B78" s="855"/>
      <c r="C78" s="123"/>
      <c r="D78" s="1386"/>
      <c r="E78" s="606"/>
      <c r="F78" s="1385"/>
      <c r="G78" s="89"/>
      <c r="H78" s="1389"/>
      <c r="I78" s="102"/>
      <c r="J78" s="1391"/>
      <c r="K78" s="1389"/>
      <c r="L78" s="102"/>
      <c r="M78" s="1391"/>
      <c r="N78" s="1389"/>
      <c r="O78" s="102"/>
      <c r="P78" s="1843"/>
      <c r="Q78" s="219"/>
      <c r="R78" s="29"/>
      <c r="S78" s="29"/>
      <c r="T78" s="1782"/>
    </row>
    <row r="79" spans="1:22" ht="17.25" customHeight="1" x14ac:dyDescent="0.25">
      <c r="A79" s="854"/>
      <c r="B79" s="859"/>
      <c r="C79" s="856"/>
      <c r="D79" s="1589" t="s">
        <v>145</v>
      </c>
      <c r="E79" s="595"/>
      <c r="F79" s="36"/>
      <c r="G79" s="56"/>
      <c r="H79" s="1006"/>
      <c r="I79" s="1112"/>
      <c r="J79" s="45"/>
      <c r="K79" s="127"/>
      <c r="L79" s="35"/>
      <c r="M79" s="45"/>
      <c r="N79" s="127"/>
      <c r="O79" s="35"/>
      <c r="P79" s="1493" t="s">
        <v>43</v>
      </c>
      <c r="Q79" s="1011">
        <v>1</v>
      </c>
      <c r="R79" s="192"/>
      <c r="S79" s="192"/>
      <c r="T79" s="1333"/>
    </row>
    <row r="80" spans="1:22" ht="37.5" customHeight="1" x14ac:dyDescent="0.25">
      <c r="A80" s="854"/>
      <c r="B80" s="859"/>
      <c r="C80" s="856"/>
      <c r="D80" s="1605"/>
      <c r="E80" s="596"/>
      <c r="F80" s="877"/>
      <c r="G80" s="89"/>
      <c r="H80" s="889"/>
      <c r="I80" s="89"/>
      <c r="J80" s="893"/>
      <c r="K80" s="889"/>
      <c r="L80" s="102"/>
      <c r="M80" s="893"/>
      <c r="N80" s="889"/>
      <c r="O80" s="102"/>
      <c r="P80" s="409" t="s">
        <v>351</v>
      </c>
      <c r="Q80" s="410"/>
      <c r="R80" s="799"/>
      <c r="S80" s="833">
        <v>10</v>
      </c>
      <c r="T80" s="1334"/>
    </row>
    <row r="81" spans="1:21" ht="36" customHeight="1" x14ac:dyDescent="0.25">
      <c r="A81" s="854"/>
      <c r="B81" s="859"/>
      <c r="C81" s="856"/>
      <c r="D81" s="1589" t="s">
        <v>329</v>
      </c>
      <c r="E81" s="1545"/>
      <c r="F81" s="1462" t="s">
        <v>385</v>
      </c>
      <c r="G81" s="1463">
        <v>25</v>
      </c>
      <c r="H81" s="1464">
        <f>160-18</f>
        <v>142</v>
      </c>
      <c r="I81" s="1463">
        <f>+H81-G81</f>
        <v>117</v>
      </c>
      <c r="J81" s="1465">
        <v>125</v>
      </c>
      <c r="K81" s="1466">
        <v>0</v>
      </c>
      <c r="L81" s="1467">
        <f>+K81-J81</f>
        <v>-125</v>
      </c>
      <c r="M81" s="823"/>
      <c r="N81" s="430"/>
      <c r="O81" s="896"/>
      <c r="P81" s="454" t="s">
        <v>71</v>
      </c>
      <c r="Q81" s="1332">
        <v>1</v>
      </c>
      <c r="R81" s="1480"/>
      <c r="S81" s="1480"/>
      <c r="T81" s="1777" t="s">
        <v>410</v>
      </c>
    </row>
    <row r="82" spans="1:21" ht="45.75" customHeight="1" x14ac:dyDescent="0.25">
      <c r="A82" s="854"/>
      <c r="B82" s="859"/>
      <c r="C82" s="856"/>
      <c r="D82" s="1590"/>
      <c r="E82" s="1606"/>
      <c r="F82" s="333"/>
      <c r="G82" s="89"/>
      <c r="H82" s="1389"/>
      <c r="I82" s="89"/>
      <c r="J82" s="1391"/>
      <c r="K82" s="1389"/>
      <c r="L82" s="102"/>
      <c r="M82" s="1391"/>
      <c r="N82" s="1389"/>
      <c r="O82" s="102"/>
      <c r="P82" s="1473" t="s">
        <v>274</v>
      </c>
      <c r="Q82" s="1343" t="s">
        <v>206</v>
      </c>
      <c r="R82" s="1378" t="s">
        <v>383</v>
      </c>
      <c r="S82" s="324"/>
      <c r="T82" s="1782"/>
    </row>
    <row r="83" spans="1:21" ht="15.75" customHeight="1" x14ac:dyDescent="0.25">
      <c r="A83" s="1586"/>
      <c r="B83" s="1587"/>
      <c r="C83" s="590"/>
      <c r="D83" s="1617" t="s">
        <v>276</v>
      </c>
      <c r="E83" s="1545" t="s">
        <v>294</v>
      </c>
      <c r="F83" s="334"/>
      <c r="G83" s="68"/>
      <c r="H83" s="888"/>
      <c r="I83" s="68"/>
      <c r="J83" s="892"/>
      <c r="K83" s="888"/>
      <c r="L83" s="113"/>
      <c r="M83" s="892"/>
      <c r="N83" s="888"/>
      <c r="O83" s="113"/>
      <c r="P83" s="1592" t="s">
        <v>150</v>
      </c>
      <c r="Q83" s="1212" t="s">
        <v>49</v>
      </c>
      <c r="R83" s="1212"/>
      <c r="S83" s="1212"/>
      <c r="T83" s="204"/>
    </row>
    <row r="84" spans="1:21" ht="15.75" customHeight="1" x14ac:dyDescent="0.25">
      <c r="A84" s="1586"/>
      <c r="B84" s="1587"/>
      <c r="C84" s="590"/>
      <c r="D84" s="1618"/>
      <c r="E84" s="1606"/>
      <c r="F84" s="335"/>
      <c r="G84" s="89"/>
      <c r="H84" s="889"/>
      <c r="I84" s="89"/>
      <c r="J84" s="893"/>
      <c r="K84" s="889"/>
      <c r="L84" s="102"/>
      <c r="M84" s="893"/>
      <c r="N84" s="889"/>
      <c r="O84" s="102"/>
      <c r="P84" s="1607"/>
      <c r="Q84" s="1482"/>
      <c r="R84" s="1482"/>
      <c r="S84" s="1482"/>
      <c r="T84" s="207"/>
    </row>
    <row r="85" spans="1:21" ht="17.25" customHeight="1" x14ac:dyDescent="0.25">
      <c r="A85" s="854"/>
      <c r="B85" s="859"/>
      <c r="C85" s="585"/>
      <c r="D85" s="1544" t="s">
        <v>170</v>
      </c>
      <c r="E85" s="1628" t="s">
        <v>152</v>
      </c>
      <c r="F85" s="37"/>
      <c r="G85" s="56"/>
      <c r="H85" s="127"/>
      <c r="I85" s="56"/>
      <c r="J85" s="356"/>
      <c r="K85" s="297"/>
      <c r="L85" s="329"/>
      <c r="M85" s="356"/>
      <c r="N85" s="297"/>
      <c r="O85" s="329"/>
      <c r="P85" s="1584" t="s">
        <v>43</v>
      </c>
      <c r="Q85" s="904">
        <v>1</v>
      </c>
      <c r="R85" s="1480"/>
      <c r="S85" s="1480"/>
      <c r="T85" s="1477"/>
      <c r="U85" s="1611"/>
    </row>
    <row r="86" spans="1:21" ht="17.25" customHeight="1" x14ac:dyDescent="0.25">
      <c r="A86" s="854"/>
      <c r="B86" s="859"/>
      <c r="C86" s="585"/>
      <c r="D86" s="1613"/>
      <c r="E86" s="1606"/>
      <c r="F86" s="333"/>
      <c r="G86" s="89"/>
      <c r="H86" s="889"/>
      <c r="I86" s="89"/>
      <c r="J86" s="389"/>
      <c r="K86" s="388"/>
      <c r="L86" s="770"/>
      <c r="M86" s="389"/>
      <c r="N86" s="388"/>
      <c r="O86" s="770"/>
      <c r="P86" s="1585"/>
      <c r="Q86" s="1076"/>
      <c r="R86" s="29"/>
      <c r="S86" s="29"/>
      <c r="T86" s="16"/>
      <c r="U86" s="1612"/>
    </row>
    <row r="87" spans="1:21" ht="40.5" customHeight="1" x14ac:dyDescent="0.25">
      <c r="A87" s="1586"/>
      <c r="B87" s="1591"/>
      <c r="C87" s="1588"/>
      <c r="D87" s="1543" t="s">
        <v>156</v>
      </c>
      <c r="E87" s="1614"/>
      <c r="F87" s="334"/>
      <c r="G87" s="68"/>
      <c r="H87" s="888"/>
      <c r="I87" s="68"/>
      <c r="J87" s="892"/>
      <c r="K87" s="888"/>
      <c r="L87" s="113"/>
      <c r="M87" s="892"/>
      <c r="N87" s="888"/>
      <c r="O87" s="113"/>
      <c r="P87" s="1472" t="s">
        <v>238</v>
      </c>
      <c r="Q87" s="1077">
        <v>1</v>
      </c>
      <c r="R87" s="1479"/>
      <c r="S87" s="1479"/>
      <c r="T87" s="1477"/>
    </row>
    <row r="88" spans="1:21" ht="15.75" customHeight="1" x14ac:dyDescent="0.25">
      <c r="A88" s="1586"/>
      <c r="B88" s="1591"/>
      <c r="C88" s="1588"/>
      <c r="D88" s="1544"/>
      <c r="E88" s="1615"/>
      <c r="F88" s="407"/>
      <c r="G88" s="56"/>
      <c r="H88" s="127"/>
      <c r="I88" s="56"/>
      <c r="J88" s="45"/>
      <c r="K88" s="127"/>
      <c r="L88" s="35"/>
      <c r="M88" s="45"/>
      <c r="N88" s="127"/>
      <c r="O88" s="35"/>
      <c r="P88" s="47" t="s">
        <v>43</v>
      </c>
      <c r="Q88" s="387"/>
      <c r="R88" s="96">
        <v>1</v>
      </c>
      <c r="S88" s="96"/>
      <c r="T88" s="18"/>
    </row>
    <row r="89" spans="1:21" ht="21" customHeight="1" x14ac:dyDescent="0.25">
      <c r="A89" s="1586"/>
      <c r="B89" s="1591"/>
      <c r="C89" s="1588"/>
      <c r="D89" s="1544"/>
      <c r="E89" s="1615"/>
      <c r="F89" s="36"/>
      <c r="G89" s="56"/>
      <c r="H89" s="127"/>
      <c r="I89" s="56"/>
      <c r="J89" s="45"/>
      <c r="K89" s="127"/>
      <c r="L89" s="35"/>
      <c r="M89" s="45"/>
      <c r="N89" s="127"/>
      <c r="O89" s="35"/>
      <c r="P89" s="1842" t="s">
        <v>100</v>
      </c>
      <c r="Q89" s="904"/>
      <c r="R89" s="1480"/>
      <c r="S89" s="1480">
        <v>50</v>
      </c>
      <c r="T89" s="1477"/>
    </row>
    <row r="90" spans="1:21" ht="18.75" customHeight="1" x14ac:dyDescent="0.25">
      <c r="A90" s="1586"/>
      <c r="B90" s="1591"/>
      <c r="C90" s="1588"/>
      <c r="D90" s="1613"/>
      <c r="E90" s="1616"/>
      <c r="F90" s="333"/>
      <c r="G90" s="89"/>
      <c r="H90" s="889"/>
      <c r="I90" s="89"/>
      <c r="J90" s="893"/>
      <c r="K90" s="889"/>
      <c r="L90" s="102"/>
      <c r="M90" s="893"/>
      <c r="N90" s="889"/>
      <c r="O90" s="102"/>
      <c r="P90" s="1585"/>
      <c r="Q90" s="219"/>
      <c r="R90" s="29"/>
      <c r="S90" s="29"/>
      <c r="T90" s="16"/>
    </row>
    <row r="91" spans="1:21" ht="23.25" customHeight="1" x14ac:dyDescent="0.25">
      <c r="A91" s="860"/>
      <c r="B91" s="886"/>
      <c r="C91" s="123"/>
      <c r="D91" s="1589" t="s">
        <v>97</v>
      </c>
      <c r="E91" s="1626"/>
      <c r="F91" s="36"/>
      <c r="G91" s="56"/>
      <c r="H91" s="127"/>
      <c r="I91" s="35"/>
      <c r="J91" s="45"/>
      <c r="K91" s="127"/>
      <c r="L91" s="35"/>
      <c r="M91" s="45"/>
      <c r="N91" s="127"/>
      <c r="O91" s="35"/>
      <c r="P91" s="1472" t="s">
        <v>300</v>
      </c>
      <c r="Q91" s="1212">
        <v>1</v>
      </c>
      <c r="R91" s="1478"/>
      <c r="S91" s="719"/>
      <c r="T91" s="783"/>
      <c r="U91" s="563"/>
    </row>
    <row r="92" spans="1:21" ht="18.75" customHeight="1" x14ac:dyDescent="0.25">
      <c r="A92" s="860"/>
      <c r="B92" s="855"/>
      <c r="C92" s="123"/>
      <c r="D92" s="1590"/>
      <c r="E92" s="1627"/>
      <c r="F92" s="877"/>
      <c r="G92" s="89"/>
      <c r="H92" s="889"/>
      <c r="I92" s="102"/>
      <c r="J92" s="893"/>
      <c r="K92" s="889"/>
      <c r="L92" s="102"/>
      <c r="M92" s="893"/>
      <c r="N92" s="889"/>
      <c r="O92" s="102"/>
      <c r="P92" s="1473"/>
      <c r="Q92" s="219"/>
      <c r="R92" s="639"/>
      <c r="S92" s="336"/>
      <c r="T92" s="783"/>
    </row>
    <row r="93" spans="1:21" ht="23.25" customHeight="1" x14ac:dyDescent="0.25">
      <c r="A93" s="860"/>
      <c r="B93" s="886"/>
      <c r="C93" s="123"/>
      <c r="D93" s="1589" t="s">
        <v>135</v>
      </c>
      <c r="E93" s="1626" t="s">
        <v>152</v>
      </c>
      <c r="F93" s="36"/>
      <c r="G93" s="56"/>
      <c r="H93" s="127"/>
      <c r="I93" s="35"/>
      <c r="J93" s="45"/>
      <c r="K93" s="127"/>
      <c r="L93" s="35"/>
      <c r="M93" s="45"/>
      <c r="N93" s="127"/>
      <c r="O93" s="35"/>
      <c r="P93" s="1474" t="s">
        <v>43</v>
      </c>
      <c r="Q93" s="1481">
        <v>1</v>
      </c>
      <c r="R93" s="1478"/>
      <c r="S93" s="719"/>
      <c r="T93" s="576"/>
      <c r="U93" s="563"/>
    </row>
    <row r="94" spans="1:21" ht="12" customHeight="1" x14ac:dyDescent="0.25">
      <c r="A94" s="860"/>
      <c r="B94" s="855"/>
      <c r="C94" s="123"/>
      <c r="D94" s="1590"/>
      <c r="E94" s="1627"/>
      <c r="F94" s="877"/>
      <c r="G94" s="89"/>
      <c r="H94" s="889"/>
      <c r="I94" s="102"/>
      <c r="J94" s="893"/>
      <c r="K94" s="889"/>
      <c r="L94" s="102"/>
      <c r="M94" s="893"/>
      <c r="N94" s="889"/>
      <c r="O94" s="102"/>
      <c r="P94" s="1473"/>
      <c r="Q94" s="219"/>
      <c r="R94" s="639"/>
      <c r="S94" s="336"/>
      <c r="T94" s="783"/>
    </row>
    <row r="95" spans="1:21" ht="23.25" customHeight="1" x14ac:dyDescent="0.25">
      <c r="A95" s="860"/>
      <c r="B95" s="886"/>
      <c r="C95" s="123"/>
      <c r="D95" s="1589" t="s">
        <v>303</v>
      </c>
      <c r="E95" s="1631"/>
      <c r="F95" s="36"/>
      <c r="G95" s="56"/>
      <c r="H95" s="127"/>
      <c r="I95" s="35"/>
      <c r="J95" s="45"/>
      <c r="K95" s="127"/>
      <c r="L95" s="35"/>
      <c r="M95" s="45"/>
      <c r="N95" s="127"/>
      <c r="O95" s="35"/>
      <c r="P95" s="1581" t="s">
        <v>330</v>
      </c>
      <c r="Q95" s="1212"/>
      <c r="R95" s="1478">
        <v>100</v>
      </c>
      <c r="S95" s="719"/>
      <c r="T95" s="576"/>
      <c r="U95" s="563"/>
    </row>
    <row r="96" spans="1:21" ht="30" customHeight="1" x14ac:dyDescent="0.25">
      <c r="A96" s="860"/>
      <c r="B96" s="855"/>
      <c r="C96" s="123"/>
      <c r="D96" s="1590"/>
      <c r="E96" s="1632"/>
      <c r="F96" s="877"/>
      <c r="G96" s="89"/>
      <c r="H96" s="889"/>
      <c r="I96" s="102"/>
      <c r="J96" s="893"/>
      <c r="K96" s="889"/>
      <c r="L96" s="102"/>
      <c r="M96" s="893"/>
      <c r="N96" s="889"/>
      <c r="O96" s="102"/>
      <c r="P96" s="1619"/>
      <c r="Q96" s="219"/>
      <c r="R96" s="639"/>
      <c r="S96" s="336"/>
      <c r="T96" s="577"/>
    </row>
    <row r="97" spans="1:21" ht="13.5" customHeight="1" x14ac:dyDescent="0.25">
      <c r="A97" s="854"/>
      <c r="B97" s="859"/>
      <c r="C97" s="55"/>
      <c r="D97" s="1575" t="s">
        <v>203</v>
      </c>
      <c r="E97" s="606"/>
      <c r="F97" s="36"/>
      <c r="G97" s="56"/>
      <c r="H97" s="127"/>
      <c r="I97" s="56"/>
      <c r="J97" s="45"/>
      <c r="K97" s="127"/>
      <c r="L97" s="35"/>
      <c r="M97" s="45"/>
      <c r="N97" s="127"/>
      <c r="O97" s="35"/>
      <c r="P97" s="1581" t="s">
        <v>98</v>
      </c>
      <c r="Q97" s="306">
        <v>100</v>
      </c>
      <c r="R97" s="1479">
        <v>100</v>
      </c>
      <c r="S97" s="1479">
        <v>100</v>
      </c>
      <c r="T97" s="1477"/>
    </row>
    <row r="98" spans="1:21" ht="16.5" customHeight="1" x14ac:dyDescent="0.25">
      <c r="A98" s="854"/>
      <c r="B98" s="859"/>
      <c r="C98" s="55"/>
      <c r="D98" s="1603"/>
      <c r="E98" s="606"/>
      <c r="F98" s="36"/>
      <c r="G98" s="56"/>
      <c r="H98" s="127"/>
      <c r="I98" s="56"/>
      <c r="J98" s="45"/>
      <c r="K98" s="127"/>
      <c r="L98" s="35"/>
      <c r="M98" s="45"/>
      <c r="N98" s="127"/>
      <c r="O98" s="35"/>
      <c r="P98" s="1584"/>
      <c r="Q98" s="904"/>
      <c r="R98" s="1480"/>
      <c r="S98" s="1480"/>
      <c r="T98" s="1477"/>
    </row>
    <row r="99" spans="1:21" s="6" customFormat="1" ht="33.75" customHeight="1" x14ac:dyDescent="0.25">
      <c r="A99" s="854"/>
      <c r="B99" s="859"/>
      <c r="C99" s="856"/>
      <c r="D99" s="1623"/>
      <c r="E99" s="607"/>
      <c r="F99" s="605"/>
      <c r="G99" s="168"/>
      <c r="H99" s="191"/>
      <c r="I99" s="168"/>
      <c r="J99" s="256"/>
      <c r="K99" s="191"/>
      <c r="L99" s="771"/>
      <c r="M99" s="256"/>
      <c r="N99" s="191"/>
      <c r="O99" s="771"/>
      <c r="P99" s="1630"/>
      <c r="Q99" s="1078"/>
      <c r="R99" s="500"/>
      <c r="S99" s="500"/>
      <c r="T99" s="413"/>
    </row>
    <row r="100" spans="1:21" ht="15.75" customHeight="1" x14ac:dyDescent="0.25">
      <c r="A100" s="854"/>
      <c r="B100" s="855"/>
      <c r="C100" s="608"/>
      <c r="D100" s="857" t="s">
        <v>288</v>
      </c>
      <c r="E100" s="862"/>
      <c r="F100" s="36"/>
      <c r="G100" s="45"/>
      <c r="H100" s="127"/>
      <c r="I100" s="35"/>
      <c r="J100" s="45"/>
      <c r="K100" s="127"/>
      <c r="L100" s="35"/>
      <c r="M100" s="45"/>
      <c r="N100" s="127"/>
      <c r="O100" s="35"/>
      <c r="P100" s="1474"/>
      <c r="Q100" s="904"/>
      <c r="R100" s="127"/>
      <c r="S100" s="23"/>
      <c r="T100" s="1225"/>
    </row>
    <row r="101" spans="1:21" ht="27" customHeight="1" x14ac:dyDescent="0.25">
      <c r="A101" s="854"/>
      <c r="B101" s="855"/>
      <c r="C101" s="1840" t="s">
        <v>297</v>
      </c>
      <c r="D101" s="347" t="s">
        <v>331</v>
      </c>
      <c r="E101" s="1431"/>
      <c r="F101" s="831" t="s">
        <v>384</v>
      </c>
      <c r="G101" s="1348">
        <f>1000-250-141</f>
        <v>609</v>
      </c>
      <c r="H101" s="1433">
        <f>1000-250-141-15</f>
        <v>594</v>
      </c>
      <c r="I101" s="1434">
        <f>+H101-G101</f>
        <v>-15</v>
      </c>
      <c r="J101" s="303"/>
      <c r="K101" s="304"/>
      <c r="L101" s="305"/>
      <c r="M101" s="303"/>
      <c r="N101" s="304"/>
      <c r="O101" s="305"/>
      <c r="P101" s="47" t="s">
        <v>222</v>
      </c>
      <c r="Q101" s="111">
        <v>1</v>
      </c>
      <c r="R101" s="383"/>
      <c r="S101" s="383"/>
      <c r="T101" s="1858" t="s">
        <v>413</v>
      </c>
      <c r="U101" s="559"/>
    </row>
    <row r="102" spans="1:21" ht="26.25" customHeight="1" x14ac:dyDescent="0.25">
      <c r="A102" s="854"/>
      <c r="B102" s="855"/>
      <c r="C102" s="1620"/>
      <c r="D102" s="347" t="s">
        <v>189</v>
      </c>
      <c r="E102" s="862"/>
      <c r="F102" s="36"/>
      <c r="G102" s="73"/>
      <c r="H102" s="127"/>
      <c r="I102" s="24"/>
      <c r="J102" s="45"/>
      <c r="K102" s="127"/>
      <c r="L102" s="35"/>
      <c r="M102" s="45"/>
      <c r="N102" s="127"/>
      <c r="O102" s="35"/>
      <c r="P102" s="1474" t="s">
        <v>59</v>
      </c>
      <c r="Q102" s="904" t="s">
        <v>394</v>
      </c>
      <c r="R102" s="127"/>
      <c r="S102" s="23"/>
      <c r="T102" s="1780"/>
      <c r="U102" s="865"/>
    </row>
    <row r="103" spans="1:21" ht="27.75" customHeight="1" x14ac:dyDescent="0.25">
      <c r="A103" s="854"/>
      <c r="B103" s="855"/>
      <c r="C103" s="1620"/>
      <c r="D103" s="129" t="s">
        <v>190</v>
      </c>
      <c r="E103" s="862"/>
      <c r="F103" s="36"/>
      <c r="G103" s="45"/>
      <c r="H103" s="127"/>
      <c r="I103" s="35"/>
      <c r="J103" s="45"/>
      <c r="K103" s="127"/>
      <c r="L103" s="35"/>
      <c r="M103" s="45"/>
      <c r="N103" s="127"/>
      <c r="O103" s="35"/>
      <c r="P103" s="1474"/>
      <c r="Q103" s="904"/>
      <c r="R103" s="127"/>
      <c r="S103" s="23"/>
      <c r="T103" s="24"/>
      <c r="U103" s="567"/>
    </row>
    <row r="104" spans="1:21" ht="15" customHeight="1" x14ac:dyDescent="0.25">
      <c r="A104" s="854"/>
      <c r="B104" s="855"/>
      <c r="C104" s="1620"/>
      <c r="D104" s="129" t="s">
        <v>221</v>
      </c>
      <c r="E104" s="862"/>
      <c r="F104" s="36"/>
      <c r="G104" s="45"/>
      <c r="H104" s="127"/>
      <c r="I104" s="35"/>
      <c r="J104" s="45"/>
      <c r="K104" s="127"/>
      <c r="L104" s="35"/>
      <c r="M104" s="45"/>
      <c r="N104" s="127"/>
      <c r="O104" s="35"/>
      <c r="P104" s="1474"/>
      <c r="Q104" s="904"/>
      <c r="R104" s="127"/>
      <c r="S104" s="23"/>
      <c r="T104" s="24"/>
      <c r="U104" s="567"/>
    </row>
    <row r="105" spans="1:21" ht="15" customHeight="1" x14ac:dyDescent="0.25">
      <c r="A105" s="854"/>
      <c r="B105" s="855"/>
      <c r="C105" s="1620"/>
      <c r="D105" s="129" t="s">
        <v>332</v>
      </c>
      <c r="E105" s="862"/>
      <c r="F105" s="36"/>
      <c r="G105" s="45"/>
      <c r="H105" s="127"/>
      <c r="I105" s="35"/>
      <c r="J105" s="45"/>
      <c r="K105" s="127"/>
      <c r="L105" s="35"/>
      <c r="M105" s="45"/>
      <c r="N105" s="127"/>
      <c r="O105" s="35"/>
      <c r="P105" s="1474"/>
      <c r="Q105" s="904"/>
      <c r="R105" s="127"/>
      <c r="S105" s="23"/>
      <c r="T105" s="24"/>
      <c r="U105" s="567"/>
    </row>
    <row r="106" spans="1:21" ht="26.25" customHeight="1" x14ac:dyDescent="0.25">
      <c r="A106" s="854"/>
      <c r="B106" s="855"/>
      <c r="C106" s="1620"/>
      <c r="D106" s="162" t="s">
        <v>333</v>
      </c>
      <c r="E106" s="862"/>
      <c r="F106" s="36"/>
      <c r="G106" s="45"/>
      <c r="H106" s="127"/>
      <c r="I106" s="35"/>
      <c r="J106" s="45"/>
      <c r="K106" s="127"/>
      <c r="L106" s="35"/>
      <c r="M106" s="45"/>
      <c r="N106" s="127"/>
      <c r="O106" s="35"/>
      <c r="P106" s="1474"/>
      <c r="Q106" s="904"/>
      <c r="R106" s="127"/>
      <c r="S106" s="23"/>
      <c r="T106" s="24"/>
    </row>
    <row r="107" spans="1:21" ht="27.75" customHeight="1" x14ac:dyDescent="0.25">
      <c r="A107" s="854"/>
      <c r="B107" s="855"/>
      <c r="C107" s="1620"/>
      <c r="D107" s="347" t="s">
        <v>250</v>
      </c>
      <c r="E107" s="862"/>
      <c r="F107" s="36"/>
      <c r="G107" s="45"/>
      <c r="H107" s="127"/>
      <c r="I107" s="35"/>
      <c r="J107" s="45"/>
      <c r="K107" s="127"/>
      <c r="L107" s="35"/>
      <c r="M107" s="45"/>
      <c r="N107" s="127"/>
      <c r="O107" s="35"/>
      <c r="P107" s="1474"/>
      <c r="Q107" s="904"/>
      <c r="R107" s="127"/>
      <c r="S107" s="23"/>
      <c r="T107" s="24"/>
    </row>
    <row r="108" spans="1:21" ht="14.25" customHeight="1" x14ac:dyDescent="0.25">
      <c r="A108" s="854"/>
      <c r="B108" s="855"/>
      <c r="C108" s="1841"/>
      <c r="D108" s="347" t="s">
        <v>118</v>
      </c>
      <c r="E108" s="862"/>
      <c r="F108" s="38"/>
      <c r="G108" s="85"/>
      <c r="H108" s="380"/>
      <c r="I108" s="381"/>
      <c r="J108" s="85"/>
      <c r="K108" s="380"/>
      <c r="L108" s="381"/>
      <c r="M108" s="85"/>
      <c r="N108" s="380"/>
      <c r="O108" s="381"/>
      <c r="P108" s="372"/>
      <c r="Q108" s="307"/>
      <c r="R108" s="380"/>
      <c r="S108" s="380"/>
      <c r="T108" s="442"/>
    </row>
    <row r="109" spans="1:21" ht="29.25" customHeight="1" x14ac:dyDescent="0.25">
      <c r="A109" s="854"/>
      <c r="B109" s="855"/>
      <c r="C109" s="1620" t="s">
        <v>165</v>
      </c>
      <c r="D109" s="321" t="s">
        <v>224</v>
      </c>
      <c r="E109" s="862"/>
      <c r="F109" s="36"/>
      <c r="G109" s="45"/>
      <c r="H109" s="127"/>
      <c r="I109" s="35"/>
      <c r="J109" s="45"/>
      <c r="K109" s="127"/>
      <c r="L109" s="35"/>
      <c r="M109" s="45"/>
      <c r="N109" s="127"/>
      <c r="O109" s="35"/>
      <c r="P109" s="1474" t="s">
        <v>301</v>
      </c>
      <c r="Q109" s="1079"/>
      <c r="R109" s="23">
        <v>3.4</v>
      </c>
      <c r="S109" s="23">
        <v>3.4</v>
      </c>
      <c r="T109" s="24"/>
    </row>
    <row r="110" spans="1:21" ht="18.75" customHeight="1" x14ac:dyDescent="0.25">
      <c r="A110" s="854"/>
      <c r="B110" s="855"/>
      <c r="C110" s="1620"/>
      <c r="D110" s="129" t="s">
        <v>338</v>
      </c>
      <c r="E110" s="862"/>
      <c r="F110" s="36"/>
      <c r="G110" s="45"/>
      <c r="H110" s="127"/>
      <c r="I110" s="35"/>
      <c r="J110" s="45"/>
      <c r="K110" s="127"/>
      <c r="L110" s="35"/>
      <c r="M110" s="45"/>
      <c r="N110" s="127"/>
      <c r="O110" s="35"/>
      <c r="P110" s="1474"/>
      <c r="Q110" s="904"/>
      <c r="R110" s="23"/>
      <c r="S110" s="23"/>
      <c r="T110" s="24"/>
    </row>
    <row r="111" spans="1:21" ht="30.75" customHeight="1" x14ac:dyDescent="0.25">
      <c r="A111" s="854"/>
      <c r="B111" s="855"/>
      <c r="C111" s="1622"/>
      <c r="D111" s="440" t="s">
        <v>337</v>
      </c>
      <c r="E111" s="862"/>
      <c r="F111" s="877"/>
      <c r="G111" s="893"/>
      <c r="H111" s="889"/>
      <c r="I111" s="102"/>
      <c r="J111" s="893"/>
      <c r="K111" s="889"/>
      <c r="L111" s="102"/>
      <c r="M111" s="893"/>
      <c r="N111" s="889"/>
      <c r="O111" s="102"/>
      <c r="P111" s="1473"/>
      <c r="Q111" s="219"/>
      <c r="R111" s="25"/>
      <c r="S111" s="25"/>
      <c r="T111" s="26"/>
    </row>
    <row r="112" spans="1:21" ht="26.25" customHeight="1" x14ac:dyDescent="0.25">
      <c r="A112" s="854"/>
      <c r="B112" s="855"/>
      <c r="C112" s="123"/>
      <c r="D112" s="1543" t="s">
        <v>78</v>
      </c>
      <c r="E112" s="873"/>
      <c r="F112" s="876"/>
      <c r="G112" s="892"/>
      <c r="H112" s="888"/>
      <c r="I112" s="113"/>
      <c r="J112" s="892"/>
      <c r="K112" s="888"/>
      <c r="L112" s="113"/>
      <c r="M112" s="892"/>
      <c r="N112" s="888"/>
      <c r="O112" s="113"/>
      <c r="P112" s="1472" t="s">
        <v>178</v>
      </c>
      <c r="Q112" s="306" t="s">
        <v>177</v>
      </c>
      <c r="R112" s="1212" t="s">
        <v>177</v>
      </c>
      <c r="S112" s="1215" t="s">
        <v>177</v>
      </c>
      <c r="T112" s="1483"/>
      <c r="U112" s="559"/>
    </row>
    <row r="113" spans="1:21" ht="26.25" customHeight="1" x14ac:dyDescent="0.25">
      <c r="A113" s="854"/>
      <c r="B113" s="855"/>
      <c r="C113" s="123"/>
      <c r="D113" s="1544"/>
      <c r="E113" s="862"/>
      <c r="F113" s="36"/>
      <c r="G113" s="45"/>
      <c r="H113" s="127"/>
      <c r="I113" s="35"/>
      <c r="J113" s="45"/>
      <c r="K113" s="127"/>
      <c r="L113" s="35"/>
      <c r="M113" s="45"/>
      <c r="N113" s="127"/>
      <c r="O113" s="35"/>
      <c r="P113" s="47" t="s">
        <v>37</v>
      </c>
      <c r="Q113" s="111" t="s">
        <v>395</v>
      </c>
      <c r="R113" s="474" t="s">
        <v>179</v>
      </c>
      <c r="S113" s="779" t="s">
        <v>179</v>
      </c>
      <c r="T113" s="171"/>
      <c r="U113" s="567"/>
    </row>
    <row r="114" spans="1:21" ht="15.75" customHeight="1" x14ac:dyDescent="0.25">
      <c r="A114" s="854"/>
      <c r="B114" s="855"/>
      <c r="C114" s="123"/>
      <c r="D114" s="1544"/>
      <c r="E114" s="862"/>
      <c r="F114" s="36"/>
      <c r="G114" s="45"/>
      <c r="H114" s="127"/>
      <c r="I114" s="35"/>
      <c r="J114" s="45"/>
      <c r="K114" s="127"/>
      <c r="L114" s="35"/>
      <c r="M114" s="45"/>
      <c r="N114" s="127"/>
      <c r="O114" s="35"/>
      <c r="P114" s="47" t="s">
        <v>58</v>
      </c>
      <c r="Q114" s="111" t="s">
        <v>173</v>
      </c>
      <c r="R114" s="474" t="s">
        <v>173</v>
      </c>
      <c r="S114" s="779" t="s">
        <v>173</v>
      </c>
      <c r="T114" s="171"/>
    </row>
    <row r="115" spans="1:21" ht="29.25" customHeight="1" x14ac:dyDescent="0.25">
      <c r="A115" s="854"/>
      <c r="B115" s="855"/>
      <c r="C115" s="123"/>
      <c r="D115" s="1613"/>
      <c r="E115" s="863"/>
      <c r="F115" s="40"/>
      <c r="G115" s="893"/>
      <c r="H115" s="889"/>
      <c r="I115" s="102"/>
      <c r="J115" s="893"/>
      <c r="K115" s="889"/>
      <c r="L115" s="102"/>
      <c r="M115" s="893"/>
      <c r="N115" s="889"/>
      <c r="O115" s="102"/>
      <c r="P115" s="1473" t="s">
        <v>198</v>
      </c>
      <c r="Q115" s="219" t="s">
        <v>199</v>
      </c>
      <c r="R115" s="452"/>
      <c r="S115" s="1488"/>
      <c r="T115" s="1483"/>
    </row>
    <row r="116" spans="1:21" ht="15" customHeight="1" x14ac:dyDescent="0.25">
      <c r="A116" s="1586"/>
      <c r="B116" s="1587"/>
      <c r="C116" s="1588"/>
      <c r="D116" s="1589" t="s">
        <v>47</v>
      </c>
      <c r="E116" s="862"/>
      <c r="F116" s="36"/>
      <c r="G116" s="45"/>
      <c r="H116" s="127"/>
      <c r="I116" s="35"/>
      <c r="J116" s="45"/>
      <c r="K116" s="127"/>
      <c r="L116" s="35"/>
      <c r="M116" s="45"/>
      <c r="N116" s="127"/>
      <c r="O116" s="35"/>
      <c r="P116" s="1581" t="s">
        <v>175</v>
      </c>
      <c r="Q116" s="306" t="s">
        <v>174</v>
      </c>
      <c r="R116" s="1212" t="s">
        <v>174</v>
      </c>
      <c r="S116" s="1212" t="s">
        <v>174</v>
      </c>
      <c r="T116" s="204"/>
    </row>
    <row r="117" spans="1:21" ht="14.25" customHeight="1" x14ac:dyDescent="0.25">
      <c r="A117" s="1586"/>
      <c r="B117" s="1587"/>
      <c r="C117" s="1588"/>
      <c r="D117" s="1590"/>
      <c r="E117" s="863"/>
      <c r="F117" s="295"/>
      <c r="G117" s="364"/>
      <c r="H117" s="365"/>
      <c r="I117" s="363"/>
      <c r="J117" s="893"/>
      <c r="K117" s="889"/>
      <c r="L117" s="102"/>
      <c r="M117" s="893"/>
      <c r="N117" s="889"/>
      <c r="O117" s="102"/>
      <c r="P117" s="1619"/>
      <c r="Q117" s="219"/>
      <c r="R117" s="25"/>
      <c r="S117" s="25"/>
      <c r="T117" s="26"/>
    </row>
    <row r="118" spans="1:21" ht="15.75" customHeight="1" x14ac:dyDescent="0.25">
      <c r="A118" s="1586"/>
      <c r="B118" s="1587"/>
      <c r="C118" s="1588"/>
      <c r="D118" s="1574" t="s">
        <v>167</v>
      </c>
      <c r="E118" s="1637"/>
      <c r="F118" s="835"/>
      <c r="G118" s="1020"/>
      <c r="H118" s="832"/>
      <c r="I118" s="1137"/>
      <c r="J118" s="1460"/>
      <c r="K118" s="1458"/>
      <c r="L118" s="113"/>
      <c r="M118" s="1460"/>
      <c r="N118" s="1458"/>
      <c r="O118" s="35"/>
      <c r="P118" s="372" t="s">
        <v>180</v>
      </c>
      <c r="Q118" s="253" t="s">
        <v>354</v>
      </c>
      <c r="R118" s="253" t="s">
        <v>227</v>
      </c>
      <c r="S118" s="253" t="s">
        <v>227</v>
      </c>
      <c r="T118" s="1468"/>
      <c r="U118" s="559"/>
    </row>
    <row r="119" spans="1:21" ht="15.75" customHeight="1" x14ac:dyDescent="0.25">
      <c r="A119" s="1586"/>
      <c r="B119" s="1587"/>
      <c r="C119" s="1588"/>
      <c r="D119" s="1575"/>
      <c r="E119" s="1638"/>
      <c r="F119" s="36"/>
      <c r="G119" s="45"/>
      <c r="H119" s="127"/>
      <c r="I119" s="35"/>
      <c r="J119" s="45"/>
      <c r="K119" s="127"/>
      <c r="L119" s="35"/>
      <c r="M119" s="45"/>
      <c r="N119" s="127"/>
      <c r="O119" s="35"/>
      <c r="P119" s="1474" t="s">
        <v>176</v>
      </c>
      <c r="Q119" s="1469" t="s">
        <v>264</v>
      </c>
      <c r="R119" s="1481" t="s">
        <v>227</v>
      </c>
      <c r="S119" s="1481" t="s">
        <v>227</v>
      </c>
      <c r="T119" s="1859" t="s">
        <v>414</v>
      </c>
      <c r="U119" s="559"/>
    </row>
    <row r="120" spans="1:21" ht="15" customHeight="1" x14ac:dyDescent="0.25">
      <c r="A120" s="1586"/>
      <c r="B120" s="1587"/>
      <c r="C120" s="1588"/>
      <c r="D120" s="1623"/>
      <c r="E120" s="1639"/>
      <c r="F120" s="36"/>
      <c r="G120" s="45"/>
      <c r="H120" s="127"/>
      <c r="I120" s="35"/>
      <c r="J120" s="45"/>
      <c r="K120" s="127"/>
      <c r="L120" s="35"/>
      <c r="M120" s="45"/>
      <c r="N120" s="127"/>
      <c r="O120" s="35"/>
      <c r="P120" s="1474"/>
      <c r="Q120" s="1470" t="s">
        <v>382</v>
      </c>
      <c r="R120" s="1481"/>
      <c r="S120" s="1481"/>
      <c r="T120" s="1790"/>
      <c r="U120" s="559"/>
    </row>
    <row r="121" spans="1:21" ht="21" customHeight="1" x14ac:dyDescent="0.25">
      <c r="A121" s="854"/>
      <c r="B121" s="855"/>
      <c r="C121" s="856"/>
      <c r="D121" s="1633" t="s">
        <v>77</v>
      </c>
      <c r="E121" s="1455"/>
      <c r="F121" s="835"/>
      <c r="G121" s="1020"/>
      <c r="H121" s="832"/>
      <c r="I121" s="1137"/>
      <c r="J121" s="1460"/>
      <c r="K121" s="1458"/>
      <c r="L121" s="113"/>
      <c r="M121" s="1460"/>
      <c r="N121" s="1458"/>
      <c r="O121" s="113"/>
      <c r="P121" s="1581" t="s">
        <v>105</v>
      </c>
      <c r="Q121" s="1471">
        <v>5</v>
      </c>
      <c r="R121" s="1479">
        <v>8</v>
      </c>
      <c r="S121" s="1479">
        <v>8</v>
      </c>
      <c r="T121" s="1777" t="s">
        <v>415</v>
      </c>
      <c r="U121" s="399"/>
    </row>
    <row r="122" spans="1:21" ht="21" customHeight="1" x14ac:dyDescent="0.25">
      <c r="A122" s="854"/>
      <c r="B122" s="855"/>
      <c r="C122" s="856"/>
      <c r="D122" s="1633"/>
      <c r="E122" s="1455"/>
      <c r="F122" s="1456"/>
      <c r="G122" s="1461"/>
      <c r="H122" s="1459"/>
      <c r="I122" s="102"/>
      <c r="J122" s="1461"/>
      <c r="K122" s="1459"/>
      <c r="L122" s="102"/>
      <c r="M122" s="1461"/>
      <c r="N122" s="1459"/>
      <c r="O122" s="102"/>
      <c r="P122" s="1619"/>
      <c r="Q122" s="1343" t="s">
        <v>291</v>
      </c>
      <c r="R122" s="29"/>
      <c r="S122" s="29"/>
      <c r="T122" s="1782"/>
      <c r="U122" s="399"/>
    </row>
    <row r="123" spans="1:21" ht="12" customHeight="1" x14ac:dyDescent="0.25">
      <c r="A123" s="860"/>
      <c r="B123" s="855"/>
      <c r="C123" s="585"/>
      <c r="D123" s="1589" t="s">
        <v>36</v>
      </c>
      <c r="E123" s="861"/>
      <c r="F123" s="33"/>
      <c r="G123" s="45"/>
      <c r="H123" s="127"/>
      <c r="I123" s="35"/>
      <c r="J123" s="45"/>
      <c r="K123" s="127"/>
      <c r="L123" s="35"/>
      <c r="M123" s="45"/>
      <c r="N123" s="127"/>
      <c r="O123" s="35"/>
      <c r="P123" s="1472" t="s">
        <v>166</v>
      </c>
      <c r="Q123" s="904">
        <v>15</v>
      </c>
      <c r="R123" s="1480">
        <v>15</v>
      </c>
      <c r="S123" s="1480">
        <v>15</v>
      </c>
      <c r="T123" s="1476"/>
    </row>
    <row r="124" spans="1:21" ht="12.75" customHeight="1" x14ac:dyDescent="0.25">
      <c r="A124" s="860"/>
      <c r="B124" s="855"/>
      <c r="C124" s="585"/>
      <c r="D124" s="1590"/>
      <c r="E124" s="863"/>
      <c r="F124" s="877"/>
      <c r="G124" s="893"/>
      <c r="H124" s="889"/>
      <c r="I124" s="89"/>
      <c r="J124" s="893"/>
      <c r="K124" s="889"/>
      <c r="L124" s="89"/>
      <c r="M124" s="893"/>
      <c r="N124" s="889"/>
      <c r="O124" s="35"/>
      <c r="P124" s="1474"/>
      <c r="Q124" s="219"/>
      <c r="R124" s="29"/>
      <c r="S124" s="29"/>
      <c r="T124" s="16"/>
    </row>
    <row r="125" spans="1:21" ht="17.25" customHeight="1" x14ac:dyDescent="0.25">
      <c r="A125" s="860"/>
      <c r="B125" s="855"/>
      <c r="C125" s="585"/>
      <c r="D125" s="1589" t="s">
        <v>340</v>
      </c>
      <c r="E125" s="323"/>
      <c r="F125" s="375" t="s">
        <v>384</v>
      </c>
      <c r="G125" s="1020">
        <v>20</v>
      </c>
      <c r="H125" s="832">
        <f>20-20</f>
        <v>0</v>
      </c>
      <c r="I125" s="1137">
        <f>+H125-G125</f>
        <v>-20</v>
      </c>
      <c r="J125" s="892"/>
      <c r="K125" s="888"/>
      <c r="L125" s="113"/>
      <c r="M125" s="892"/>
      <c r="N125" s="888"/>
      <c r="O125" s="113"/>
      <c r="P125" s="431" t="s">
        <v>71</v>
      </c>
      <c r="Q125" s="904">
        <v>1</v>
      </c>
      <c r="R125" s="1480"/>
      <c r="S125" s="1480"/>
      <c r="T125" s="1777" t="s">
        <v>416</v>
      </c>
    </row>
    <row r="126" spans="1:21" ht="30" customHeight="1" x14ac:dyDescent="0.25">
      <c r="A126" s="860"/>
      <c r="B126" s="855"/>
      <c r="C126" s="585"/>
      <c r="D126" s="1590"/>
      <c r="E126" s="863"/>
      <c r="F126" s="333"/>
      <c r="G126" s="893"/>
      <c r="H126" s="889"/>
      <c r="I126" s="102"/>
      <c r="J126" s="893"/>
      <c r="K126" s="889"/>
      <c r="L126" s="102"/>
      <c r="M126" s="893"/>
      <c r="N126" s="889"/>
      <c r="O126" s="102"/>
      <c r="P126" s="14" t="s">
        <v>160</v>
      </c>
      <c r="Q126" s="1344" t="s">
        <v>383</v>
      </c>
      <c r="R126" s="1506">
        <v>100</v>
      </c>
      <c r="S126" s="361"/>
      <c r="T126" s="1782"/>
    </row>
    <row r="127" spans="1:21" ht="13.5" customHeight="1" x14ac:dyDescent="0.25">
      <c r="A127" s="860"/>
      <c r="B127" s="859"/>
      <c r="C127" s="123"/>
      <c r="D127" s="1589" t="s">
        <v>341</v>
      </c>
      <c r="E127" s="323"/>
      <c r="F127" s="334"/>
      <c r="G127" s="892"/>
      <c r="H127" s="888"/>
      <c r="I127" s="113"/>
      <c r="J127" s="892"/>
      <c r="K127" s="888"/>
      <c r="L127" s="113"/>
      <c r="M127" s="892"/>
      <c r="N127" s="888"/>
      <c r="O127" s="113"/>
      <c r="P127" s="454" t="s">
        <v>225</v>
      </c>
      <c r="Q127" s="1080">
        <v>1</v>
      </c>
      <c r="R127" s="259"/>
      <c r="S127" s="362"/>
      <c r="T127" s="309"/>
      <c r="U127" s="271"/>
    </row>
    <row r="128" spans="1:21" ht="25.5" customHeight="1" x14ac:dyDescent="0.25">
      <c r="A128" s="860"/>
      <c r="B128" s="859"/>
      <c r="C128" s="123"/>
      <c r="D128" s="1590"/>
      <c r="E128" s="220"/>
      <c r="F128" s="335"/>
      <c r="G128" s="893"/>
      <c r="H128" s="889"/>
      <c r="I128" s="102"/>
      <c r="J128" s="893"/>
      <c r="K128" s="889"/>
      <c r="L128" s="102"/>
      <c r="M128" s="893"/>
      <c r="N128" s="889"/>
      <c r="O128" s="102"/>
      <c r="P128" s="14" t="s">
        <v>226</v>
      </c>
      <c r="Q128" s="1019"/>
      <c r="R128" s="29">
        <v>100</v>
      </c>
      <c r="S128" s="29"/>
      <c r="T128" s="16"/>
    </row>
    <row r="129" spans="1:22" ht="17.25" customHeight="1" x14ac:dyDescent="0.25">
      <c r="A129" s="860"/>
      <c r="B129" s="855"/>
      <c r="C129" s="856"/>
      <c r="D129" s="857" t="s">
        <v>191</v>
      </c>
      <c r="E129" s="323"/>
      <c r="F129" s="318"/>
      <c r="G129" s="319"/>
      <c r="H129" s="304"/>
      <c r="I129" s="56"/>
      <c r="J129" s="892"/>
      <c r="K129" s="888"/>
      <c r="L129" s="113"/>
      <c r="M129" s="892"/>
      <c r="N129" s="888"/>
      <c r="O129" s="35"/>
      <c r="P129" s="1484" t="s">
        <v>43</v>
      </c>
      <c r="Q129" s="1018">
        <v>3</v>
      </c>
      <c r="R129" s="223"/>
      <c r="S129" s="223"/>
      <c r="T129" s="155"/>
      <c r="U129" s="399"/>
    </row>
    <row r="130" spans="1:22" ht="24.75" customHeight="1" x14ac:dyDescent="0.25">
      <c r="A130" s="885"/>
      <c r="B130" s="886"/>
      <c r="C130" s="880"/>
      <c r="D130" s="320" t="s">
        <v>342</v>
      </c>
      <c r="E130" s="1655"/>
      <c r="F130" s="315"/>
      <c r="G130" s="56"/>
      <c r="H130" s="127"/>
      <c r="I130" s="56"/>
      <c r="J130" s="45"/>
      <c r="K130" s="127"/>
      <c r="L130" s="35"/>
      <c r="M130" s="45"/>
      <c r="N130" s="127"/>
      <c r="O130" s="35"/>
      <c r="P130" s="1548" t="s">
        <v>251</v>
      </c>
      <c r="Q130" s="1081"/>
      <c r="R130" s="392">
        <v>100</v>
      </c>
      <c r="S130" s="392"/>
      <c r="T130" s="1237"/>
    </row>
    <row r="131" spans="1:22" ht="15" customHeight="1" x14ac:dyDescent="0.25">
      <c r="A131" s="885"/>
      <c r="B131" s="886"/>
      <c r="C131" s="880"/>
      <c r="D131" s="320" t="s">
        <v>192</v>
      </c>
      <c r="E131" s="1655"/>
      <c r="F131" s="315"/>
      <c r="G131" s="50"/>
      <c r="H131" s="856"/>
      <c r="I131" s="50"/>
      <c r="J131" s="765"/>
      <c r="K131" s="856"/>
      <c r="L131" s="772"/>
      <c r="M131" s="765"/>
      <c r="N131" s="856"/>
      <c r="O131" s="772"/>
      <c r="P131" s="1831"/>
      <c r="Q131" s="1082"/>
      <c r="R131" s="355"/>
      <c r="S131" s="355"/>
      <c r="T131" s="1237"/>
    </row>
    <row r="132" spans="1:22" ht="27" customHeight="1" x14ac:dyDescent="0.25">
      <c r="A132" s="885"/>
      <c r="B132" s="886"/>
      <c r="C132" s="880"/>
      <c r="D132" s="867" t="s">
        <v>193</v>
      </c>
      <c r="E132" s="1656"/>
      <c r="F132" s="316"/>
      <c r="G132" s="89"/>
      <c r="H132" s="889"/>
      <c r="I132" s="89"/>
      <c r="J132" s="893"/>
      <c r="K132" s="889"/>
      <c r="L132" s="35"/>
      <c r="M132" s="45"/>
      <c r="N132" s="127"/>
      <c r="O132" s="35"/>
      <c r="P132" s="14" t="s">
        <v>252</v>
      </c>
      <c r="Q132" s="1083"/>
      <c r="R132" s="192"/>
      <c r="S132" s="192">
        <v>100</v>
      </c>
      <c r="T132" s="801"/>
    </row>
    <row r="133" spans="1:22" ht="17.25" customHeight="1" x14ac:dyDescent="0.25">
      <c r="A133" s="860"/>
      <c r="B133" s="859"/>
      <c r="C133" s="55"/>
      <c r="D133" s="1589" t="s">
        <v>228</v>
      </c>
      <c r="E133" s="323"/>
      <c r="F133" s="334"/>
      <c r="G133" s="892"/>
      <c r="H133" s="888"/>
      <c r="I133" s="201"/>
      <c r="J133" s="68"/>
      <c r="K133" s="888"/>
      <c r="L133" s="113"/>
      <c r="M133" s="892"/>
      <c r="N133" s="888"/>
      <c r="O133" s="113"/>
      <c r="P133" s="431" t="s">
        <v>71</v>
      </c>
      <c r="Q133" s="1080">
        <v>1</v>
      </c>
      <c r="R133" s="259"/>
      <c r="S133" s="259"/>
      <c r="T133" s="1476"/>
      <c r="U133" s="399"/>
    </row>
    <row r="134" spans="1:22" ht="28.5" customHeight="1" x14ac:dyDescent="0.25">
      <c r="A134" s="860"/>
      <c r="B134" s="859"/>
      <c r="C134" s="55"/>
      <c r="D134" s="1590"/>
      <c r="E134" s="220"/>
      <c r="F134" s="335"/>
      <c r="G134" s="893"/>
      <c r="H134" s="889"/>
      <c r="I134" s="26"/>
      <c r="J134" s="89"/>
      <c r="K134" s="889"/>
      <c r="L134" s="102"/>
      <c r="M134" s="893"/>
      <c r="N134" s="889"/>
      <c r="O134" s="102"/>
      <c r="P134" s="14" t="s">
        <v>229</v>
      </c>
      <c r="Q134" s="1019"/>
      <c r="R134" s="29">
        <v>50</v>
      </c>
      <c r="S134" s="29">
        <v>100</v>
      </c>
      <c r="T134" s="16"/>
    </row>
    <row r="135" spans="1:22" ht="16.5" customHeight="1" x14ac:dyDescent="0.25">
      <c r="A135" s="860"/>
      <c r="B135" s="859"/>
      <c r="C135" s="55"/>
      <c r="D135" s="1589" t="s">
        <v>230</v>
      </c>
      <c r="E135" s="323"/>
      <c r="F135" s="334"/>
      <c r="G135" s="892"/>
      <c r="H135" s="888"/>
      <c r="I135" s="201"/>
      <c r="J135" s="68"/>
      <c r="K135" s="888"/>
      <c r="L135" s="68"/>
      <c r="M135" s="892"/>
      <c r="N135" s="888"/>
      <c r="O135" s="113"/>
      <c r="P135" s="1475" t="s">
        <v>231</v>
      </c>
      <c r="Q135" s="1084">
        <v>10</v>
      </c>
      <c r="R135" s="456">
        <v>10</v>
      </c>
      <c r="S135" s="456">
        <v>10</v>
      </c>
      <c r="T135" s="786"/>
    </row>
    <row r="136" spans="1:22" ht="12.75" customHeight="1" x14ac:dyDescent="0.25">
      <c r="A136" s="860"/>
      <c r="B136" s="859"/>
      <c r="C136" s="55"/>
      <c r="D136" s="1590"/>
      <c r="E136" s="220"/>
      <c r="F136" s="27"/>
      <c r="G136" s="910"/>
      <c r="H136" s="909"/>
      <c r="I136" s="26"/>
      <c r="J136" s="89"/>
      <c r="K136" s="889"/>
      <c r="L136" s="89"/>
      <c r="M136" s="893"/>
      <c r="N136" s="889"/>
      <c r="O136" s="102"/>
      <c r="P136" s="14"/>
      <c r="Q136" s="1240"/>
      <c r="R136" s="436"/>
      <c r="S136" s="436"/>
      <c r="T136" s="785"/>
    </row>
    <row r="137" spans="1:22" ht="14.25" customHeight="1" thickBot="1" x14ac:dyDescent="0.3">
      <c r="A137" s="610"/>
      <c r="B137" s="611"/>
      <c r="C137" s="609"/>
      <c r="D137" s="469"/>
      <c r="E137" s="470"/>
      <c r="F137" s="103" t="s">
        <v>5</v>
      </c>
      <c r="G137" s="116">
        <f t="shared" ref="G137:O137" si="6">SUM(G13:G25)</f>
        <v>22758.3</v>
      </c>
      <c r="H137" s="1340">
        <f t="shared" si="6"/>
        <v>24498.400000000001</v>
      </c>
      <c r="I137" s="1326">
        <f t="shared" si="6"/>
        <v>1740.1</v>
      </c>
      <c r="J137" s="1341">
        <f t="shared" si="6"/>
        <v>25581.1</v>
      </c>
      <c r="K137" s="105">
        <f t="shared" si="6"/>
        <v>36479.300000000003</v>
      </c>
      <c r="L137" s="106">
        <f t="shared" si="6"/>
        <v>10898.2</v>
      </c>
      <c r="M137" s="116">
        <f t="shared" si="6"/>
        <v>23312.3</v>
      </c>
      <c r="N137" s="105">
        <f t="shared" si="6"/>
        <v>35822.400000000001</v>
      </c>
      <c r="O137" s="106">
        <f t="shared" si="6"/>
        <v>12510.1</v>
      </c>
      <c r="P137" s="1342"/>
      <c r="Q137" s="1085"/>
      <c r="R137" s="108"/>
      <c r="S137" s="108"/>
      <c r="T137" s="1331"/>
    </row>
    <row r="138" spans="1:22" ht="14.25" customHeight="1" thickBot="1" x14ac:dyDescent="0.3">
      <c r="A138" s="42" t="s">
        <v>4</v>
      </c>
      <c r="B138" s="138" t="s">
        <v>4</v>
      </c>
      <c r="C138" s="1648" t="s">
        <v>7</v>
      </c>
      <c r="D138" s="1649"/>
      <c r="E138" s="1649"/>
      <c r="F138" s="1649"/>
      <c r="G138" s="170">
        <f t="shared" ref="G138:M138" si="7">G137</f>
        <v>22758.3</v>
      </c>
      <c r="H138" s="138">
        <f t="shared" ref="H138:I138" si="8">H137</f>
        <v>24498.400000000001</v>
      </c>
      <c r="I138" s="1339">
        <f t="shared" si="8"/>
        <v>1740.1</v>
      </c>
      <c r="J138" s="614">
        <f t="shared" si="7"/>
        <v>25581.1</v>
      </c>
      <c r="K138" s="43">
        <f t="shared" ref="K138:L138" si="9">K137</f>
        <v>36479.300000000003</v>
      </c>
      <c r="L138" s="43">
        <f t="shared" si="9"/>
        <v>10898.2</v>
      </c>
      <c r="M138" s="170">
        <f t="shared" si="7"/>
        <v>23312.3</v>
      </c>
      <c r="N138" s="43">
        <f t="shared" ref="N138:O138" si="10">N137</f>
        <v>35822.400000000001</v>
      </c>
      <c r="O138" s="43">
        <f t="shared" si="10"/>
        <v>12510.1</v>
      </c>
      <c r="P138" s="907"/>
      <c r="Q138" s="1086"/>
      <c r="R138" s="907"/>
      <c r="S138" s="907"/>
      <c r="T138" s="908"/>
      <c r="U138" s="30"/>
      <c r="V138" s="30"/>
    </row>
    <row r="139" spans="1:22" ht="14.25" customHeight="1" thickBot="1" x14ac:dyDescent="0.3">
      <c r="A139" s="42" t="s">
        <v>4</v>
      </c>
      <c r="B139" s="138" t="s">
        <v>6</v>
      </c>
      <c r="C139" s="1650" t="s">
        <v>29</v>
      </c>
      <c r="D139" s="1650"/>
      <c r="E139" s="1650"/>
      <c r="F139" s="1650"/>
      <c r="G139" s="1651"/>
      <c r="H139" s="1651"/>
      <c r="I139" s="1651"/>
      <c r="J139" s="1651"/>
      <c r="K139" s="1651"/>
      <c r="L139" s="1651"/>
      <c r="M139" s="1651"/>
      <c r="N139" s="1651"/>
      <c r="O139" s="1651"/>
      <c r="P139" s="1650"/>
      <c r="Q139" s="1652"/>
      <c r="R139" s="1652"/>
      <c r="S139" s="1652"/>
      <c r="T139" s="1653"/>
      <c r="U139" s="30"/>
    </row>
    <row r="140" spans="1:22" ht="56.25" customHeight="1" x14ac:dyDescent="0.25">
      <c r="A140" s="750" t="s">
        <v>4</v>
      </c>
      <c r="B140" s="137" t="s">
        <v>6</v>
      </c>
      <c r="C140" s="353" t="s">
        <v>4</v>
      </c>
      <c r="D140" s="1658" t="s">
        <v>50</v>
      </c>
      <c r="E140" s="1661" t="s">
        <v>294</v>
      </c>
      <c r="F140" s="1356" t="s">
        <v>23</v>
      </c>
      <c r="G140" s="1357">
        <f>3489.3+300+695.1</f>
        <v>4484.3999999999996</v>
      </c>
      <c r="H140" s="1357">
        <f>3489.3+300+695.1+408.2</f>
        <v>4892.6000000000004</v>
      </c>
      <c r="I140" s="1227">
        <f>+H140-G140</f>
        <v>408.2</v>
      </c>
      <c r="J140" s="121">
        <v>5773.2</v>
      </c>
      <c r="K140" s="104">
        <v>5773.2</v>
      </c>
      <c r="L140" s="122"/>
      <c r="M140" s="121">
        <v>5913.2</v>
      </c>
      <c r="N140" s="104">
        <v>5913.2</v>
      </c>
      <c r="O140" s="174"/>
      <c r="P140" s="343"/>
      <c r="Q140" s="1087"/>
      <c r="R140" s="617"/>
      <c r="S140" s="617"/>
      <c r="T140" s="1779" t="s">
        <v>420</v>
      </c>
    </row>
    <row r="141" spans="1:22" ht="56.25" customHeight="1" x14ac:dyDescent="0.25">
      <c r="A141" s="854"/>
      <c r="B141" s="859"/>
      <c r="C141" s="906"/>
      <c r="D141" s="1659"/>
      <c r="E141" s="1577"/>
      <c r="F141" s="36" t="s">
        <v>53</v>
      </c>
      <c r="G141" s="56">
        <v>2001.8</v>
      </c>
      <c r="H141" s="127">
        <f>2001.8-230+230</f>
        <v>2001.8</v>
      </c>
      <c r="I141" s="1220"/>
      <c r="J141" s="45"/>
      <c r="K141" s="127"/>
      <c r="L141" s="35"/>
      <c r="M141" s="45"/>
      <c r="N141" s="127"/>
      <c r="O141" s="35"/>
      <c r="P141" s="224"/>
      <c r="Q141" s="1068"/>
      <c r="R141" s="217"/>
      <c r="S141" s="217"/>
      <c r="T141" s="1780"/>
    </row>
    <row r="142" spans="1:22" ht="56.25" customHeight="1" x14ac:dyDescent="0.25">
      <c r="A142" s="854"/>
      <c r="B142" s="859"/>
      <c r="C142" s="906"/>
      <c r="D142" s="1659"/>
      <c r="E142" s="1577"/>
      <c r="F142" s="36" t="s">
        <v>61</v>
      </c>
      <c r="G142" s="127">
        <f>635.7-17.9</f>
        <v>617.79999999999995</v>
      </c>
      <c r="H142" s="127">
        <f>635.7-17.9</f>
        <v>617.79999999999995</v>
      </c>
      <c r="I142" s="1112"/>
      <c r="J142" s="73">
        <f>350+43.2</f>
        <v>393.2</v>
      </c>
      <c r="K142" s="127">
        <f>350+43.2</f>
        <v>393.2</v>
      </c>
      <c r="L142" s="1112"/>
      <c r="M142" s="45">
        <v>600</v>
      </c>
      <c r="N142" s="127">
        <v>600</v>
      </c>
      <c r="O142" s="35"/>
      <c r="P142" s="224"/>
      <c r="Q142" s="1068"/>
      <c r="R142" s="217"/>
      <c r="S142" s="217"/>
      <c r="T142" s="1780"/>
    </row>
    <row r="143" spans="1:22" ht="56.25" customHeight="1" x14ac:dyDescent="0.25">
      <c r="A143" s="854"/>
      <c r="B143" s="859"/>
      <c r="C143" s="906"/>
      <c r="D143" s="1660"/>
      <c r="E143" s="726"/>
      <c r="F143" s="36"/>
      <c r="G143" s="56"/>
      <c r="H143" s="1199"/>
      <c r="I143" s="56"/>
      <c r="J143" s="45"/>
      <c r="K143" s="1199"/>
      <c r="L143" s="1112"/>
      <c r="M143" s="45"/>
      <c r="N143" s="1199"/>
      <c r="O143" s="35"/>
      <c r="P143" s="224"/>
      <c r="Q143" s="1068"/>
      <c r="R143" s="217"/>
      <c r="S143" s="217"/>
      <c r="T143" s="1781"/>
    </row>
    <row r="144" spans="1:22" ht="14.25" customHeight="1" x14ac:dyDescent="0.25">
      <c r="A144" s="854"/>
      <c r="B144" s="859"/>
      <c r="C144" s="856"/>
      <c r="D144" s="871" t="s">
        <v>46</v>
      </c>
      <c r="E144" s="868"/>
      <c r="F144" s="1312"/>
      <c r="G144" s="68"/>
      <c r="H144" s="1315"/>
      <c r="I144" s="1225"/>
      <c r="J144" s="156"/>
      <c r="K144" s="349"/>
      <c r="L144" s="350"/>
      <c r="M144" s="156"/>
      <c r="N144" s="349"/>
      <c r="O144" s="358"/>
      <c r="P144" s="427"/>
      <c r="Q144" s="1088"/>
      <c r="R144" s="434"/>
      <c r="S144" s="434"/>
      <c r="T144" s="1113"/>
    </row>
    <row r="145" spans="1:21" ht="12.75" customHeight="1" x14ac:dyDescent="0.25">
      <c r="A145" s="854"/>
      <c r="B145" s="859"/>
      <c r="C145" s="856"/>
      <c r="D145" s="1654" t="s">
        <v>65</v>
      </c>
      <c r="E145" s="1345" t="s">
        <v>246</v>
      </c>
      <c r="F145" s="41" t="s">
        <v>385</v>
      </c>
      <c r="G145" s="1117">
        <v>2353.1999999999998</v>
      </c>
      <c r="H145" s="304">
        <f>2353.2</f>
        <v>2353.1999999999998</v>
      </c>
      <c r="I145" s="24"/>
      <c r="J145" s="45"/>
      <c r="K145" s="127"/>
      <c r="L145" s="35"/>
      <c r="M145" s="45"/>
      <c r="N145" s="127"/>
      <c r="O145" s="35"/>
      <c r="P145" s="763" t="s">
        <v>38</v>
      </c>
      <c r="Q145" s="1317" t="s">
        <v>396</v>
      </c>
      <c r="R145" s="1059" t="s">
        <v>398</v>
      </c>
      <c r="S145" s="114" t="s">
        <v>398</v>
      </c>
      <c r="T145" s="1780"/>
      <c r="U145" s="399"/>
    </row>
    <row r="146" spans="1:21" ht="14.25" customHeight="1" x14ac:dyDescent="0.25">
      <c r="A146" s="854"/>
      <c r="B146" s="859"/>
      <c r="C146" s="856"/>
      <c r="D146" s="1654"/>
      <c r="E146" s="1349"/>
      <c r="F146" s="38"/>
      <c r="G146" s="77"/>
      <c r="H146" s="1110"/>
      <c r="I146" s="1350"/>
      <c r="J146" s="85"/>
      <c r="K146" s="380"/>
      <c r="L146" s="69"/>
      <c r="M146" s="85"/>
      <c r="N146" s="380"/>
      <c r="O146" s="381"/>
      <c r="P146" s="789"/>
      <c r="Q146" s="307"/>
      <c r="R146" s="176"/>
      <c r="S146" s="420"/>
      <c r="T146" s="1780"/>
    </row>
    <row r="147" spans="1:21" ht="25.5" customHeight="1" x14ac:dyDescent="0.25">
      <c r="A147" s="854"/>
      <c r="B147" s="859"/>
      <c r="C147" s="856"/>
      <c r="D147" s="1662" t="s">
        <v>66</v>
      </c>
      <c r="E147" s="874"/>
      <c r="F147" s="36"/>
      <c r="G147" s="56"/>
      <c r="H147" s="1006"/>
      <c r="I147" s="1109"/>
      <c r="J147" s="45"/>
      <c r="K147" s="127"/>
      <c r="L147" s="56"/>
      <c r="M147" s="45"/>
      <c r="N147" s="127"/>
      <c r="O147" s="35"/>
      <c r="P147" s="894" t="s">
        <v>101</v>
      </c>
      <c r="Q147" s="1083" t="s">
        <v>379</v>
      </c>
      <c r="R147" s="23">
        <v>3.2</v>
      </c>
      <c r="S147" s="250">
        <v>3.2</v>
      </c>
      <c r="T147" s="1780"/>
    </row>
    <row r="148" spans="1:21" ht="28.5" customHeight="1" x14ac:dyDescent="0.25">
      <c r="A148" s="854"/>
      <c r="B148" s="859"/>
      <c r="C148" s="856"/>
      <c r="D148" s="1663"/>
      <c r="E148" s="1351"/>
      <c r="F148" s="38"/>
      <c r="G148" s="69"/>
      <c r="H148" s="1110"/>
      <c r="I148" s="1111"/>
      <c r="J148" s="85"/>
      <c r="K148" s="380"/>
      <c r="L148" s="69"/>
      <c r="M148" s="85"/>
      <c r="N148" s="380"/>
      <c r="O148" s="381"/>
      <c r="P148" s="790" t="s">
        <v>196</v>
      </c>
      <c r="Q148" s="1013" t="s">
        <v>399</v>
      </c>
      <c r="R148" s="380">
        <v>2</v>
      </c>
      <c r="S148" s="443">
        <v>2</v>
      </c>
      <c r="T148" s="1780"/>
    </row>
    <row r="149" spans="1:21" ht="26.25" customHeight="1" x14ac:dyDescent="0.25">
      <c r="A149" s="854"/>
      <c r="B149" s="859"/>
      <c r="C149" s="856"/>
      <c r="D149" s="144" t="s">
        <v>67</v>
      </c>
      <c r="E149" s="1352"/>
      <c r="F149" s="34"/>
      <c r="G149" s="110"/>
      <c r="H149" s="1338"/>
      <c r="I149" s="1353"/>
      <c r="J149" s="78"/>
      <c r="K149" s="383"/>
      <c r="L149" s="110"/>
      <c r="M149" s="78"/>
      <c r="N149" s="383"/>
      <c r="O149" s="384"/>
      <c r="P149" s="547" t="s">
        <v>102</v>
      </c>
      <c r="Q149" s="1236" t="s">
        <v>310</v>
      </c>
      <c r="R149" s="443">
        <v>20.5</v>
      </c>
      <c r="S149" s="379">
        <v>20.5</v>
      </c>
      <c r="T149" s="1780"/>
    </row>
    <row r="150" spans="1:21" ht="30" customHeight="1" x14ac:dyDescent="0.25">
      <c r="A150" s="854"/>
      <c r="B150" s="859"/>
      <c r="C150" s="856"/>
      <c r="D150" s="144" t="s">
        <v>304</v>
      </c>
      <c r="E150" s="874"/>
      <c r="F150" s="38"/>
      <c r="G150" s="69"/>
      <c r="H150" s="1110"/>
      <c r="I150" s="1111"/>
      <c r="J150" s="85"/>
      <c r="K150" s="380"/>
      <c r="L150" s="69"/>
      <c r="M150" s="85"/>
      <c r="N150" s="380"/>
      <c r="O150" s="381"/>
      <c r="P150" s="447" t="s">
        <v>305</v>
      </c>
      <c r="Q150" s="307" t="s">
        <v>49</v>
      </c>
      <c r="R150" s="808" t="s">
        <v>49</v>
      </c>
      <c r="S150" s="834" t="s">
        <v>49</v>
      </c>
      <c r="T150" s="1108"/>
    </row>
    <row r="151" spans="1:21" ht="15.75" customHeight="1" x14ac:dyDescent="0.25">
      <c r="A151" s="854"/>
      <c r="B151" s="859"/>
      <c r="C151" s="856"/>
      <c r="D151" s="1640" t="s">
        <v>95</v>
      </c>
      <c r="E151" s="874"/>
      <c r="F151" s="36"/>
      <c r="G151" s="56"/>
      <c r="H151" s="1006"/>
      <c r="I151" s="1109"/>
      <c r="J151" s="45"/>
      <c r="K151" s="127"/>
      <c r="L151" s="56"/>
      <c r="M151" s="45"/>
      <c r="N151" s="304"/>
      <c r="O151" s="305"/>
      <c r="P151" s="1838" t="s">
        <v>186</v>
      </c>
      <c r="Q151" s="1314">
        <v>2</v>
      </c>
      <c r="R151" s="223">
        <v>6</v>
      </c>
      <c r="S151" s="223">
        <v>6</v>
      </c>
      <c r="T151" s="1785"/>
    </row>
    <row r="152" spans="1:21" ht="14.25" customHeight="1" x14ac:dyDescent="0.25">
      <c r="A152" s="854"/>
      <c r="B152" s="859"/>
      <c r="C152" s="856"/>
      <c r="D152" s="1603"/>
      <c r="E152" s="874"/>
      <c r="F152" s="36"/>
      <c r="G152" s="56"/>
      <c r="H152" s="127"/>
      <c r="I152" s="56"/>
      <c r="J152" s="45"/>
      <c r="K152" s="127"/>
      <c r="L152" s="56"/>
      <c r="M152" s="45"/>
      <c r="N152" s="127"/>
      <c r="O152" s="35"/>
      <c r="P152" s="1839"/>
      <c r="R152" s="884"/>
      <c r="S152" s="884"/>
      <c r="T152" s="1835"/>
    </row>
    <row r="153" spans="1:21" ht="10.5" customHeight="1" x14ac:dyDescent="0.25">
      <c r="A153" s="854"/>
      <c r="B153" s="859"/>
      <c r="C153" s="856"/>
      <c r="D153" s="1603"/>
      <c r="E153" s="878"/>
      <c r="F153" s="36"/>
      <c r="G153" s="56"/>
      <c r="H153" s="127"/>
      <c r="I153" s="56"/>
      <c r="J153" s="45"/>
      <c r="K153" s="127"/>
      <c r="L153" s="56"/>
      <c r="M153" s="45"/>
      <c r="N153" s="889"/>
      <c r="O153" s="102"/>
      <c r="P153" s="1625"/>
      <c r="Q153" s="114"/>
      <c r="R153" s="884"/>
      <c r="S153" s="884"/>
      <c r="T153" s="1782"/>
    </row>
    <row r="154" spans="1:21" ht="14.25" customHeight="1" x14ac:dyDescent="0.25">
      <c r="A154" s="854"/>
      <c r="B154" s="859"/>
      <c r="C154" s="1127"/>
      <c r="D154" s="1128" t="s">
        <v>111</v>
      </c>
      <c r="E154" s="868"/>
      <c r="F154" s="1051"/>
      <c r="G154" s="84"/>
      <c r="H154" s="97"/>
      <c r="I154" s="197"/>
      <c r="J154" s="84"/>
      <c r="K154" s="97"/>
      <c r="L154" s="197"/>
      <c r="M154" s="84"/>
      <c r="N154" s="100"/>
      <c r="O154" s="791"/>
      <c r="P154" s="869"/>
      <c r="Q154" s="1090"/>
      <c r="R154" s="98"/>
      <c r="S154" s="98"/>
      <c r="T154" s="1120"/>
    </row>
    <row r="155" spans="1:21" ht="54.75" customHeight="1" x14ac:dyDescent="0.25">
      <c r="A155" s="854"/>
      <c r="B155" s="859"/>
      <c r="C155" s="111" t="s">
        <v>4</v>
      </c>
      <c r="D155" s="143" t="s">
        <v>257</v>
      </c>
      <c r="E155" s="868"/>
      <c r="F155" s="45"/>
      <c r="G155" s="45"/>
      <c r="H155" s="380"/>
      <c r="I155" s="442"/>
      <c r="J155" s="85"/>
      <c r="K155" s="380"/>
      <c r="L155" s="69"/>
      <c r="M155" s="85"/>
      <c r="N155" s="380"/>
      <c r="O155" s="381"/>
      <c r="P155" s="548" t="s">
        <v>109</v>
      </c>
      <c r="Q155" s="253"/>
      <c r="R155" s="176">
        <v>21</v>
      </c>
      <c r="S155" s="176">
        <v>21</v>
      </c>
      <c r="T155" s="1121"/>
    </row>
    <row r="156" spans="1:21" ht="27.75" customHeight="1" x14ac:dyDescent="0.25">
      <c r="A156" s="913"/>
      <c r="B156" s="914"/>
      <c r="C156" s="1018" t="s">
        <v>6</v>
      </c>
      <c r="D156" s="1832" t="s">
        <v>362</v>
      </c>
      <c r="E156" s="1354"/>
      <c r="F156" s="831" t="s">
        <v>385</v>
      </c>
      <c r="G156" s="1348">
        <v>1433.3</v>
      </c>
      <c r="H156" s="1006">
        <f>1433.3+43.9+391.7</f>
        <v>1868.9</v>
      </c>
      <c r="I156" s="1006">
        <f>H156-G156</f>
        <v>435.6</v>
      </c>
      <c r="J156" s="303"/>
      <c r="K156" s="304"/>
      <c r="L156" s="319"/>
      <c r="M156" s="303"/>
      <c r="N156" s="304"/>
      <c r="O156" s="305"/>
      <c r="P156" s="1833" t="s">
        <v>109</v>
      </c>
      <c r="Q156" s="205">
        <v>58</v>
      </c>
      <c r="R156" s="223"/>
      <c r="S156" s="222"/>
      <c r="T156" s="1785"/>
    </row>
    <row r="157" spans="1:21" ht="24.75" customHeight="1" x14ac:dyDescent="0.25">
      <c r="A157" s="1028"/>
      <c r="B157" s="1031"/>
      <c r="C157" s="1059"/>
      <c r="D157" s="1832"/>
      <c r="E157" s="1033"/>
      <c r="F157" s="38"/>
      <c r="G157" s="77"/>
      <c r="H157" s="1006"/>
      <c r="I157" s="1346"/>
      <c r="J157" s="45"/>
      <c r="K157" s="380"/>
      <c r="L157" s="442"/>
      <c r="M157" s="45"/>
      <c r="N157" s="127"/>
      <c r="O157" s="35"/>
      <c r="P157" s="1834"/>
      <c r="Q157" s="1311"/>
      <c r="R157" s="1048"/>
      <c r="S157" s="1048"/>
      <c r="T157" s="1835"/>
    </row>
    <row r="158" spans="1:21" ht="22.5" customHeight="1" x14ac:dyDescent="0.25">
      <c r="A158" s="854"/>
      <c r="B158" s="859"/>
      <c r="C158" s="1018" t="s">
        <v>26</v>
      </c>
      <c r="D158" s="1836" t="s">
        <v>112</v>
      </c>
      <c r="E158" s="1033"/>
      <c r="F158" s="36"/>
      <c r="G158" s="56"/>
      <c r="H158" s="304"/>
      <c r="I158" s="615"/>
      <c r="J158" s="1117"/>
      <c r="K158" s="127"/>
      <c r="L158" s="56"/>
      <c r="M158" s="1117"/>
      <c r="N158" s="304"/>
      <c r="O158" s="615"/>
      <c r="P158" s="1833" t="s">
        <v>138</v>
      </c>
      <c r="Q158" s="1081">
        <v>18</v>
      </c>
      <c r="R158" s="1330">
        <v>18</v>
      </c>
      <c r="S158" s="1330">
        <v>18</v>
      </c>
      <c r="T158" s="1115"/>
    </row>
    <row r="159" spans="1:21" ht="18.75" customHeight="1" x14ac:dyDescent="0.25">
      <c r="A159" s="1028"/>
      <c r="B159" s="1031"/>
      <c r="C159" s="1013"/>
      <c r="D159" s="1836"/>
      <c r="E159" s="624"/>
      <c r="F159" s="38"/>
      <c r="G159" s="69"/>
      <c r="H159" s="380"/>
      <c r="I159" s="382"/>
      <c r="J159" s="85"/>
      <c r="K159" s="380"/>
      <c r="L159" s="69"/>
      <c r="M159" s="85"/>
      <c r="N159" s="380"/>
      <c r="O159" s="381"/>
      <c r="P159" s="1837"/>
      <c r="Q159" s="1122"/>
      <c r="R159" s="1123"/>
      <c r="S159" s="1123"/>
      <c r="T159" s="1124"/>
    </row>
    <row r="160" spans="1:21" ht="29.25" customHeight="1" x14ac:dyDescent="0.25">
      <c r="A160" s="1028"/>
      <c r="B160" s="1031"/>
      <c r="C160" s="1018" t="s">
        <v>30</v>
      </c>
      <c r="D160" s="1644" t="s">
        <v>370</v>
      </c>
      <c r="E160" s="1242" t="s">
        <v>246</v>
      </c>
      <c r="F160" s="1243"/>
      <c r="G160" s="1244"/>
      <c r="H160" s="1245"/>
      <c r="I160" s="1244"/>
      <c r="J160" s="1246"/>
      <c r="K160" s="1245"/>
      <c r="L160" s="1247"/>
      <c r="M160" s="1248"/>
      <c r="N160" s="1245"/>
      <c r="O160" s="1247"/>
      <c r="P160" s="1319" t="s">
        <v>376</v>
      </c>
      <c r="Q160" s="1018" t="s">
        <v>366</v>
      </c>
      <c r="R160" s="222">
        <v>2</v>
      </c>
      <c r="S160" s="223">
        <v>2</v>
      </c>
      <c r="T160" s="1785"/>
    </row>
    <row r="161" spans="1:21" ht="13.5" customHeight="1" x14ac:dyDescent="0.25">
      <c r="A161" s="1238"/>
      <c r="B161" s="1239"/>
      <c r="C161" s="1240"/>
      <c r="D161" s="1845"/>
      <c r="E161" s="1249"/>
      <c r="F161" s="1250"/>
      <c r="G161" s="1251"/>
      <c r="H161" s="1252"/>
      <c r="I161" s="1251"/>
      <c r="J161" s="1253"/>
      <c r="K161" s="1252"/>
      <c r="L161" s="1251"/>
      <c r="M161" s="1253"/>
      <c r="N161" s="1252"/>
      <c r="O161" s="1254"/>
      <c r="P161" s="1241"/>
      <c r="Q161" s="1136"/>
      <c r="R161" s="1008"/>
      <c r="S161" s="1008"/>
      <c r="T161" s="1782"/>
    </row>
    <row r="162" spans="1:21" ht="18" customHeight="1" x14ac:dyDescent="0.25">
      <c r="A162" s="1586"/>
      <c r="B162" s="1587"/>
      <c r="C162" s="1588"/>
      <c r="D162" s="1575" t="s">
        <v>39</v>
      </c>
      <c r="E162" s="1666"/>
      <c r="F162" s="36"/>
      <c r="G162" s="56"/>
      <c r="H162" s="127"/>
      <c r="I162" s="65"/>
      <c r="J162" s="45"/>
      <c r="K162" s="127"/>
      <c r="L162" s="56"/>
      <c r="M162" s="45"/>
      <c r="N162" s="127"/>
      <c r="O162" s="35"/>
      <c r="P162" s="1629" t="s">
        <v>48</v>
      </c>
      <c r="Q162" s="1668">
        <v>7</v>
      </c>
      <c r="R162" s="1668" t="s">
        <v>215</v>
      </c>
      <c r="S162" s="1793" t="s">
        <v>216</v>
      </c>
      <c r="T162" s="1799"/>
    </row>
    <row r="163" spans="1:21" ht="13.5" customHeight="1" x14ac:dyDescent="0.25">
      <c r="A163" s="1586"/>
      <c r="B163" s="1587"/>
      <c r="C163" s="1588"/>
      <c r="D163" s="1576"/>
      <c r="E163" s="1666"/>
      <c r="F163" s="877"/>
      <c r="G163" s="89"/>
      <c r="H163" s="889"/>
      <c r="I163" s="66"/>
      <c r="J163" s="893"/>
      <c r="K163" s="889"/>
      <c r="L163" s="89"/>
      <c r="M163" s="893"/>
      <c r="N163" s="889"/>
      <c r="O163" s="102"/>
      <c r="P163" s="1667"/>
      <c r="Q163" s="1669"/>
      <c r="R163" s="1669"/>
      <c r="S163" s="1794"/>
      <c r="T163" s="1671"/>
    </row>
    <row r="164" spans="1:21" ht="18" customHeight="1" x14ac:dyDescent="0.25">
      <c r="A164" s="1586"/>
      <c r="B164" s="1591"/>
      <c r="C164" s="1588"/>
      <c r="D164" s="1664" t="s">
        <v>182</v>
      </c>
      <c r="E164" s="1665"/>
      <c r="F164" s="876"/>
      <c r="G164" s="68"/>
      <c r="H164" s="888"/>
      <c r="I164" s="68"/>
      <c r="J164" s="892"/>
      <c r="K164" s="888"/>
      <c r="L164" s="113"/>
      <c r="M164" s="892"/>
      <c r="N164" s="888"/>
      <c r="O164" s="113"/>
      <c r="P164" s="549" t="s">
        <v>119</v>
      </c>
      <c r="Q164" s="491" t="s">
        <v>291</v>
      </c>
      <c r="R164" s="259">
        <v>4</v>
      </c>
      <c r="S164" s="259">
        <v>4</v>
      </c>
      <c r="T164" s="277"/>
    </row>
    <row r="165" spans="1:21" ht="15.75" customHeight="1" x14ac:dyDescent="0.25">
      <c r="A165" s="1586"/>
      <c r="B165" s="1591"/>
      <c r="C165" s="1588"/>
      <c r="D165" s="1633"/>
      <c r="E165" s="1666"/>
      <c r="F165" s="36"/>
      <c r="G165" s="56"/>
      <c r="H165" s="127"/>
      <c r="I165" s="56"/>
      <c r="J165" s="45"/>
      <c r="K165" s="127"/>
      <c r="L165" s="35"/>
      <c r="M165" s="45"/>
      <c r="N165" s="127"/>
      <c r="O165" s="35"/>
      <c r="P165" s="547" t="s">
        <v>136</v>
      </c>
      <c r="Q165" s="474">
        <v>1</v>
      </c>
      <c r="R165" s="96">
        <v>1</v>
      </c>
      <c r="S165" s="203">
        <v>1</v>
      </c>
      <c r="T165" s="421"/>
    </row>
    <row r="166" spans="1:21" ht="25.5" customHeight="1" x14ac:dyDescent="0.25">
      <c r="A166" s="1586"/>
      <c r="B166" s="1591"/>
      <c r="C166" s="1588"/>
      <c r="D166" s="1633"/>
      <c r="E166" s="1666"/>
      <c r="F166" s="36"/>
      <c r="G166" s="56"/>
      <c r="H166" s="127"/>
      <c r="I166" s="56"/>
      <c r="J166" s="45"/>
      <c r="K166" s="127"/>
      <c r="L166" s="35"/>
      <c r="M166" s="45"/>
      <c r="N166" s="127"/>
      <c r="O166" s="35"/>
      <c r="P166" s="894" t="s">
        <v>108</v>
      </c>
      <c r="Q166" s="205">
        <v>1</v>
      </c>
      <c r="R166" s="223">
        <v>1</v>
      </c>
      <c r="S166" s="337">
        <v>1</v>
      </c>
      <c r="T166" s="881"/>
    </row>
    <row r="167" spans="1:21" ht="15" customHeight="1" x14ac:dyDescent="0.25">
      <c r="A167" s="854"/>
      <c r="B167" s="859"/>
      <c r="C167" s="856"/>
      <c r="D167" s="871"/>
      <c r="E167" s="874"/>
      <c r="F167" s="36"/>
      <c r="G167" s="56"/>
      <c r="H167" s="127"/>
      <c r="I167" s="56"/>
      <c r="J167" s="45"/>
      <c r="K167" s="127"/>
      <c r="L167" s="35"/>
      <c r="M167" s="45"/>
      <c r="N167" s="127"/>
      <c r="O167" s="35"/>
      <c r="P167" s="547" t="s">
        <v>162</v>
      </c>
      <c r="Q167" s="474">
        <v>1</v>
      </c>
      <c r="R167" s="96">
        <v>1</v>
      </c>
      <c r="S167" s="203">
        <v>1</v>
      </c>
      <c r="T167" s="20"/>
    </row>
    <row r="168" spans="1:21" ht="15" customHeight="1" x14ac:dyDescent="0.25">
      <c r="A168" s="854"/>
      <c r="B168" s="859"/>
      <c r="C168" s="856"/>
      <c r="D168" s="871"/>
      <c r="E168" s="624"/>
      <c r="F168" s="38"/>
      <c r="G168" s="69"/>
      <c r="H168" s="380"/>
      <c r="I168" s="69"/>
      <c r="J168" s="85"/>
      <c r="K168" s="127"/>
      <c r="L168" s="35"/>
      <c r="M168" s="45"/>
      <c r="N168" s="127"/>
      <c r="O168" s="35"/>
      <c r="P168" s="894" t="s">
        <v>161</v>
      </c>
      <c r="Q168" s="205">
        <v>1</v>
      </c>
      <c r="R168" s="223">
        <v>1</v>
      </c>
      <c r="S168" s="223">
        <v>1</v>
      </c>
      <c r="T168" s="18"/>
    </row>
    <row r="169" spans="1:21" ht="35.25" customHeight="1" x14ac:dyDescent="0.25">
      <c r="A169" s="854"/>
      <c r="B169" s="859"/>
      <c r="C169" s="856"/>
      <c r="D169" s="858"/>
      <c r="E169" s="878" t="s">
        <v>246</v>
      </c>
      <c r="F169" s="36"/>
      <c r="G169" s="69"/>
      <c r="H169" s="1110"/>
      <c r="I169" s="917"/>
      <c r="J169" s="85"/>
      <c r="K169" s="444"/>
      <c r="L169" s="445"/>
      <c r="M169" s="774"/>
      <c r="N169" s="444"/>
      <c r="O169" s="445"/>
      <c r="P169" s="1062"/>
      <c r="Q169" s="1106"/>
      <c r="R169" s="1063"/>
      <c r="S169" s="1064"/>
      <c r="T169" s="1107"/>
      <c r="U169" s="562"/>
    </row>
    <row r="170" spans="1:21" ht="19.5" customHeight="1" x14ac:dyDescent="0.25">
      <c r="A170" s="1586"/>
      <c r="B170" s="1591"/>
      <c r="C170" s="1588"/>
      <c r="D170" s="1574" t="s">
        <v>93</v>
      </c>
      <c r="E170" s="1665" t="s">
        <v>185</v>
      </c>
      <c r="F170" s="876"/>
      <c r="G170" s="68"/>
      <c r="H170" s="888"/>
      <c r="I170" s="68"/>
      <c r="J170" s="892"/>
      <c r="K170" s="127"/>
      <c r="L170" s="35"/>
      <c r="M170" s="45"/>
      <c r="N170" s="127"/>
      <c r="O170" s="35"/>
      <c r="P170" s="1675" t="s">
        <v>163</v>
      </c>
      <c r="Q170" s="114">
        <v>100</v>
      </c>
      <c r="R170" s="260"/>
      <c r="S170" s="260"/>
      <c r="T170" s="360"/>
    </row>
    <row r="171" spans="1:21" ht="20.25" customHeight="1" x14ac:dyDescent="0.25">
      <c r="A171" s="1586"/>
      <c r="B171" s="1591"/>
      <c r="C171" s="1588"/>
      <c r="D171" s="1576"/>
      <c r="E171" s="1676"/>
      <c r="F171" s="877"/>
      <c r="G171" s="89"/>
      <c r="H171" s="889"/>
      <c r="I171" s="89"/>
      <c r="J171" s="893"/>
      <c r="K171" s="889"/>
      <c r="L171" s="102"/>
      <c r="M171" s="893"/>
      <c r="N171" s="889"/>
      <c r="O171" s="102"/>
      <c r="P171" s="1818"/>
      <c r="Q171" s="1060"/>
      <c r="R171" s="897"/>
      <c r="S171" s="897"/>
      <c r="T171" s="360"/>
    </row>
    <row r="172" spans="1:21" ht="11.25" customHeight="1" x14ac:dyDescent="0.25">
      <c r="A172" s="860"/>
      <c r="B172" s="859"/>
      <c r="C172" s="123"/>
      <c r="D172" s="1574" t="s">
        <v>343</v>
      </c>
      <c r="E172" s="879"/>
      <c r="F172" s="36"/>
      <c r="G172" s="56"/>
      <c r="H172" s="127"/>
      <c r="I172" s="56"/>
      <c r="J172" s="45"/>
      <c r="K172" s="127"/>
      <c r="L172" s="35"/>
      <c r="M172" s="1805"/>
      <c r="N172" s="1826"/>
      <c r="O172" s="113"/>
      <c r="P172" s="1675" t="s">
        <v>217</v>
      </c>
      <c r="Q172" s="306">
        <v>100</v>
      </c>
      <c r="R172" s="882"/>
      <c r="S172" s="287"/>
      <c r="T172" s="581"/>
    </row>
    <row r="173" spans="1:21" ht="15" customHeight="1" x14ac:dyDescent="0.25">
      <c r="A173" s="860"/>
      <c r="B173" s="859"/>
      <c r="C173" s="123"/>
      <c r="D173" s="1576"/>
      <c r="E173" s="879"/>
      <c r="F173" s="877"/>
      <c r="G173" s="89"/>
      <c r="H173" s="889"/>
      <c r="I173" s="66"/>
      <c r="J173" s="893"/>
      <c r="K173" s="889"/>
      <c r="L173" s="89"/>
      <c r="M173" s="1806"/>
      <c r="N173" s="1827"/>
      <c r="O173" s="102"/>
      <c r="P173" s="1667"/>
      <c r="Q173" s="219"/>
      <c r="R173" s="15"/>
      <c r="S173" s="29"/>
      <c r="T173" s="881"/>
    </row>
    <row r="174" spans="1:21" ht="16.5" customHeight="1" x14ac:dyDescent="0.25">
      <c r="A174" s="885"/>
      <c r="B174" s="762"/>
      <c r="C174" s="761"/>
      <c r="D174" s="1589" t="s">
        <v>89</v>
      </c>
      <c r="E174" s="1665" t="s">
        <v>151</v>
      </c>
      <c r="F174" s="41"/>
      <c r="G174" s="319"/>
      <c r="H174" s="304"/>
      <c r="I174" s="305"/>
      <c r="J174" s="303"/>
      <c r="K174" s="304"/>
      <c r="L174" s="305"/>
      <c r="M174" s="303"/>
      <c r="N174" s="304"/>
      <c r="O174" s="35"/>
      <c r="P174" s="621" t="s">
        <v>164</v>
      </c>
      <c r="Q174" s="1091">
        <v>4</v>
      </c>
      <c r="R174" s="259">
        <v>7</v>
      </c>
      <c r="S174" s="259"/>
      <c r="T174" s="155"/>
    </row>
    <row r="175" spans="1:21" ht="15" customHeight="1" x14ac:dyDescent="0.25">
      <c r="A175" s="860"/>
      <c r="B175" s="859"/>
      <c r="C175" s="123"/>
      <c r="D175" s="1596"/>
      <c r="E175" s="1666"/>
      <c r="F175" s="36"/>
      <c r="G175" s="56"/>
      <c r="H175" s="127"/>
      <c r="I175" s="35"/>
      <c r="J175" s="45"/>
      <c r="K175" s="127"/>
      <c r="L175" s="35"/>
      <c r="M175" s="45"/>
      <c r="N175" s="127"/>
      <c r="O175" s="35"/>
      <c r="P175" s="869" t="s">
        <v>130</v>
      </c>
      <c r="Q175" s="114">
        <v>8</v>
      </c>
      <c r="R175" s="222">
        <v>7</v>
      </c>
      <c r="S175" s="884"/>
      <c r="T175" s="881"/>
    </row>
    <row r="176" spans="1:21" ht="54" customHeight="1" x14ac:dyDescent="0.25">
      <c r="A176" s="860"/>
      <c r="B176" s="859"/>
      <c r="C176" s="123"/>
      <c r="D176" s="1590"/>
      <c r="E176" s="61"/>
      <c r="F176" s="292"/>
      <c r="G176" s="1130"/>
      <c r="H176" s="1129"/>
      <c r="I176" s="1133"/>
      <c r="J176" s="293"/>
      <c r="K176" s="1129"/>
      <c r="L176" s="1133"/>
      <c r="M176" s="293"/>
      <c r="N176" s="444"/>
      <c r="O176" s="445"/>
      <c r="P176" s="622" t="s">
        <v>90</v>
      </c>
      <c r="Q176" s="1092"/>
      <c r="R176" s="1019">
        <v>6</v>
      </c>
      <c r="S176" s="361">
        <v>7</v>
      </c>
      <c r="T176" s="1132"/>
    </row>
    <row r="177" spans="1:21" ht="16.5" customHeight="1" x14ac:dyDescent="0.25">
      <c r="A177" s="885"/>
      <c r="B177" s="762"/>
      <c r="C177" s="761"/>
      <c r="D177" s="1574" t="s">
        <v>168</v>
      </c>
      <c r="E177" s="391" t="s">
        <v>44</v>
      </c>
      <c r="F177" s="1037"/>
      <c r="G177" s="56"/>
      <c r="H177" s="127"/>
      <c r="I177" s="56"/>
      <c r="J177" s="45"/>
      <c r="K177" s="127"/>
      <c r="L177" s="35"/>
      <c r="M177" s="45"/>
      <c r="N177" s="127"/>
      <c r="O177" s="35"/>
      <c r="P177" s="621" t="s">
        <v>43</v>
      </c>
      <c r="Q177" s="491" t="s">
        <v>49</v>
      </c>
      <c r="R177" s="1017"/>
      <c r="S177" s="491"/>
      <c r="T177" s="1000"/>
    </row>
    <row r="178" spans="1:21" ht="13.5" customHeight="1" x14ac:dyDescent="0.25">
      <c r="A178" s="159"/>
      <c r="B178" s="762"/>
      <c r="C178" s="761"/>
      <c r="D178" s="1807"/>
      <c r="E178" s="874"/>
      <c r="F178" s="36"/>
      <c r="G178" s="56"/>
      <c r="H178" s="127"/>
      <c r="I178" s="56"/>
      <c r="J178" s="45"/>
      <c r="K178" s="127"/>
      <c r="L178" s="35"/>
      <c r="M178" s="45"/>
      <c r="N178" s="127"/>
      <c r="O178" s="35"/>
      <c r="P178" s="1646" t="s">
        <v>239</v>
      </c>
      <c r="Q178" s="205" t="s">
        <v>253</v>
      </c>
      <c r="R178" s="1018" t="s">
        <v>253</v>
      </c>
      <c r="S178" s="205" t="s">
        <v>40</v>
      </c>
      <c r="T178" s="171"/>
    </row>
    <row r="179" spans="1:21" ht="12.75" customHeight="1" x14ac:dyDescent="0.25">
      <c r="A179" s="159"/>
      <c r="B179" s="762"/>
      <c r="C179" s="761"/>
      <c r="D179" s="1807"/>
      <c r="E179" s="874"/>
      <c r="F179" s="36"/>
      <c r="G179" s="56"/>
      <c r="H179" s="127"/>
      <c r="I179" s="56"/>
      <c r="J179" s="45"/>
      <c r="K179" s="127"/>
      <c r="L179" s="35"/>
      <c r="M179" s="45"/>
      <c r="N179" s="127"/>
      <c r="O179" s="35"/>
      <c r="P179" s="1647"/>
      <c r="Q179" s="253"/>
      <c r="R179" s="1013"/>
      <c r="S179" s="253"/>
      <c r="T179" s="226"/>
    </row>
    <row r="180" spans="1:21" ht="21.75" customHeight="1" x14ac:dyDescent="0.25">
      <c r="A180" s="159"/>
      <c r="B180" s="762"/>
      <c r="C180" s="761"/>
      <c r="D180" s="1685" t="s">
        <v>344</v>
      </c>
      <c r="E180" s="874"/>
      <c r="F180" s="36"/>
      <c r="G180" s="56"/>
      <c r="H180" s="127"/>
      <c r="I180" s="56"/>
      <c r="J180" s="45"/>
      <c r="K180" s="127"/>
      <c r="L180" s="35"/>
      <c r="M180" s="45"/>
      <c r="N180" s="127"/>
      <c r="O180" s="35"/>
      <c r="P180" s="894" t="s">
        <v>169</v>
      </c>
      <c r="Q180" s="205" t="s">
        <v>49</v>
      </c>
      <c r="R180" s="205"/>
      <c r="S180" s="205"/>
      <c r="T180" s="171"/>
    </row>
    <row r="181" spans="1:21" ht="21.75" customHeight="1" x14ac:dyDescent="0.25">
      <c r="A181" s="159"/>
      <c r="B181" s="762"/>
      <c r="C181" s="761"/>
      <c r="D181" s="1804"/>
      <c r="E181" s="878"/>
      <c r="F181" s="1038"/>
      <c r="G181" s="89"/>
      <c r="H181" s="889"/>
      <c r="I181" s="89"/>
      <c r="J181" s="893"/>
      <c r="K181" s="889"/>
      <c r="L181" s="102"/>
      <c r="M181" s="893"/>
      <c r="N181" s="889"/>
      <c r="O181" s="102"/>
      <c r="P181" s="257"/>
      <c r="Q181" s="1036"/>
      <c r="R181" s="875"/>
      <c r="S181" s="875"/>
      <c r="T181" s="207"/>
    </row>
    <row r="182" spans="1:21" ht="23.25" customHeight="1" x14ac:dyDescent="0.25">
      <c r="A182" s="854"/>
      <c r="B182" s="859"/>
      <c r="C182" s="856"/>
      <c r="D182" s="1596" t="s">
        <v>263</v>
      </c>
      <c r="E182" s="619" t="s">
        <v>266</v>
      </c>
      <c r="F182" s="36"/>
      <c r="G182" s="56"/>
      <c r="H182" s="127"/>
      <c r="I182" s="56"/>
      <c r="J182" s="45"/>
      <c r="K182" s="127"/>
      <c r="L182" s="35"/>
      <c r="M182" s="45"/>
      <c r="N182" s="127"/>
      <c r="O182" s="35"/>
      <c r="P182" s="869" t="s">
        <v>262</v>
      </c>
      <c r="Q182" s="1059">
        <v>1</v>
      </c>
      <c r="R182" s="883"/>
      <c r="S182" s="473"/>
      <c r="T182" s="155"/>
      <c r="U182" s="1040"/>
    </row>
    <row r="183" spans="1:21" ht="29.25" customHeight="1" x14ac:dyDescent="0.25">
      <c r="A183" s="854"/>
      <c r="B183" s="859"/>
      <c r="C183" s="856"/>
      <c r="D183" s="1590"/>
      <c r="E183" s="878" t="s">
        <v>202</v>
      </c>
      <c r="F183" s="1038"/>
      <c r="G183" s="89"/>
      <c r="H183" s="889"/>
      <c r="I183" s="89"/>
      <c r="J183" s="893"/>
      <c r="K183" s="889"/>
      <c r="L183" s="102"/>
      <c r="M183" s="893"/>
      <c r="N183" s="889"/>
      <c r="O183" s="102"/>
      <c r="P183" s="1329" t="s">
        <v>265</v>
      </c>
      <c r="Q183" s="1019"/>
      <c r="R183" s="324">
        <v>4</v>
      </c>
      <c r="S183" s="29">
        <v>4</v>
      </c>
      <c r="T183" s="881"/>
      <c r="U183" s="562"/>
    </row>
    <row r="184" spans="1:21" ht="16.5" customHeight="1" x14ac:dyDescent="0.25">
      <c r="A184" s="885"/>
      <c r="B184" s="762"/>
      <c r="C184" s="761"/>
      <c r="D184" s="1589" t="s">
        <v>356</v>
      </c>
      <c r="E184" s="391"/>
      <c r="F184" s="831"/>
      <c r="G184" s="1348"/>
      <c r="H184" s="1006"/>
      <c r="I184" s="1006"/>
      <c r="J184" s="45"/>
      <c r="K184" s="127"/>
      <c r="L184" s="35"/>
      <c r="M184" s="45"/>
      <c r="N184" s="127"/>
      <c r="O184" s="35"/>
      <c r="P184" s="1581" t="s">
        <v>355</v>
      </c>
      <c r="Q184" s="1077">
        <v>1</v>
      </c>
      <c r="R184" s="1212"/>
      <c r="S184" s="1510"/>
      <c r="T184" s="1808"/>
      <c r="U184" s="567"/>
    </row>
    <row r="185" spans="1:21" ht="13.5" customHeight="1" x14ac:dyDescent="0.25">
      <c r="A185" s="159"/>
      <c r="B185" s="762"/>
      <c r="C185" s="761"/>
      <c r="D185" s="1596"/>
      <c r="E185" s="1457"/>
      <c r="F185" s="36"/>
      <c r="G185" s="56"/>
      <c r="H185" s="127"/>
      <c r="I185" s="56"/>
      <c r="J185" s="45"/>
      <c r="K185" s="127"/>
      <c r="L185" s="35"/>
      <c r="M185" s="45"/>
      <c r="N185" s="127"/>
      <c r="O185" s="35"/>
      <c r="P185" s="1584"/>
      <c r="Q185" s="1511"/>
      <c r="R185" s="1507"/>
      <c r="S185" s="1511"/>
      <c r="T185" s="1789"/>
    </row>
    <row r="186" spans="1:21" ht="21" customHeight="1" x14ac:dyDescent="0.25">
      <c r="A186" s="159"/>
      <c r="B186" s="762"/>
      <c r="C186" s="761"/>
      <c r="D186" s="1590"/>
      <c r="E186" s="1457"/>
      <c r="F186" s="36"/>
      <c r="G186" s="56"/>
      <c r="H186" s="127"/>
      <c r="I186" s="56"/>
      <c r="J186" s="45"/>
      <c r="K186" s="127"/>
      <c r="L186" s="35"/>
      <c r="M186" s="45"/>
      <c r="N186" s="1509"/>
      <c r="O186" s="102"/>
      <c r="P186" s="839"/>
      <c r="Q186" s="1508"/>
      <c r="R186" s="1508"/>
      <c r="S186" s="1240"/>
      <c r="T186" s="1790"/>
    </row>
    <row r="187" spans="1:21" ht="18" customHeight="1" thickBot="1" x14ac:dyDescent="0.3">
      <c r="A187" s="610"/>
      <c r="B187" s="611"/>
      <c r="C187" s="609"/>
      <c r="D187" s="469"/>
      <c r="E187" s="470"/>
      <c r="F187" s="51" t="s">
        <v>5</v>
      </c>
      <c r="G187" s="1341">
        <f>SUM(G140:G143)</f>
        <v>7104</v>
      </c>
      <c r="H187" s="105">
        <f t="shared" ref="H187:O187" si="11">SUM(H140:H143)</f>
        <v>7512.2</v>
      </c>
      <c r="I187" s="139">
        <f t="shared" si="11"/>
        <v>408.2</v>
      </c>
      <c r="J187" s="1341">
        <f t="shared" si="11"/>
        <v>6166.4</v>
      </c>
      <c r="K187" s="1340">
        <f t="shared" si="11"/>
        <v>6166.4</v>
      </c>
      <c r="L187" s="1340">
        <f t="shared" si="11"/>
        <v>0</v>
      </c>
      <c r="M187" s="1341">
        <f t="shared" si="11"/>
        <v>6513.2</v>
      </c>
      <c r="N187" s="105">
        <f t="shared" si="11"/>
        <v>6513.2</v>
      </c>
      <c r="O187" s="139">
        <f t="shared" si="11"/>
        <v>0</v>
      </c>
      <c r="P187" s="1342"/>
      <c r="Q187" s="1085"/>
      <c r="R187" s="108"/>
      <c r="S187" s="108"/>
      <c r="T187" s="227"/>
    </row>
    <row r="188" spans="1:21" ht="14.25" customHeight="1" thickBot="1" x14ac:dyDescent="0.3">
      <c r="A188" s="52" t="s">
        <v>4</v>
      </c>
      <c r="B188" s="138" t="s">
        <v>6</v>
      </c>
      <c r="C188" s="1648" t="s">
        <v>7</v>
      </c>
      <c r="D188" s="1649"/>
      <c r="E188" s="1649"/>
      <c r="F188" s="1649"/>
      <c r="G188" s="81">
        <f>G187</f>
        <v>7104</v>
      </c>
      <c r="H188" s="81">
        <f>H187</f>
        <v>7512.2</v>
      </c>
      <c r="I188" s="81">
        <f>I187</f>
        <v>408.2</v>
      </c>
      <c r="J188" s="170">
        <f t="shared" ref="J188:M188" si="12">J187</f>
        <v>6166.4</v>
      </c>
      <c r="K188" s="43">
        <f t="shared" ref="K188:L188" si="13">K187</f>
        <v>6166.4</v>
      </c>
      <c r="L188" s="43">
        <f t="shared" si="13"/>
        <v>0</v>
      </c>
      <c r="M188" s="170">
        <f t="shared" si="12"/>
        <v>6513.2</v>
      </c>
      <c r="N188" s="43">
        <f t="shared" ref="N188" si="14">N187</f>
        <v>6513.2</v>
      </c>
      <c r="O188" s="357"/>
      <c r="P188" s="1677"/>
      <c r="Q188" s="1677"/>
      <c r="R188" s="1677"/>
      <c r="S188" s="1677"/>
      <c r="T188" s="1678"/>
    </row>
    <row r="189" spans="1:21" ht="18" customHeight="1" thickBot="1" x14ac:dyDescent="0.3">
      <c r="A189" s="42" t="s">
        <v>4</v>
      </c>
      <c r="B189" s="138" t="s">
        <v>26</v>
      </c>
      <c r="C189" s="1652" t="s">
        <v>84</v>
      </c>
      <c r="D189" s="1679"/>
      <c r="E189" s="1679"/>
      <c r="F189" s="1679"/>
      <c r="G189" s="1679"/>
      <c r="H189" s="1679"/>
      <c r="I189" s="1679"/>
      <c r="J189" s="1679"/>
      <c r="K189" s="1679"/>
      <c r="L189" s="1679"/>
      <c r="M189" s="1679"/>
      <c r="N189" s="1679"/>
      <c r="O189" s="1679"/>
      <c r="P189" s="1679"/>
      <c r="Q189" s="1679"/>
      <c r="R189" s="1679"/>
      <c r="S189" s="1679"/>
      <c r="T189" s="1680"/>
    </row>
    <row r="190" spans="1:21" ht="26.25" customHeight="1" x14ac:dyDescent="0.25">
      <c r="A190" s="750" t="s">
        <v>4</v>
      </c>
      <c r="B190" s="137" t="s">
        <v>26</v>
      </c>
      <c r="C190" s="353" t="s">
        <v>4</v>
      </c>
      <c r="D190" s="1658" t="s">
        <v>81</v>
      </c>
      <c r="E190" s="761" t="s">
        <v>152</v>
      </c>
      <c r="F190" s="1356" t="s">
        <v>23</v>
      </c>
      <c r="G190" s="1357">
        <f>332.3-10</f>
        <v>322.3</v>
      </c>
      <c r="H190" s="1357">
        <f>332.3-10+75.2</f>
        <v>397.5</v>
      </c>
      <c r="I190" s="1363">
        <f>+H190-G190</f>
        <v>75.2</v>
      </c>
      <c r="J190" s="121">
        <v>305.8</v>
      </c>
      <c r="K190" s="104">
        <v>305.8</v>
      </c>
      <c r="L190" s="264"/>
      <c r="M190" s="121">
        <v>305.8</v>
      </c>
      <c r="N190" s="104">
        <v>305.8</v>
      </c>
      <c r="O190" s="174"/>
      <c r="P190" s="258"/>
      <c r="Q190" s="1093"/>
      <c r="R190" s="125"/>
      <c r="S190" s="125"/>
      <c r="T190" s="1779" t="s">
        <v>417</v>
      </c>
    </row>
    <row r="191" spans="1:21" ht="26.25" customHeight="1" x14ac:dyDescent="0.25">
      <c r="A191" s="854"/>
      <c r="B191" s="859"/>
      <c r="C191" s="856"/>
      <c r="D191" s="1659"/>
      <c r="E191" s="761"/>
      <c r="F191" s="218" t="s">
        <v>76</v>
      </c>
      <c r="G191" s="228">
        <v>466.7</v>
      </c>
      <c r="H191" s="1006">
        <f>466.7+15</f>
        <v>481.7</v>
      </c>
      <c r="I191" s="1109">
        <f>+H191-G191</f>
        <v>15</v>
      </c>
      <c r="J191" s="45">
        <v>370</v>
      </c>
      <c r="K191" s="127">
        <v>370</v>
      </c>
      <c r="L191" s="56"/>
      <c r="M191" s="45">
        <v>200</v>
      </c>
      <c r="N191" s="127">
        <v>200</v>
      </c>
      <c r="O191" s="35"/>
      <c r="P191" s="763"/>
      <c r="Q191" s="114"/>
      <c r="R191" s="23"/>
      <c r="S191" s="23"/>
      <c r="T191" s="1780"/>
    </row>
    <row r="192" spans="1:21" ht="26.25" customHeight="1" x14ac:dyDescent="0.25">
      <c r="A192" s="854"/>
      <c r="B192" s="859"/>
      <c r="C192" s="856"/>
      <c r="D192" s="177"/>
      <c r="E192" s="761"/>
      <c r="F192" s="36" t="s">
        <v>61</v>
      </c>
      <c r="G192" s="45">
        <v>817.1</v>
      </c>
      <c r="H192" s="127">
        <v>817.1</v>
      </c>
      <c r="I192" s="56"/>
      <c r="J192" s="45">
        <v>846</v>
      </c>
      <c r="K192" s="127">
        <v>846</v>
      </c>
      <c r="L192" s="56"/>
      <c r="M192" s="45">
        <v>861.6</v>
      </c>
      <c r="N192" s="127">
        <v>861.6</v>
      </c>
      <c r="O192" s="35"/>
      <c r="P192" s="763"/>
      <c r="Q192" s="114"/>
      <c r="R192" s="23"/>
      <c r="S192" s="23"/>
      <c r="T192" s="1780"/>
    </row>
    <row r="193" spans="1:21" ht="26.25" customHeight="1" x14ac:dyDescent="0.25">
      <c r="A193" s="854"/>
      <c r="B193" s="859"/>
      <c r="C193" s="856"/>
      <c r="D193" s="177"/>
      <c r="E193" s="761"/>
      <c r="F193" s="877" t="s">
        <v>63</v>
      </c>
      <c r="G193" s="893">
        <v>31.3</v>
      </c>
      <c r="H193" s="889">
        <v>31.3</v>
      </c>
      <c r="I193" s="89"/>
      <c r="J193" s="893">
        <v>31.3</v>
      </c>
      <c r="K193" s="889">
        <v>31.3</v>
      </c>
      <c r="L193" s="89"/>
      <c r="M193" s="893">
        <v>31.3</v>
      </c>
      <c r="N193" s="889">
        <v>31.3</v>
      </c>
      <c r="O193" s="102"/>
      <c r="P193" s="887"/>
      <c r="Q193" s="1036"/>
      <c r="R193" s="25"/>
      <c r="S193" s="25"/>
      <c r="T193" s="1781"/>
    </row>
    <row r="194" spans="1:21" ht="15" customHeight="1" x14ac:dyDescent="0.25">
      <c r="A194" s="854"/>
      <c r="B194" s="859"/>
      <c r="C194" s="856"/>
      <c r="D194" s="1589" t="s">
        <v>79</v>
      </c>
      <c r="E194" s="1795" t="s">
        <v>64</v>
      </c>
      <c r="F194" s="1367"/>
      <c r="G194" s="1366"/>
      <c r="H194" s="1364"/>
      <c r="I194" s="1365"/>
      <c r="J194" s="45"/>
      <c r="K194" s="127"/>
      <c r="L194" s="35"/>
      <c r="M194" s="45"/>
      <c r="N194" s="127"/>
      <c r="O194" s="201"/>
      <c r="P194" s="1362" t="s">
        <v>85</v>
      </c>
      <c r="Q194" s="491">
        <v>14.5</v>
      </c>
      <c r="R194" s="1360">
        <v>14.5</v>
      </c>
      <c r="S194" s="1360">
        <v>14.5</v>
      </c>
      <c r="T194" s="1225"/>
    </row>
    <row r="195" spans="1:21" ht="12.75" customHeight="1" x14ac:dyDescent="0.25">
      <c r="A195" s="854"/>
      <c r="B195" s="859"/>
      <c r="C195" s="856"/>
      <c r="D195" s="1596"/>
      <c r="E195" s="1796"/>
      <c r="F195" s="228" t="s">
        <v>385</v>
      </c>
      <c r="G195" s="1347">
        <f>53+78.5</f>
        <v>131.5</v>
      </c>
      <c r="H195" s="1006">
        <f>53+78.5+75.2</f>
        <v>206.7</v>
      </c>
      <c r="I195" s="1346">
        <f>+H195-G195</f>
        <v>75.2</v>
      </c>
      <c r="J195" s="303"/>
      <c r="K195" s="304"/>
      <c r="L195" s="305"/>
      <c r="M195" s="303"/>
      <c r="N195" s="304"/>
      <c r="O195" s="615"/>
      <c r="P195" s="890" t="s">
        <v>35</v>
      </c>
      <c r="Q195" s="114" t="s">
        <v>377</v>
      </c>
      <c r="R195" s="884">
        <v>74</v>
      </c>
      <c r="S195" s="884">
        <v>81</v>
      </c>
      <c r="T195" s="1785"/>
    </row>
    <row r="196" spans="1:21" ht="9.75" customHeight="1" x14ac:dyDescent="0.25">
      <c r="A196" s="854"/>
      <c r="B196" s="859"/>
      <c r="C196" s="856"/>
      <c r="D196" s="1596"/>
      <c r="E196" s="1796"/>
      <c r="F196" s="38"/>
      <c r="G196" s="85"/>
      <c r="H196" s="380"/>
      <c r="I196" s="381"/>
      <c r="J196" s="85"/>
      <c r="K196" s="380"/>
      <c r="L196" s="381"/>
      <c r="M196" s="85"/>
      <c r="N196" s="380"/>
      <c r="O196" s="442"/>
      <c r="P196" s="890"/>
      <c r="Q196" s="114"/>
      <c r="R196" s="23"/>
      <c r="S196" s="23"/>
      <c r="T196" s="1786"/>
    </row>
    <row r="197" spans="1:21" ht="26.25" customHeight="1" x14ac:dyDescent="0.25">
      <c r="A197" s="854"/>
      <c r="B197" s="859"/>
      <c r="C197" s="856"/>
      <c r="D197" s="1596"/>
      <c r="E197" s="1797"/>
      <c r="F197" s="34"/>
      <c r="G197" s="78"/>
      <c r="H197" s="383"/>
      <c r="I197" s="384"/>
      <c r="J197" s="78"/>
      <c r="K197" s="383"/>
      <c r="L197" s="384"/>
      <c r="M197" s="78"/>
      <c r="N197" s="383"/>
      <c r="O197" s="314"/>
      <c r="P197" s="792" t="s">
        <v>267</v>
      </c>
      <c r="Q197" s="474">
        <v>7</v>
      </c>
      <c r="R197" s="96"/>
      <c r="S197" s="96"/>
      <c r="T197" s="18"/>
    </row>
    <row r="198" spans="1:21" ht="16.5" customHeight="1" x14ac:dyDescent="0.25">
      <c r="A198" s="854"/>
      <c r="B198" s="859"/>
      <c r="C198" s="856"/>
      <c r="D198" s="1596"/>
      <c r="E198" s="1798"/>
      <c r="F198" s="36"/>
      <c r="G198" s="45"/>
      <c r="H198" s="127"/>
      <c r="I198" s="35"/>
      <c r="J198" s="45"/>
      <c r="K198" s="127"/>
      <c r="L198" s="35"/>
      <c r="M198" s="45"/>
      <c r="N198" s="127"/>
      <c r="O198" s="24"/>
      <c r="P198" s="793" t="s">
        <v>181</v>
      </c>
      <c r="Q198" s="474">
        <v>60</v>
      </c>
      <c r="R198" s="96">
        <v>60</v>
      </c>
      <c r="S198" s="96">
        <v>60</v>
      </c>
      <c r="T198" s="277"/>
    </row>
    <row r="199" spans="1:21" ht="26.25" customHeight="1" x14ac:dyDescent="0.25">
      <c r="A199" s="854"/>
      <c r="B199" s="859"/>
      <c r="C199" s="856"/>
      <c r="D199" s="1596"/>
      <c r="E199" s="1359"/>
      <c r="F199" s="1361"/>
      <c r="G199" s="1515"/>
      <c r="H199" s="1338"/>
      <c r="I199" s="1226"/>
      <c r="J199" s="78"/>
      <c r="K199" s="383"/>
      <c r="L199" s="384"/>
      <c r="M199" s="78"/>
      <c r="N199" s="383"/>
      <c r="O199" s="314"/>
      <c r="P199" s="792" t="s">
        <v>188</v>
      </c>
      <c r="Q199" s="111">
        <v>100</v>
      </c>
      <c r="R199" s="313"/>
      <c r="S199" s="313"/>
      <c r="T199" s="1516"/>
      <c r="U199" s="399"/>
    </row>
    <row r="200" spans="1:21" ht="28.5" customHeight="1" x14ac:dyDescent="0.25">
      <c r="A200" s="854"/>
      <c r="B200" s="859"/>
      <c r="C200" s="856"/>
      <c r="D200" s="1596"/>
      <c r="E200" s="879"/>
      <c r="F200" s="36"/>
      <c r="G200" s="45"/>
      <c r="H200" s="127"/>
      <c r="I200" s="35"/>
      <c r="J200" s="45"/>
      <c r="K200" s="127"/>
      <c r="L200" s="35"/>
      <c r="M200" s="45"/>
      <c r="N200" s="127"/>
      <c r="O200" s="35"/>
      <c r="P200" s="792" t="s">
        <v>218</v>
      </c>
      <c r="Q200" s="111" t="s">
        <v>292</v>
      </c>
      <c r="R200" s="313"/>
      <c r="S200" s="313"/>
      <c r="T200" s="314"/>
      <c r="U200" s="399"/>
    </row>
    <row r="201" spans="1:21" ht="18" customHeight="1" x14ac:dyDescent="0.25">
      <c r="A201" s="854"/>
      <c r="B201" s="859"/>
      <c r="C201" s="856"/>
      <c r="D201" s="1596"/>
      <c r="E201" s="879"/>
      <c r="F201" s="877"/>
      <c r="G201" s="893"/>
      <c r="H201" s="889"/>
      <c r="I201" s="102"/>
      <c r="J201" s="893"/>
      <c r="K201" s="889"/>
      <c r="L201" s="102"/>
      <c r="M201" s="389"/>
      <c r="N201" s="388"/>
      <c r="O201" s="770"/>
      <c r="P201" s="794" t="s">
        <v>219</v>
      </c>
      <c r="Q201" s="1094">
        <v>3</v>
      </c>
      <c r="R201" s="626"/>
      <c r="S201" s="626"/>
      <c r="T201" s="627"/>
      <c r="U201" s="399"/>
    </row>
    <row r="202" spans="1:21" ht="18" customHeight="1" x14ac:dyDescent="0.25">
      <c r="A202" s="854"/>
      <c r="B202" s="859"/>
      <c r="C202" s="856"/>
      <c r="D202" s="857" t="s">
        <v>57</v>
      </c>
      <c r="E202" s="158"/>
      <c r="F202" s="835" t="s">
        <v>384</v>
      </c>
      <c r="G202" s="1432">
        <v>100</v>
      </c>
      <c r="H202" s="1433">
        <f>100+15</f>
        <v>115</v>
      </c>
      <c r="I202" s="1434">
        <f>+H202-G202</f>
        <v>15</v>
      </c>
      <c r="J202" s="45"/>
      <c r="K202" s="127"/>
      <c r="L202" s="35"/>
      <c r="M202" s="45"/>
      <c r="N202" s="127"/>
      <c r="O202" s="35"/>
      <c r="P202" s="890" t="s">
        <v>68</v>
      </c>
      <c r="Q202" s="1059">
        <v>1</v>
      </c>
      <c r="R202" s="884">
        <v>1</v>
      </c>
      <c r="S202" s="884">
        <v>1</v>
      </c>
      <c r="T202" s="1777"/>
      <c r="U202" s="399"/>
    </row>
    <row r="203" spans="1:21" ht="14.25" customHeight="1" x14ac:dyDescent="0.25">
      <c r="A203" s="854"/>
      <c r="B203" s="859"/>
      <c r="C203" s="856"/>
      <c r="D203" s="858"/>
      <c r="E203" s="80"/>
      <c r="F203" s="877"/>
      <c r="G203" s="893"/>
      <c r="H203" s="1316"/>
      <c r="I203" s="26"/>
      <c r="J203" s="893"/>
      <c r="K203" s="889"/>
      <c r="L203" s="89"/>
      <c r="M203" s="893"/>
      <c r="N203" s="889"/>
      <c r="O203" s="102"/>
      <c r="P203" s="794"/>
      <c r="Q203" s="1060"/>
      <c r="R203" s="29"/>
      <c r="S203" s="29"/>
      <c r="T203" s="1782"/>
    </row>
    <row r="204" spans="1:21" ht="13.5" customHeight="1" x14ac:dyDescent="0.25">
      <c r="A204" s="854"/>
      <c r="B204" s="859"/>
      <c r="C204" s="856"/>
      <c r="D204" s="1617" t="s">
        <v>87</v>
      </c>
      <c r="E204" s="291"/>
      <c r="F204" s="876"/>
      <c r="G204" s="892"/>
      <c r="H204" s="888"/>
      <c r="I204" s="67"/>
      <c r="J204" s="892"/>
      <c r="K204" s="888"/>
      <c r="L204" s="67"/>
      <c r="M204" s="892"/>
      <c r="N204" s="888"/>
      <c r="O204" s="113"/>
      <c r="P204" s="1800" t="s">
        <v>141</v>
      </c>
      <c r="Q204" s="1802">
        <v>14</v>
      </c>
      <c r="R204" s="1699">
        <v>14</v>
      </c>
      <c r="S204" s="1699">
        <v>14</v>
      </c>
      <c r="T204" s="1691"/>
    </row>
    <row r="205" spans="1:21" ht="10.5" customHeight="1" x14ac:dyDescent="0.25">
      <c r="A205" s="854"/>
      <c r="B205" s="859"/>
      <c r="C205" s="856"/>
      <c r="D205" s="1695"/>
      <c r="E205" s="241"/>
      <c r="F205" s="36"/>
      <c r="G205" s="45"/>
      <c r="H205" s="127"/>
      <c r="I205" s="35"/>
      <c r="J205" s="45"/>
      <c r="K205" s="127"/>
      <c r="L205" s="35"/>
      <c r="M205" s="45"/>
      <c r="N205" s="127"/>
      <c r="O205" s="35"/>
      <c r="P205" s="1801"/>
      <c r="Q205" s="1803"/>
      <c r="R205" s="1700"/>
      <c r="S205" s="1700"/>
      <c r="T205" s="1692"/>
    </row>
    <row r="206" spans="1:21" ht="7.5" customHeight="1" x14ac:dyDescent="0.25">
      <c r="A206" s="854"/>
      <c r="B206" s="859"/>
      <c r="C206" s="856"/>
      <c r="D206" s="1618"/>
      <c r="E206" s="242"/>
      <c r="F206" s="877"/>
      <c r="G206" s="893"/>
      <c r="H206" s="889"/>
      <c r="I206" s="89"/>
      <c r="J206" s="893"/>
      <c r="K206" s="889"/>
      <c r="L206" s="89"/>
      <c r="M206" s="893"/>
      <c r="N206" s="889"/>
      <c r="O206" s="102"/>
      <c r="P206" s="794"/>
      <c r="Q206" s="1060"/>
      <c r="R206" s="29"/>
      <c r="S206" s="29"/>
      <c r="T206" s="1304"/>
    </row>
    <row r="207" spans="1:21" ht="18.75" customHeight="1" x14ac:dyDescent="0.25">
      <c r="A207" s="860"/>
      <c r="B207" s="859"/>
      <c r="C207" s="123"/>
      <c r="D207" s="1633" t="s">
        <v>107</v>
      </c>
      <c r="E207" s="895" t="s">
        <v>44</v>
      </c>
      <c r="F207" s="36"/>
      <c r="G207" s="45"/>
      <c r="H207" s="127"/>
      <c r="I207" s="56"/>
      <c r="J207" s="45"/>
      <c r="K207" s="127"/>
      <c r="L207" s="56"/>
      <c r="M207" s="45"/>
      <c r="N207" s="127"/>
      <c r="O207" s="35"/>
      <c r="P207" s="1801" t="s">
        <v>96</v>
      </c>
      <c r="Q207" s="1095">
        <v>15</v>
      </c>
      <c r="R207" s="112">
        <v>15</v>
      </c>
      <c r="S207" s="112">
        <v>15</v>
      </c>
      <c r="T207" s="210"/>
    </row>
    <row r="208" spans="1:21" ht="10.5" customHeight="1" x14ac:dyDescent="0.25">
      <c r="A208" s="860"/>
      <c r="B208" s="859"/>
      <c r="C208" s="55"/>
      <c r="D208" s="1688"/>
      <c r="E208" s="62"/>
      <c r="F208" s="877"/>
      <c r="G208" s="893"/>
      <c r="H208" s="889"/>
      <c r="I208" s="66"/>
      <c r="J208" s="893"/>
      <c r="K208" s="889"/>
      <c r="L208" s="66"/>
      <c r="M208" s="893"/>
      <c r="N208" s="889"/>
      <c r="O208" s="102"/>
      <c r="P208" s="1830"/>
      <c r="Q208" s="1096"/>
      <c r="R208" s="435"/>
      <c r="S208" s="435"/>
      <c r="T208" s="234"/>
    </row>
    <row r="209" spans="1:20" ht="13.5" customHeight="1" x14ac:dyDescent="0.25">
      <c r="A209" s="854"/>
      <c r="B209" s="859"/>
      <c r="C209" s="856"/>
      <c r="D209" s="1574" t="s">
        <v>80</v>
      </c>
      <c r="E209" s="873"/>
      <c r="F209" s="876"/>
      <c r="G209" s="892"/>
      <c r="H209" s="888"/>
      <c r="I209" s="68"/>
      <c r="J209" s="892"/>
      <c r="K209" s="888"/>
      <c r="L209" s="68"/>
      <c r="M209" s="892"/>
      <c r="N209" s="888"/>
      <c r="O209" s="113"/>
      <c r="P209" s="891" t="s">
        <v>99</v>
      </c>
      <c r="Q209" s="1010">
        <v>172</v>
      </c>
      <c r="R209" s="354">
        <v>172</v>
      </c>
      <c r="S209" s="354">
        <v>172</v>
      </c>
      <c r="T209" s="351"/>
    </row>
    <row r="210" spans="1:20" ht="12" customHeight="1" x14ac:dyDescent="0.25">
      <c r="A210" s="860"/>
      <c r="B210" s="859"/>
      <c r="C210" s="585"/>
      <c r="D210" s="1804"/>
      <c r="E210" s="878"/>
      <c r="F210" s="877"/>
      <c r="G210" s="893"/>
      <c r="H210" s="889"/>
      <c r="I210" s="89"/>
      <c r="J210" s="893"/>
      <c r="K210" s="889"/>
      <c r="L210" s="89"/>
      <c r="M210" s="893"/>
      <c r="N210" s="889"/>
      <c r="O210" s="102"/>
      <c r="P210" s="794"/>
      <c r="Q210" s="1012"/>
      <c r="R210" s="95"/>
      <c r="S210" s="95"/>
      <c r="T210" s="19"/>
    </row>
    <row r="211" spans="1:20" ht="21.75" customHeight="1" x14ac:dyDescent="0.25">
      <c r="A211" s="860"/>
      <c r="B211" s="859"/>
      <c r="C211" s="123"/>
      <c r="D211" s="1633" t="s">
        <v>346</v>
      </c>
      <c r="E211" s="874"/>
      <c r="F211" s="218"/>
      <c r="G211" s="228"/>
      <c r="H211" s="1006"/>
      <c r="I211" s="1112"/>
      <c r="J211" s="45"/>
      <c r="K211" s="127"/>
      <c r="L211" s="56"/>
      <c r="M211" s="45"/>
      <c r="N211" s="127"/>
      <c r="O211" s="35"/>
      <c r="P211" s="1675" t="s">
        <v>326</v>
      </c>
      <c r="Q211" s="1095">
        <v>30</v>
      </c>
      <c r="R211" s="112"/>
      <c r="S211" s="112"/>
      <c r="T211" s="1783"/>
    </row>
    <row r="212" spans="1:20" ht="6" customHeight="1" x14ac:dyDescent="0.25">
      <c r="A212" s="860"/>
      <c r="B212" s="859"/>
      <c r="C212" s="55"/>
      <c r="D212" s="1688"/>
      <c r="E212" s="296"/>
      <c r="F212" s="877"/>
      <c r="G212" s="893"/>
      <c r="H212" s="889"/>
      <c r="I212" s="66"/>
      <c r="J212" s="893"/>
      <c r="K212" s="889"/>
      <c r="L212" s="66"/>
      <c r="M212" s="893"/>
      <c r="N212" s="889"/>
      <c r="O212" s="102"/>
      <c r="P212" s="1667"/>
      <c r="Q212" s="1097"/>
      <c r="R212" s="435"/>
      <c r="S212" s="435"/>
      <c r="T212" s="1784"/>
    </row>
    <row r="213" spans="1:20" ht="25.5" customHeight="1" x14ac:dyDescent="0.25">
      <c r="A213" s="860"/>
      <c r="B213" s="859"/>
      <c r="C213" s="123"/>
      <c r="D213" s="1633" t="s">
        <v>289</v>
      </c>
      <c r="E213" s="895"/>
      <c r="F213" s="36"/>
      <c r="G213" s="45"/>
      <c r="H213" s="127"/>
      <c r="I213" s="56"/>
      <c r="J213" s="45"/>
      <c r="K213" s="127"/>
      <c r="L213" s="56"/>
      <c r="M213" s="45"/>
      <c r="N213" s="127"/>
      <c r="O213" s="35"/>
      <c r="P213" s="405" t="s">
        <v>220</v>
      </c>
      <c r="Q213" s="1095"/>
      <c r="R213" s="112">
        <v>10</v>
      </c>
      <c r="S213" s="112">
        <v>10</v>
      </c>
      <c r="T213" s="117"/>
    </row>
    <row r="214" spans="1:20" ht="6" customHeight="1" x14ac:dyDescent="0.25">
      <c r="A214" s="860"/>
      <c r="B214" s="859"/>
      <c r="C214" s="55"/>
      <c r="D214" s="1688"/>
      <c r="E214" s="62"/>
      <c r="F214" s="877"/>
      <c r="G214" s="893"/>
      <c r="H214" s="889"/>
      <c r="I214" s="66"/>
      <c r="J214" s="893"/>
      <c r="K214" s="889"/>
      <c r="L214" s="66"/>
      <c r="M214" s="893"/>
      <c r="N214" s="889"/>
      <c r="O214" s="102"/>
      <c r="P214" s="795"/>
      <c r="Q214" s="1097"/>
      <c r="R214" s="435"/>
      <c r="S214" s="435"/>
      <c r="T214" s="117"/>
    </row>
    <row r="215" spans="1:20" ht="15.75" customHeight="1" x14ac:dyDescent="0.25">
      <c r="A215" s="1586"/>
      <c r="B215" s="1587"/>
      <c r="C215" s="1687"/>
      <c r="D215" s="1664" t="s">
        <v>183</v>
      </c>
      <c r="E215" s="1689" t="s">
        <v>152</v>
      </c>
      <c r="F215" s="33"/>
      <c r="G215" s="45"/>
      <c r="H215" s="1006"/>
      <c r="I215" s="1112"/>
      <c r="J215" s="45"/>
      <c r="K215" s="127"/>
      <c r="L215" s="56"/>
      <c r="M215" s="45"/>
      <c r="N215" s="127"/>
      <c r="O215" s="35"/>
      <c r="P215" s="1214" t="s">
        <v>60</v>
      </c>
      <c r="Q215" s="1098">
        <v>18</v>
      </c>
      <c r="R215" s="287">
        <v>18</v>
      </c>
      <c r="S215" s="287">
        <v>18</v>
      </c>
      <c r="T215" s="1775"/>
    </row>
    <row r="216" spans="1:20" ht="15.75" customHeight="1" x14ac:dyDescent="0.25">
      <c r="A216" s="1586"/>
      <c r="B216" s="1587"/>
      <c r="C216" s="1687"/>
      <c r="D216" s="1688"/>
      <c r="E216" s="1690"/>
      <c r="F216" s="40"/>
      <c r="G216" s="86"/>
      <c r="H216" s="94"/>
      <c r="I216" s="70"/>
      <c r="J216" s="86"/>
      <c r="K216" s="94"/>
      <c r="L216" s="190"/>
      <c r="M216" s="86"/>
      <c r="N216" s="94"/>
      <c r="O216" s="190"/>
      <c r="P216" s="795" t="s">
        <v>69</v>
      </c>
      <c r="Q216" s="219">
        <v>7</v>
      </c>
      <c r="R216" s="29">
        <v>7</v>
      </c>
      <c r="S216" s="29">
        <v>7</v>
      </c>
      <c r="T216" s="1776"/>
    </row>
    <row r="217" spans="1:20" ht="15" customHeight="1" thickBot="1" x14ac:dyDescent="0.3">
      <c r="A217" s="610"/>
      <c r="B217" s="611"/>
      <c r="C217" s="609"/>
      <c r="D217" s="469"/>
      <c r="E217" s="470"/>
      <c r="F217" s="51" t="s">
        <v>5</v>
      </c>
      <c r="G217" s="139">
        <f>SUM(G190:G193)</f>
        <v>1637.4</v>
      </c>
      <c r="H217" s="105">
        <f t="shared" ref="H217:O217" si="15">SUM(H190:H193)</f>
        <v>1727.6</v>
      </c>
      <c r="I217" s="139">
        <f t="shared" si="15"/>
        <v>90.2</v>
      </c>
      <c r="J217" s="103">
        <f t="shared" si="15"/>
        <v>1553.1</v>
      </c>
      <c r="K217" s="1340">
        <f t="shared" si="15"/>
        <v>1553.1</v>
      </c>
      <c r="L217" s="1326">
        <f t="shared" si="15"/>
        <v>0</v>
      </c>
      <c r="M217" s="103">
        <f t="shared" si="15"/>
        <v>1398.7</v>
      </c>
      <c r="N217" s="1340">
        <f t="shared" si="15"/>
        <v>1398.7</v>
      </c>
      <c r="O217" s="1326">
        <f t="shared" si="15"/>
        <v>0</v>
      </c>
      <c r="P217" s="471"/>
      <c r="Q217" s="1085"/>
      <c r="R217" s="108"/>
      <c r="S217" s="108"/>
      <c r="T217" s="227"/>
    </row>
    <row r="218" spans="1:20" ht="13.5" customHeight="1" x14ac:dyDescent="0.25">
      <c r="A218" s="748" t="s">
        <v>4</v>
      </c>
      <c r="B218" s="749" t="s">
        <v>26</v>
      </c>
      <c r="C218" s="747" t="s">
        <v>6</v>
      </c>
      <c r="D218" s="1707" t="s">
        <v>261</v>
      </c>
      <c r="E218" s="1709"/>
      <c r="F218" s="1356" t="s">
        <v>23</v>
      </c>
      <c r="G218" s="1357">
        <f>8.1-4.3+3.6+2.1</f>
        <v>9.5</v>
      </c>
      <c r="H218" s="1357">
        <f>8.1-4.3+3.6+2.1-1.8</f>
        <v>7.7</v>
      </c>
      <c r="I218" s="1363">
        <f>+H218-G218</f>
        <v>-1.8</v>
      </c>
      <c r="J218" s="264">
        <f>577.5+3.6+4.4</f>
        <v>585.5</v>
      </c>
      <c r="K218" s="104">
        <f>577.5+3.6+4.4</f>
        <v>585.5</v>
      </c>
      <c r="L218" s="174"/>
      <c r="M218" s="104">
        <f>1478.9+3.6+1.4</f>
        <v>1483.9</v>
      </c>
      <c r="N218" s="104">
        <f>1478.9+3.6+1.4</f>
        <v>1483.9</v>
      </c>
      <c r="O218" s="1228"/>
      <c r="P218" s="240"/>
      <c r="Q218" s="1099"/>
      <c r="R218" s="125"/>
      <c r="S218" s="125"/>
      <c r="T218" s="1779" t="s">
        <v>403</v>
      </c>
    </row>
    <row r="219" spans="1:20" ht="13.5" customHeight="1" x14ac:dyDescent="0.25">
      <c r="A219" s="885"/>
      <c r="B219" s="886"/>
      <c r="C219" s="880"/>
      <c r="D219" s="1708"/>
      <c r="E219" s="1710"/>
      <c r="F219" s="36" t="s">
        <v>53</v>
      </c>
      <c r="G219" s="45">
        <v>233.3</v>
      </c>
      <c r="H219" s="127">
        <v>233.3</v>
      </c>
      <c r="I219" s="24"/>
      <c r="J219" s="56">
        <v>0</v>
      </c>
      <c r="K219" s="127">
        <v>0</v>
      </c>
      <c r="L219" s="35"/>
      <c r="M219" s="56">
        <v>0</v>
      </c>
      <c r="N219" s="127">
        <v>0</v>
      </c>
      <c r="O219" s="56"/>
      <c r="P219" s="712"/>
      <c r="Q219" s="904"/>
      <c r="R219" s="23"/>
      <c r="S219" s="23"/>
      <c r="T219" s="1780"/>
    </row>
    <row r="220" spans="1:20" ht="13.5" customHeight="1" x14ac:dyDescent="0.25">
      <c r="A220" s="885"/>
      <c r="B220" s="886"/>
      <c r="C220" s="880"/>
      <c r="D220" s="1708"/>
      <c r="E220" s="1710"/>
      <c r="F220" s="36" t="s">
        <v>61</v>
      </c>
      <c r="G220" s="127">
        <f>447.2+17.9</f>
        <v>465.1</v>
      </c>
      <c r="H220" s="127">
        <f>447.2+17.9</f>
        <v>465.1</v>
      </c>
      <c r="I220" s="24"/>
      <c r="J220" s="65">
        <f>22+17.9</f>
        <v>39.9</v>
      </c>
      <c r="K220" s="127">
        <f>22+17.9</f>
        <v>39.9</v>
      </c>
      <c r="L220" s="35"/>
      <c r="M220" s="127">
        <f>22+17.9</f>
        <v>39.9</v>
      </c>
      <c r="N220" s="127">
        <f>22+17.9</f>
        <v>39.9</v>
      </c>
      <c r="O220" s="1112"/>
      <c r="P220" s="712"/>
      <c r="Q220" s="904"/>
      <c r="R220" s="23"/>
      <c r="S220" s="23"/>
      <c r="T220" s="1780"/>
    </row>
    <row r="221" spans="1:20" ht="13.5" customHeight="1" x14ac:dyDescent="0.25">
      <c r="A221" s="885"/>
      <c r="B221" s="886"/>
      <c r="C221" s="880"/>
      <c r="D221" s="1708"/>
      <c r="E221" s="1710"/>
      <c r="F221" s="36" t="s">
        <v>63</v>
      </c>
      <c r="G221" s="45">
        <v>155.30000000000001</v>
      </c>
      <c r="H221" s="127">
        <v>155.30000000000001</v>
      </c>
      <c r="I221" s="24"/>
      <c r="J221" s="56"/>
      <c r="K221" s="127"/>
      <c r="L221" s="35"/>
      <c r="M221" s="56"/>
      <c r="N221" s="127"/>
      <c r="O221" s="56"/>
      <c r="P221" s="712"/>
      <c r="Q221" s="904"/>
      <c r="R221" s="23"/>
      <c r="S221" s="23"/>
      <c r="T221" s="1780"/>
    </row>
    <row r="222" spans="1:20" ht="13.5" customHeight="1" x14ac:dyDescent="0.25">
      <c r="A222" s="885"/>
      <c r="B222" s="886"/>
      <c r="C222" s="880"/>
      <c r="D222" s="1708"/>
      <c r="E222" s="1710"/>
      <c r="F222" s="36" t="s">
        <v>306</v>
      </c>
      <c r="G222" s="127">
        <f>4.3+11.4</f>
        <v>15.7</v>
      </c>
      <c r="H222" s="127">
        <f>4.3+11.4</f>
        <v>15.7</v>
      </c>
      <c r="I222" s="24"/>
      <c r="J222" s="65">
        <v>24.9</v>
      </c>
      <c r="K222" s="127">
        <v>24.9</v>
      </c>
      <c r="L222" s="35"/>
      <c r="M222" s="127">
        <v>8.3000000000000007</v>
      </c>
      <c r="N222" s="127">
        <v>8.3000000000000007</v>
      </c>
      <c r="O222" s="1112"/>
      <c r="P222" s="712"/>
      <c r="Q222" s="904"/>
      <c r="R222" s="23"/>
      <c r="S222" s="23"/>
      <c r="T222" s="1780"/>
    </row>
    <row r="223" spans="1:20" ht="13.5" customHeight="1" x14ac:dyDescent="0.25">
      <c r="A223" s="885"/>
      <c r="B223" s="886"/>
      <c r="C223" s="880"/>
      <c r="D223" s="1708"/>
      <c r="E223" s="1710"/>
      <c r="F223" s="36" t="s">
        <v>41</v>
      </c>
      <c r="G223" s="45">
        <v>997</v>
      </c>
      <c r="H223" s="127">
        <v>997</v>
      </c>
      <c r="I223" s="26"/>
      <c r="J223" s="56">
        <v>67.3</v>
      </c>
      <c r="K223" s="127">
        <v>67.3</v>
      </c>
      <c r="L223" s="35"/>
      <c r="M223" s="56">
        <f>M231+M235</f>
        <v>0</v>
      </c>
      <c r="N223" s="127">
        <f>N231+N235</f>
        <v>0</v>
      </c>
      <c r="O223" s="56"/>
      <c r="P223" s="712"/>
      <c r="Q223" s="904"/>
      <c r="R223" s="23"/>
      <c r="S223" s="23"/>
      <c r="T223" s="1781"/>
    </row>
    <row r="224" spans="1:20" ht="15" customHeight="1" x14ac:dyDescent="0.25">
      <c r="A224" s="1705"/>
      <c r="B224" s="1706"/>
      <c r="C224" s="1687"/>
      <c r="D224" s="1664" t="s">
        <v>361</v>
      </c>
      <c r="E224" s="59" t="s">
        <v>282</v>
      </c>
      <c r="F224" s="876"/>
      <c r="G224" s="892"/>
      <c r="H224" s="888"/>
      <c r="I224" s="68"/>
      <c r="J224" s="1051"/>
      <c r="K224" s="1049"/>
      <c r="L224" s="113"/>
      <c r="M224" s="68"/>
      <c r="N224" s="1049"/>
      <c r="O224" s="68"/>
      <c r="P224" s="1701" t="s">
        <v>128</v>
      </c>
      <c r="Q224" s="1058">
        <v>1</v>
      </c>
      <c r="R224" s="1047"/>
      <c r="S224" s="1047"/>
      <c r="T224" s="1043"/>
    </row>
    <row r="225" spans="1:20" ht="14.25" customHeight="1" x14ac:dyDescent="0.25">
      <c r="A225" s="1705"/>
      <c r="B225" s="1706"/>
      <c r="C225" s="1687"/>
      <c r="D225" s="1633"/>
      <c r="E225" s="390" t="s">
        <v>152</v>
      </c>
      <c r="F225" s="36"/>
      <c r="G225" s="45"/>
      <c r="H225" s="127"/>
      <c r="I225" s="56"/>
      <c r="J225" s="45"/>
      <c r="K225" s="127"/>
      <c r="L225" s="35"/>
      <c r="M225" s="56"/>
      <c r="N225" s="127"/>
      <c r="O225" s="56"/>
      <c r="P225" s="1787"/>
      <c r="Q225" s="1328"/>
      <c r="R225" s="270"/>
      <c r="S225" s="1048"/>
      <c r="T225" s="277"/>
    </row>
    <row r="226" spans="1:20" ht="25.5" customHeight="1" x14ac:dyDescent="0.25">
      <c r="A226" s="1705"/>
      <c r="B226" s="1706"/>
      <c r="C226" s="1687"/>
      <c r="D226" s="1711"/>
      <c r="E226" s="870" t="s">
        <v>294</v>
      </c>
      <c r="F226" s="877"/>
      <c r="G226" s="893"/>
      <c r="H226" s="889"/>
      <c r="I226" s="89"/>
      <c r="J226" s="1052"/>
      <c r="K226" s="1050"/>
      <c r="L226" s="102"/>
      <c r="M226" s="89"/>
      <c r="N226" s="1050"/>
      <c r="O226" s="89"/>
      <c r="P226" s="1327" t="s">
        <v>242</v>
      </c>
      <c r="Q226" s="1060">
        <v>100</v>
      </c>
      <c r="R226" s="29"/>
      <c r="S226" s="324"/>
      <c r="T226" s="16"/>
    </row>
    <row r="227" spans="1:20" ht="24.75" customHeight="1" x14ac:dyDescent="0.25">
      <c r="A227" s="885"/>
      <c r="B227" s="886"/>
      <c r="C227" s="880"/>
      <c r="D227" s="1703" t="s">
        <v>275</v>
      </c>
      <c r="E227" s="629" t="s">
        <v>282</v>
      </c>
      <c r="F227" s="36"/>
      <c r="G227" s="45"/>
      <c r="H227" s="127"/>
      <c r="I227" s="56"/>
      <c r="J227" s="45"/>
      <c r="K227" s="127"/>
      <c r="L227" s="35"/>
      <c r="M227" s="56"/>
      <c r="N227" s="127"/>
      <c r="O227" s="56"/>
      <c r="P227" s="1054" t="s">
        <v>92</v>
      </c>
      <c r="Q227" s="904"/>
      <c r="R227" s="1048">
        <v>20</v>
      </c>
      <c r="S227" s="1048">
        <v>80</v>
      </c>
      <c r="T227" s="1044"/>
    </row>
    <row r="228" spans="1:20" ht="15" customHeight="1" x14ac:dyDescent="0.25">
      <c r="A228" s="885"/>
      <c r="B228" s="886"/>
      <c r="C228" s="880"/>
      <c r="D228" s="1704"/>
      <c r="E228" s="630"/>
      <c r="F228" s="877"/>
      <c r="G228" s="893"/>
      <c r="H228" s="889"/>
      <c r="I228" s="89"/>
      <c r="J228" s="1052"/>
      <c r="K228" s="1050"/>
      <c r="L228" s="102"/>
      <c r="M228" s="89"/>
      <c r="N228" s="1050"/>
      <c r="O228" s="89"/>
      <c r="P228" s="678"/>
      <c r="Q228" s="1036"/>
      <c r="R228" s="29"/>
      <c r="S228" s="29"/>
      <c r="T228" s="16"/>
    </row>
    <row r="229" spans="1:20" ht="24.75" customHeight="1" x14ac:dyDescent="0.25">
      <c r="A229" s="1705"/>
      <c r="B229" s="1706"/>
      <c r="C229" s="1687"/>
      <c r="D229" s="1575" t="s">
        <v>126</v>
      </c>
      <c r="E229" s="59" t="s">
        <v>283</v>
      </c>
      <c r="F229" s="36"/>
      <c r="G229" s="45"/>
      <c r="H229" s="127"/>
      <c r="I229" s="56"/>
      <c r="J229" s="45"/>
      <c r="K229" s="127"/>
      <c r="L229" s="35"/>
      <c r="M229" s="56"/>
      <c r="N229" s="127"/>
      <c r="O229" s="56"/>
      <c r="P229" s="1701" t="s">
        <v>127</v>
      </c>
      <c r="Q229" s="1101"/>
      <c r="R229" s="1048">
        <v>1</v>
      </c>
      <c r="S229" s="1048"/>
      <c r="T229" s="1044"/>
    </row>
    <row r="230" spans="1:20" ht="15" customHeight="1" x14ac:dyDescent="0.25">
      <c r="A230" s="1705"/>
      <c r="B230" s="1706"/>
      <c r="C230" s="1687"/>
      <c r="D230" s="1575"/>
      <c r="E230" s="631" t="s">
        <v>202</v>
      </c>
      <c r="F230" s="36"/>
      <c r="G230" s="45"/>
      <c r="H230" s="127"/>
      <c r="I230" s="56"/>
      <c r="J230" s="45"/>
      <c r="K230" s="127"/>
      <c r="L230" s="35"/>
      <c r="M230" s="56"/>
      <c r="N230" s="127"/>
      <c r="O230" s="56"/>
      <c r="P230" s="1831"/>
      <c r="Q230" s="114"/>
      <c r="R230" s="1048"/>
      <c r="S230" s="1048"/>
      <c r="T230" s="277"/>
    </row>
    <row r="231" spans="1:20" ht="31.5" customHeight="1" x14ac:dyDescent="0.25">
      <c r="A231" s="1705"/>
      <c r="B231" s="1706"/>
      <c r="C231" s="1687"/>
      <c r="D231" s="1603"/>
      <c r="E231" s="216" t="s">
        <v>294</v>
      </c>
      <c r="F231" s="36"/>
      <c r="G231" s="45"/>
      <c r="H231" s="127"/>
      <c r="I231" s="56"/>
      <c r="J231" s="45"/>
      <c r="K231" s="127"/>
      <c r="L231" s="35"/>
      <c r="M231" s="56"/>
      <c r="N231" s="1050"/>
      <c r="O231" s="89"/>
      <c r="P231" s="14" t="s">
        <v>113</v>
      </c>
      <c r="Q231" s="1019">
        <v>1</v>
      </c>
      <c r="R231" s="324"/>
      <c r="S231" s="324"/>
      <c r="T231" s="16"/>
    </row>
    <row r="232" spans="1:20" ht="13.5" customHeight="1" x14ac:dyDescent="0.25">
      <c r="A232" s="1586"/>
      <c r="B232" s="1587"/>
      <c r="C232" s="1687"/>
      <c r="D232" s="1574" t="s">
        <v>197</v>
      </c>
      <c r="E232" s="1712" t="s">
        <v>298</v>
      </c>
      <c r="F232" s="876"/>
      <c r="G232" s="892"/>
      <c r="H232" s="888"/>
      <c r="I232" s="68"/>
      <c r="J232" s="1051"/>
      <c r="K232" s="1049"/>
      <c r="L232" s="113"/>
      <c r="M232" s="68"/>
      <c r="N232" s="127"/>
      <c r="O232" s="56"/>
      <c r="P232" s="1054" t="s">
        <v>397</v>
      </c>
      <c r="Q232" s="1404" t="s">
        <v>49</v>
      </c>
      <c r="R232" s="114" t="s">
        <v>49</v>
      </c>
      <c r="S232" s="114" t="s">
        <v>49</v>
      </c>
      <c r="T232" s="1788"/>
    </row>
    <row r="233" spans="1:20" ht="13.5" customHeight="1" x14ac:dyDescent="0.25">
      <c r="A233" s="1586"/>
      <c r="B233" s="1587"/>
      <c r="C233" s="1687"/>
      <c r="D233" s="1575"/>
      <c r="E233" s="1713"/>
      <c r="F233" s="36"/>
      <c r="G233" s="45"/>
      <c r="H233" s="127"/>
      <c r="I233" s="56"/>
      <c r="J233" s="45"/>
      <c r="K233" s="127"/>
      <c r="L233" s="35"/>
      <c r="M233" s="56"/>
      <c r="N233" s="127"/>
      <c r="O233" s="56"/>
      <c r="P233" s="1054"/>
      <c r="Q233" s="1102"/>
      <c r="R233" s="114"/>
      <c r="S233" s="114"/>
      <c r="T233" s="1789"/>
    </row>
    <row r="234" spans="1:20" ht="13.5" customHeight="1" x14ac:dyDescent="0.25">
      <c r="A234" s="1586"/>
      <c r="B234" s="1587"/>
      <c r="C234" s="1687"/>
      <c r="D234" s="1623"/>
      <c r="E234" s="1714"/>
      <c r="F234" s="877"/>
      <c r="G234" s="893"/>
      <c r="H234" s="889"/>
      <c r="I234" s="89"/>
      <c r="J234" s="1052"/>
      <c r="K234" s="1050"/>
      <c r="L234" s="102"/>
      <c r="M234" s="89"/>
      <c r="N234" s="1050"/>
      <c r="O234" s="89"/>
      <c r="P234" s="14"/>
      <c r="Q234" s="1036"/>
      <c r="R234" s="29"/>
      <c r="S234" s="29"/>
      <c r="T234" s="1790"/>
    </row>
    <row r="235" spans="1:20" ht="14.25" customHeight="1" x14ac:dyDescent="0.25">
      <c r="A235" s="1586"/>
      <c r="B235" s="1587"/>
      <c r="C235" s="1687"/>
      <c r="D235" s="1574" t="s">
        <v>347</v>
      </c>
      <c r="E235" s="1712" t="s">
        <v>298</v>
      </c>
      <c r="F235" s="36"/>
      <c r="G235" s="892"/>
      <c r="H235" s="888"/>
      <c r="I235" s="68"/>
      <c r="J235" s="1051"/>
      <c r="K235" s="1049"/>
      <c r="L235" s="113"/>
      <c r="M235" s="68"/>
      <c r="N235" s="1049"/>
      <c r="O235" s="56"/>
      <c r="P235" s="1054" t="s">
        <v>200</v>
      </c>
      <c r="Q235" s="1102"/>
      <c r="R235" s="1035" t="s">
        <v>49</v>
      </c>
      <c r="S235" s="1035"/>
      <c r="T235" s="204"/>
    </row>
    <row r="236" spans="1:20" ht="13.5" customHeight="1" x14ac:dyDescent="0.25">
      <c r="A236" s="1586"/>
      <c r="B236" s="1587"/>
      <c r="C236" s="1687"/>
      <c r="D236" s="1575"/>
      <c r="E236" s="1713"/>
      <c r="F236" s="36"/>
      <c r="G236" s="45"/>
      <c r="H236" s="127"/>
      <c r="I236" s="56"/>
      <c r="J236" s="45"/>
      <c r="K236" s="127"/>
      <c r="L236" s="35"/>
      <c r="M236" s="56"/>
      <c r="N236" s="127"/>
      <c r="O236" s="56"/>
      <c r="P236" s="1054"/>
      <c r="Q236" s="114"/>
      <c r="R236" s="114"/>
      <c r="S236" s="114"/>
      <c r="T236" s="171"/>
    </row>
    <row r="237" spans="1:20" ht="14.25" customHeight="1" x14ac:dyDescent="0.25">
      <c r="A237" s="1586"/>
      <c r="B237" s="1587"/>
      <c r="C237" s="1687"/>
      <c r="D237" s="1576"/>
      <c r="E237" s="1714"/>
      <c r="F237" s="877"/>
      <c r="G237" s="893"/>
      <c r="H237" s="889"/>
      <c r="I237" s="89"/>
      <c r="J237" s="1052"/>
      <c r="K237" s="1050"/>
      <c r="L237" s="102"/>
      <c r="M237" s="89"/>
      <c r="N237" s="1050"/>
      <c r="O237" s="89"/>
      <c r="P237" s="14"/>
      <c r="Q237" s="1036"/>
      <c r="R237" s="29"/>
      <c r="S237" s="29"/>
      <c r="T237" s="16"/>
    </row>
    <row r="238" spans="1:20" ht="29.25" customHeight="1" x14ac:dyDescent="0.25">
      <c r="A238" s="1586"/>
      <c r="B238" s="1587"/>
      <c r="C238" s="1687"/>
      <c r="D238" s="1574" t="s">
        <v>139</v>
      </c>
      <c r="E238" s="1665" t="s">
        <v>299</v>
      </c>
      <c r="F238" s="876"/>
      <c r="G238" s="892"/>
      <c r="H238" s="832"/>
      <c r="I238" s="847"/>
      <c r="J238" s="1051"/>
      <c r="K238" s="832"/>
      <c r="L238" s="1137"/>
      <c r="M238" s="68"/>
      <c r="N238" s="832"/>
      <c r="O238" s="847"/>
      <c r="P238" s="490" t="s">
        <v>149</v>
      </c>
      <c r="Q238" s="491">
        <v>8</v>
      </c>
      <c r="R238" s="473">
        <v>8</v>
      </c>
      <c r="S238" s="259">
        <v>8</v>
      </c>
      <c r="T238" s="1777"/>
    </row>
    <row r="239" spans="1:20" ht="29.25" customHeight="1" x14ac:dyDescent="0.25">
      <c r="A239" s="1586"/>
      <c r="B239" s="1587"/>
      <c r="C239" s="1687"/>
      <c r="D239" s="1576"/>
      <c r="E239" s="1676"/>
      <c r="F239" s="1313"/>
      <c r="G239" s="893"/>
      <c r="H239" s="889"/>
      <c r="I239" s="89"/>
      <c r="J239" s="1052"/>
      <c r="K239" s="1050"/>
      <c r="L239" s="102"/>
      <c r="M239" s="89"/>
      <c r="N239" s="1050"/>
      <c r="O239" s="89"/>
      <c r="P239" s="14" t="s">
        <v>348</v>
      </c>
      <c r="Q239" s="1307" t="s">
        <v>40</v>
      </c>
      <c r="R239" s="15">
        <v>6</v>
      </c>
      <c r="S239" s="29">
        <v>6</v>
      </c>
      <c r="T239" s="1778"/>
    </row>
    <row r="240" spans="1:20" ht="14.25" customHeight="1" x14ac:dyDescent="0.25">
      <c r="A240" s="1586"/>
      <c r="B240" s="1587"/>
      <c r="C240" s="1687"/>
      <c r="D240" s="1574" t="s">
        <v>364</v>
      </c>
      <c r="E240" s="1821" t="s">
        <v>202</v>
      </c>
      <c r="F240" s="218" t="s">
        <v>385</v>
      </c>
      <c r="G240" s="1020">
        <v>3.6</v>
      </c>
      <c r="H240" s="832">
        <f>3.6-1.8</f>
        <v>1.8</v>
      </c>
      <c r="I240" s="847">
        <f>+H240-G240</f>
        <v>-1.8</v>
      </c>
      <c r="J240" s="1051"/>
      <c r="K240" s="832"/>
      <c r="L240" s="1137"/>
      <c r="M240" s="68"/>
      <c r="N240" s="832"/>
      <c r="O240" s="847"/>
      <c r="P240" s="1581" t="s">
        <v>365</v>
      </c>
      <c r="Q240" s="1306">
        <v>3</v>
      </c>
      <c r="R240" s="1305">
        <v>5</v>
      </c>
      <c r="S240" s="1305">
        <v>5</v>
      </c>
      <c r="T240" s="1777"/>
    </row>
    <row r="241" spans="1:20" ht="15" customHeight="1" x14ac:dyDescent="0.25">
      <c r="A241" s="1586"/>
      <c r="B241" s="1587"/>
      <c r="C241" s="1687"/>
      <c r="D241" s="1576"/>
      <c r="E241" s="1822"/>
      <c r="F241" s="1038"/>
      <c r="G241" s="1052"/>
      <c r="H241" s="1050"/>
      <c r="I241" s="89"/>
      <c r="J241" s="1052"/>
      <c r="K241" s="1050"/>
      <c r="L241" s="102"/>
      <c r="M241" s="89"/>
      <c r="N241" s="1050"/>
      <c r="O241" s="89"/>
      <c r="P241" s="1619"/>
      <c r="Q241" s="1136"/>
      <c r="R241" s="15"/>
      <c r="S241" s="29"/>
      <c r="T241" s="1778"/>
    </row>
    <row r="242" spans="1:20" ht="18" customHeight="1" thickBot="1" x14ac:dyDescent="0.3">
      <c r="A242" s="610"/>
      <c r="B242" s="611"/>
      <c r="C242" s="609"/>
      <c r="D242" s="469"/>
      <c r="E242" s="470"/>
      <c r="F242" s="79" t="s">
        <v>5</v>
      </c>
      <c r="G242" s="105">
        <f>SUM(G218:G223)</f>
        <v>1875.9</v>
      </c>
      <c r="H242" s="105">
        <f>SUM(H218:H223)</f>
        <v>1874.1</v>
      </c>
      <c r="I242" s="1326">
        <f t="shared" ref="I242:O242" si="16">SUM(I218:I223)</f>
        <v>-1.8</v>
      </c>
      <c r="J242" s="1355">
        <f t="shared" si="16"/>
        <v>717.6</v>
      </c>
      <c r="K242" s="105">
        <f t="shared" si="16"/>
        <v>717.6</v>
      </c>
      <c r="L242" s="1326">
        <f t="shared" si="16"/>
        <v>0</v>
      </c>
      <c r="M242" s="1355">
        <f t="shared" si="16"/>
        <v>1532.1</v>
      </c>
      <c r="N242" s="105">
        <f t="shared" si="16"/>
        <v>1532.1</v>
      </c>
      <c r="O242" s="105">
        <f t="shared" si="16"/>
        <v>0</v>
      </c>
      <c r="P242" s="1142"/>
      <c r="Q242" s="1085"/>
      <c r="R242" s="108"/>
      <c r="S242" s="108"/>
      <c r="T242" s="227"/>
    </row>
    <row r="243" spans="1:20" ht="14.25" customHeight="1" thickBot="1" x14ac:dyDescent="0.3">
      <c r="A243" s="52" t="s">
        <v>4</v>
      </c>
      <c r="B243" s="43" t="s">
        <v>26</v>
      </c>
      <c r="C243" s="1649" t="s">
        <v>7</v>
      </c>
      <c r="D243" s="1649"/>
      <c r="E243" s="1649"/>
      <c r="F243" s="1718"/>
      <c r="G243" s="263">
        <f t="shared" ref="G243:O243" si="17">G242+G217</f>
        <v>3513.3</v>
      </c>
      <c r="H243" s="746">
        <f t="shared" si="17"/>
        <v>3601.7</v>
      </c>
      <c r="I243" s="1143">
        <f t="shared" si="17"/>
        <v>88.4</v>
      </c>
      <c r="J243" s="263">
        <f t="shared" si="17"/>
        <v>2270.6999999999998</v>
      </c>
      <c r="K243" s="746">
        <f t="shared" si="17"/>
        <v>2270.6999999999998</v>
      </c>
      <c r="L243" s="1144">
        <f t="shared" si="17"/>
        <v>0</v>
      </c>
      <c r="M243" s="614">
        <f t="shared" si="17"/>
        <v>2930.8</v>
      </c>
      <c r="N243" s="43">
        <f t="shared" si="17"/>
        <v>2930.8</v>
      </c>
      <c r="O243" s="614">
        <f t="shared" si="17"/>
        <v>0</v>
      </c>
      <c r="P243" s="1719"/>
      <c r="Q243" s="1677"/>
      <c r="R243" s="1677"/>
      <c r="S243" s="1677"/>
      <c r="T243" s="1678"/>
    </row>
    <row r="244" spans="1:20" ht="14.25" customHeight="1" thickBot="1" x14ac:dyDescent="0.3">
      <c r="A244" s="52" t="s">
        <v>4</v>
      </c>
      <c r="B244" s="1720" t="s">
        <v>8</v>
      </c>
      <c r="C244" s="1721"/>
      <c r="D244" s="1721"/>
      <c r="E244" s="1721"/>
      <c r="F244" s="1722"/>
      <c r="G244" s="39">
        <f t="shared" ref="G244:O244" si="18">G243+G188+G138</f>
        <v>33375.599999999999</v>
      </c>
      <c r="H244" s="796">
        <f t="shared" si="18"/>
        <v>35612.300000000003</v>
      </c>
      <c r="I244" s="1138">
        <f t="shared" si="18"/>
        <v>2236.6999999999998</v>
      </c>
      <c r="J244" s="39">
        <f t="shared" si="18"/>
        <v>34018.199999999997</v>
      </c>
      <c r="K244" s="796">
        <f t="shared" si="18"/>
        <v>44916.4</v>
      </c>
      <c r="L244" s="1145">
        <f t="shared" si="18"/>
        <v>10898.2</v>
      </c>
      <c r="M244" s="1140">
        <f t="shared" si="18"/>
        <v>32756.3</v>
      </c>
      <c r="N244" s="796">
        <f t="shared" si="18"/>
        <v>45266.400000000001</v>
      </c>
      <c r="O244" s="1138">
        <f t="shared" si="18"/>
        <v>12510.1</v>
      </c>
      <c r="P244" s="1819"/>
      <c r="Q244" s="1723"/>
      <c r="R244" s="1723"/>
      <c r="S244" s="1723"/>
      <c r="T244" s="1724"/>
    </row>
    <row r="245" spans="1:20" ht="14.25" customHeight="1" thickBot="1" x14ac:dyDescent="0.3">
      <c r="A245" s="57" t="s">
        <v>32</v>
      </c>
      <c r="B245" s="1725" t="s">
        <v>51</v>
      </c>
      <c r="C245" s="1726"/>
      <c r="D245" s="1726"/>
      <c r="E245" s="1726"/>
      <c r="F245" s="1727"/>
      <c r="G245" s="265">
        <f>SUM(G244)</f>
        <v>33375.599999999999</v>
      </c>
      <c r="H245" s="266">
        <f>SUM(H244)</f>
        <v>35612.300000000003</v>
      </c>
      <c r="I245" s="1139">
        <f>SUM(I244)</f>
        <v>2236.6999999999998</v>
      </c>
      <c r="J245" s="265">
        <f t="shared" ref="J245:M245" si="19">SUM(J244)</f>
        <v>34018.199999999997</v>
      </c>
      <c r="K245" s="266">
        <f t="shared" ref="K245:L245" si="20">SUM(K244)</f>
        <v>44916.4</v>
      </c>
      <c r="L245" s="819">
        <f t="shared" si="20"/>
        <v>10898.2</v>
      </c>
      <c r="M245" s="1141">
        <f t="shared" si="19"/>
        <v>32756.3</v>
      </c>
      <c r="N245" s="266">
        <f t="shared" ref="N245:O245" si="21">SUM(N244)</f>
        <v>45266.400000000001</v>
      </c>
      <c r="O245" s="1139">
        <f t="shared" si="21"/>
        <v>12510.1</v>
      </c>
      <c r="P245" s="1820"/>
      <c r="Q245" s="1728"/>
      <c r="R245" s="1728"/>
      <c r="S245" s="1728"/>
      <c r="T245" s="1729"/>
    </row>
    <row r="246" spans="1:20" ht="14.25" customHeight="1" x14ac:dyDescent="0.25">
      <c r="A246" s="1761"/>
      <c r="B246" s="1761"/>
      <c r="C246" s="1761"/>
      <c r="D246" s="1761"/>
      <c r="E246" s="1761"/>
      <c r="F246" s="1761"/>
      <c r="G246" s="1761"/>
      <c r="H246" s="1761"/>
      <c r="I246" s="1761"/>
      <c r="J246" s="1761"/>
      <c r="K246" s="764"/>
      <c r="L246" s="764"/>
      <c r="M246" s="378"/>
      <c r="N246" s="378"/>
      <c r="O246" s="378"/>
      <c r="P246" s="58"/>
      <c r="Q246" s="1098"/>
      <c r="R246" s="58"/>
      <c r="S246" s="58"/>
      <c r="T246" s="58"/>
    </row>
    <row r="247" spans="1:20" s="4" customFormat="1" ht="12" customHeight="1" x14ac:dyDescent="0.25">
      <c r="A247" s="300"/>
      <c r="B247" s="898"/>
      <c r="C247" s="898"/>
      <c r="D247" s="898"/>
      <c r="E247" s="899"/>
      <c r="F247" s="898"/>
      <c r="G247" s="898"/>
      <c r="H247" s="898"/>
      <c r="I247" s="898"/>
      <c r="J247" s="898"/>
      <c r="K247" s="898"/>
      <c r="L247" s="898"/>
      <c r="M247" s="898"/>
      <c r="N247" s="898"/>
      <c r="O247" s="898"/>
      <c r="P247" s="898"/>
      <c r="Q247" s="1103"/>
      <c r="R247" s="300"/>
      <c r="S247" s="300"/>
      <c r="T247" s="300"/>
    </row>
    <row r="248" spans="1:20" s="5" customFormat="1" ht="15" customHeight="1" thickBot="1" x14ac:dyDescent="0.3">
      <c r="A248" s="1762" t="s">
        <v>12</v>
      </c>
      <c r="B248" s="1762"/>
      <c r="C248" s="1762"/>
      <c r="D248" s="1762"/>
      <c r="E248" s="1762"/>
      <c r="F248" s="1762"/>
      <c r="G248" s="90"/>
      <c r="H248" s="90"/>
      <c r="I248" s="90"/>
      <c r="J248" s="90"/>
      <c r="K248" s="90"/>
      <c r="L248" s="90"/>
      <c r="M248" s="90"/>
      <c r="N248" s="90"/>
      <c r="O248" s="90"/>
      <c r="P248" s="58"/>
      <c r="Q248" s="1098"/>
      <c r="R248" s="58"/>
      <c r="S248" s="58"/>
      <c r="T248" s="58"/>
    </row>
    <row r="249" spans="1:20" ht="92.25" customHeight="1" thickBot="1" x14ac:dyDescent="0.3">
      <c r="A249" s="1763" t="s">
        <v>9</v>
      </c>
      <c r="B249" s="1764"/>
      <c r="C249" s="1764"/>
      <c r="D249" s="1764"/>
      <c r="E249" s="1764"/>
      <c r="F249" s="1765"/>
      <c r="G249" s="274" t="s">
        <v>212</v>
      </c>
      <c r="H249" s="797" t="s">
        <v>350</v>
      </c>
      <c r="I249" s="818" t="s">
        <v>144</v>
      </c>
      <c r="J249" s="900" t="s">
        <v>147</v>
      </c>
      <c r="K249" s="901" t="s">
        <v>352</v>
      </c>
      <c r="L249" s="902" t="s">
        <v>144</v>
      </c>
      <c r="M249" s="900" t="s">
        <v>213</v>
      </c>
      <c r="N249" s="901" t="s">
        <v>353</v>
      </c>
      <c r="O249" s="903" t="s">
        <v>144</v>
      </c>
      <c r="P249" s="10"/>
      <c r="R249" s="10"/>
      <c r="S249" s="10"/>
      <c r="T249" s="10"/>
    </row>
    <row r="250" spans="1:20" ht="14.25" customHeight="1" x14ac:dyDescent="0.25">
      <c r="A250" s="1766" t="s">
        <v>13</v>
      </c>
      <c r="B250" s="1767"/>
      <c r="C250" s="1767"/>
      <c r="D250" s="1767"/>
      <c r="E250" s="1767"/>
      <c r="F250" s="1768"/>
      <c r="G250" s="275">
        <f>G251+G256+G258+G259+G260+G261</f>
        <v>29731.5</v>
      </c>
      <c r="H250" s="368">
        <f t="shared" ref="H250:O250" si="22">H251+H259+H260+H261+H258</f>
        <v>31988.2</v>
      </c>
      <c r="I250" s="368">
        <f t="shared" si="22"/>
        <v>2256.6999999999998</v>
      </c>
      <c r="J250" s="275">
        <f>J251+J259+J260+J261+J258</f>
        <v>26852.3</v>
      </c>
      <c r="K250" s="368">
        <f t="shared" si="22"/>
        <v>26060.3</v>
      </c>
      <c r="L250" s="368">
        <f t="shared" si="22"/>
        <v>-792</v>
      </c>
      <c r="M250" s="275">
        <f t="shared" si="22"/>
        <v>19341.599999999999</v>
      </c>
      <c r="N250" s="368">
        <f t="shared" si="22"/>
        <v>17351.7</v>
      </c>
      <c r="O250" s="812">
        <f t="shared" si="22"/>
        <v>-1989.9</v>
      </c>
      <c r="P250" s="10"/>
      <c r="R250" s="10"/>
      <c r="S250" s="10"/>
      <c r="T250" s="10"/>
    </row>
    <row r="251" spans="1:20" ht="14.25" customHeight="1" x14ac:dyDescent="0.25">
      <c r="A251" s="1769" t="s">
        <v>70</v>
      </c>
      <c r="B251" s="1770"/>
      <c r="C251" s="1770"/>
      <c r="D251" s="1770"/>
      <c r="E251" s="1770"/>
      <c r="F251" s="1771"/>
      <c r="G251" s="276">
        <f>G252+G253+G254+G257+G255</f>
        <v>18194.400000000001</v>
      </c>
      <c r="H251" s="267">
        <f>SUM(H252:H257)</f>
        <v>25821.200000000001</v>
      </c>
      <c r="I251" s="267">
        <f>SUM(I252:I257)</f>
        <v>1456.7</v>
      </c>
      <c r="J251" s="276">
        <f>SUM(J252:J257)</f>
        <v>26821</v>
      </c>
      <c r="K251" s="267">
        <f t="shared" ref="K251" si="23">SUM(K252:K257)</f>
        <v>26029</v>
      </c>
      <c r="L251" s="267">
        <f t="shared" ref="L251" si="24">SUM(L252:L257)</f>
        <v>-792</v>
      </c>
      <c r="M251" s="276">
        <f t="shared" ref="M251" si="25">SUM(M252:M257)</f>
        <v>19310.3</v>
      </c>
      <c r="N251" s="267">
        <f>SUM(N252:N257)</f>
        <v>17320.400000000001</v>
      </c>
      <c r="O251" s="813">
        <f>SUM(O252:O257)</f>
        <v>-1989.9</v>
      </c>
      <c r="P251" s="10"/>
      <c r="R251" s="10"/>
      <c r="S251" s="10"/>
      <c r="T251" s="10"/>
    </row>
    <row r="252" spans="1:20" ht="14.25" customHeight="1" x14ac:dyDescent="0.25">
      <c r="A252" s="1715" t="s">
        <v>18</v>
      </c>
      <c r="B252" s="1716"/>
      <c r="C252" s="1716"/>
      <c r="D252" s="1716"/>
      <c r="E252" s="1716"/>
      <c r="F252" s="1717"/>
      <c r="G252" s="893">
        <f>SUMIF(F13:F245,"SB",G13:G245)</f>
        <v>8476.1</v>
      </c>
      <c r="H252" s="889">
        <f>SUMIF(F13:F245,"SB",H13:H245)</f>
        <v>9157.9</v>
      </c>
      <c r="I252" s="889">
        <f>SUMIF(F13:F245,"SB",I13:I245)</f>
        <v>681.8</v>
      </c>
      <c r="J252" s="893">
        <f>SUMIF(F13:F245,"SB",J13:J245)</f>
        <v>15077.2</v>
      </c>
      <c r="K252" s="889">
        <f>SUMIF(F13:F245,"SB",K13:K245)</f>
        <v>14653.3</v>
      </c>
      <c r="L252" s="889">
        <f>SUMIF(F13:F245,"SB",L13:L245)</f>
        <v>-423.9</v>
      </c>
      <c r="M252" s="893">
        <f>SUMIF(F13:F245,"SB",M13:M245)</f>
        <v>12032.6</v>
      </c>
      <c r="N252" s="889">
        <f>SUMIF(F13:F245,"SB",N13:N245)</f>
        <v>12193</v>
      </c>
      <c r="O252" s="26">
        <f>SUMIF(F13:F245,"SB",O13:O245)</f>
        <v>160.4</v>
      </c>
      <c r="P252" s="10"/>
      <c r="R252" s="10"/>
      <c r="S252" s="10"/>
      <c r="T252" s="10"/>
    </row>
    <row r="253" spans="1:20" ht="14.25" customHeight="1" x14ac:dyDescent="0.25">
      <c r="A253" s="1731" t="s">
        <v>62</v>
      </c>
      <c r="B253" s="1732"/>
      <c r="C253" s="1732"/>
      <c r="D253" s="1732"/>
      <c r="E253" s="1732"/>
      <c r="F253" s="1733"/>
      <c r="G253" s="893">
        <f>SUMIF(F13:F245,"SB(VR)",G13:G245)</f>
        <v>1900</v>
      </c>
      <c r="H253" s="889">
        <f>SUMIF(F13:F245,"SB(VR)",H13:H245)</f>
        <v>1900</v>
      </c>
      <c r="I253" s="889">
        <f>SUMIF(F13:F245,"SB(VR)",I13:I245)</f>
        <v>0</v>
      </c>
      <c r="J253" s="893">
        <f>SUMIF(F13:F245,"SB(VR)",J13:J245)</f>
        <v>1279.0999999999999</v>
      </c>
      <c r="K253" s="889">
        <f>SUMIF(F13:F245,"SB(VR)",K13:K245)</f>
        <v>1279.0999999999999</v>
      </c>
      <c r="L253" s="889">
        <f>SUMIF(F13:F245,"SB(VR)",L13:L245)</f>
        <v>0</v>
      </c>
      <c r="M253" s="893">
        <f>SUMIF(F13:F245,"SB(VR)",M13:M245)</f>
        <v>1501.5</v>
      </c>
      <c r="N253" s="889">
        <f>SUMIF(F13:F245,"SB(VR)",N13:N245)</f>
        <v>1501.5</v>
      </c>
      <c r="O253" s="26">
        <f>SUMIF(F13:F245,"SB(VR)",O13:O245)</f>
        <v>0</v>
      </c>
      <c r="P253" s="10"/>
      <c r="R253" s="10"/>
      <c r="S253" s="10"/>
      <c r="T253" s="10"/>
    </row>
    <row r="254" spans="1:20" ht="29.25" customHeight="1" x14ac:dyDescent="0.25">
      <c r="A254" s="1750" t="s">
        <v>110</v>
      </c>
      <c r="B254" s="1751"/>
      <c r="C254" s="1751"/>
      <c r="D254" s="1751"/>
      <c r="E254" s="1751"/>
      <c r="F254" s="1752"/>
      <c r="G254" s="86">
        <f>SUMIF(F13:F243,"SB(ES)",G13:G243)</f>
        <v>2802.6</v>
      </c>
      <c r="H254" s="94">
        <f>SUMIF(F13:F243,"SB(ES)",H13:H243)</f>
        <v>2912.5</v>
      </c>
      <c r="I254" s="851">
        <f>SUMIF(F13:F243,"SB(ES)",I13:I243)</f>
        <v>109.9</v>
      </c>
      <c r="J254" s="86">
        <f>SUMIF(F13:F243,"SB(ES)",J13:J243)</f>
        <v>136.5</v>
      </c>
      <c r="K254" s="94">
        <f>SUMIF(F13:F243,"SB(ES)",K13:K243)</f>
        <v>59.1</v>
      </c>
      <c r="L254" s="851">
        <f>SUMIF(F13:F243,"SB(ES)",L13:L243)</f>
        <v>-77.400000000000006</v>
      </c>
      <c r="M254" s="86">
        <f>SUMIF(F13:F243,"SB(ES)",M13:M243)</f>
        <v>0</v>
      </c>
      <c r="N254" s="94">
        <f>SUMIF(F13:F243,"SB(ES)",N13:N243)</f>
        <v>0</v>
      </c>
      <c r="O254" s="190">
        <f>SUMIF(F13:F245,"SB(ES)",O13:O245)</f>
        <v>0</v>
      </c>
      <c r="P254" s="10"/>
      <c r="R254" s="10"/>
      <c r="S254" s="10"/>
      <c r="T254" s="30"/>
    </row>
    <row r="255" spans="1:20" ht="14.25" customHeight="1" x14ac:dyDescent="0.25">
      <c r="A255" s="1750" t="s">
        <v>159</v>
      </c>
      <c r="B255" s="1751"/>
      <c r="C255" s="1751"/>
      <c r="D255" s="1751"/>
      <c r="E255" s="1751"/>
      <c r="F255" s="1752"/>
      <c r="G255" s="86">
        <f>SUMIF(F13:F243,"SB(VB)",G13:G243)</f>
        <v>5000</v>
      </c>
      <c r="H255" s="94">
        <f>SUMIF(F13:F243,"SB(VB)",H13:H243)</f>
        <v>5000</v>
      </c>
      <c r="I255" s="851">
        <f>SUMIF(F13:F243,"SB(VB)",I13:I243)</f>
        <v>0</v>
      </c>
      <c r="J255" s="86">
        <f>SUMIF(F13:F243,"SB(VB)",J13:J243)</f>
        <v>5000</v>
      </c>
      <c r="K255" s="94">
        <f>SUMIF(F13:F243,"SB(VB)",K13:K243)</f>
        <v>5000</v>
      </c>
      <c r="L255" s="851">
        <f>SUMIF(F13:F243,"SB(VB)",L13:L243)</f>
        <v>0</v>
      </c>
      <c r="M255" s="86">
        <f>SUMIF(F13:F243,"SB(VB)",M13:M243)</f>
        <v>0</v>
      </c>
      <c r="N255" s="94">
        <f>SUMIF(F13:F243,"SB(VB)",N13:N243)</f>
        <v>0</v>
      </c>
      <c r="O255" s="190">
        <f>SUMIF(F13:F245,"SB(VB)",O13:O245)</f>
        <v>0</v>
      </c>
      <c r="P255" s="10"/>
      <c r="R255" s="10"/>
      <c r="S255" s="10"/>
      <c r="T255" s="10"/>
    </row>
    <row r="256" spans="1:20" ht="28.5" customHeight="1" x14ac:dyDescent="0.25">
      <c r="A256" s="1518" t="s">
        <v>184</v>
      </c>
      <c r="B256" s="1756"/>
      <c r="C256" s="1756"/>
      <c r="D256" s="1756"/>
      <c r="E256" s="1756"/>
      <c r="F256" s="1757"/>
      <c r="G256" s="86">
        <f>SUMIF(F13:F245,"SB(KPP)",G13:G245)</f>
        <v>6170.1</v>
      </c>
      <c r="H256" s="94">
        <f>SUMIF(F13:F245,"SB(KPP)",H13:H245)</f>
        <v>6835.1</v>
      </c>
      <c r="I256" s="70">
        <f>SUMIF(F13:F245,"SB(KPP)",I13:I245)</f>
        <v>665</v>
      </c>
      <c r="J256" s="86">
        <f>SUMIF(F13:F245,"SB(KPP)",J13:J245)</f>
        <v>5303.3</v>
      </c>
      <c r="K256" s="850">
        <f>SUMIF(F13:F245,"SB(KPP)",K13:K245)</f>
        <v>5012.6000000000004</v>
      </c>
      <c r="L256" s="70">
        <f>SUMIF(F13:F245,"SB(KPP)",L13:L245)</f>
        <v>-290.7</v>
      </c>
      <c r="M256" s="86">
        <f>SUMIF(F13:F245,"SB(KPP)",M13:M245)</f>
        <v>5767.9</v>
      </c>
      <c r="N256" s="94">
        <f>SUMIF(F13:F245,"SB(KPP)",N13:N245)</f>
        <v>3617.6</v>
      </c>
      <c r="O256" s="190">
        <f>SUMIF(F13:F245,"SB(KPP)",O13:O245)</f>
        <v>-2150.3000000000002</v>
      </c>
      <c r="P256" s="10"/>
      <c r="R256" s="10"/>
      <c r="S256" s="10"/>
      <c r="T256" s="10"/>
    </row>
    <row r="257" spans="1:21" ht="28.5" customHeight="1" x14ac:dyDescent="0.25">
      <c r="A257" s="1518" t="s">
        <v>307</v>
      </c>
      <c r="B257" s="1828"/>
      <c r="C257" s="1828"/>
      <c r="D257" s="1828"/>
      <c r="E257" s="1828"/>
      <c r="F257" s="1829"/>
      <c r="G257" s="86">
        <f>SUMIF(F14:F246,"SB(ESA)",G14:G246)</f>
        <v>15.7</v>
      </c>
      <c r="H257" s="850">
        <f>SUMIF(F14:F246,"SB(ESA)",H14:H246)</f>
        <v>15.7</v>
      </c>
      <c r="I257" s="851">
        <f>SUMIF(F14:F246,"SB(ESA)",I14:I246)</f>
        <v>0</v>
      </c>
      <c r="J257" s="86">
        <f>SUMIF(F14:F246,"SB(ESA)",J14:J246)</f>
        <v>24.9</v>
      </c>
      <c r="K257" s="94">
        <f>SUMIF(F14:F246,"SB(ESA)",K14:K246)</f>
        <v>24.9</v>
      </c>
      <c r="L257" s="851">
        <f>SUMIF(F14:F246,"SB(ESA)",L14:L246)</f>
        <v>0</v>
      </c>
      <c r="M257" s="86">
        <f>SUMIF(F14:F246,"SB(ESA)",M14:M246)</f>
        <v>8.3000000000000007</v>
      </c>
      <c r="N257" s="94">
        <f>SUMIF(F14:F246,"SB(ESA)",N14:N246)</f>
        <v>8.3000000000000007</v>
      </c>
      <c r="O257" s="190">
        <f>SUMIF(F13:F245,"SB(ESA)",O13:O245)</f>
        <v>0</v>
      </c>
      <c r="P257" s="10"/>
      <c r="R257" s="10"/>
      <c r="S257" s="10"/>
      <c r="T257" s="10"/>
    </row>
    <row r="258" spans="1:21" ht="15.75" customHeight="1" x14ac:dyDescent="0.25">
      <c r="A258" s="1741" t="s">
        <v>359</v>
      </c>
      <c r="B258" s="1758"/>
      <c r="C258" s="1758"/>
      <c r="D258" s="1758"/>
      <c r="E258" s="1758"/>
      <c r="F258" s="1759"/>
      <c r="G258" s="366">
        <f>SUMIF(F11:F245,"KPP",G11:G245)</f>
        <v>0</v>
      </c>
      <c r="H258" s="369">
        <f>SUMIF(F11:F245,"KPP",H11:H245)</f>
        <v>0</v>
      </c>
      <c r="I258" s="852">
        <f>SUMIF(F11:F245,"KPP",I11:I245)</f>
        <v>0</v>
      </c>
      <c r="J258" s="366">
        <f>SUMIF(F11:F245,"KPP",J11:J245)</f>
        <v>0</v>
      </c>
      <c r="K258" s="369">
        <f>SUMIF(F11:F245,"KPP",K11:K245)</f>
        <v>0</v>
      </c>
      <c r="L258" s="369">
        <f>SUMIF(F11:F245,"KPP",L11:L245)</f>
        <v>0</v>
      </c>
      <c r="M258" s="366">
        <f>SUMIF(F11:F245,"KPP",M11:M245)</f>
        <v>0</v>
      </c>
      <c r="N258" s="369">
        <f>SUMIF(F11:F245,"KPP",N11:N245)</f>
        <v>0</v>
      </c>
      <c r="O258" s="815">
        <f>SUMIF(F11:F245,"KPP",O11:O245)</f>
        <v>0</v>
      </c>
      <c r="P258" s="10"/>
      <c r="R258" s="10"/>
      <c r="S258" s="10"/>
      <c r="T258" s="10"/>
    </row>
    <row r="259" spans="1:21" ht="14.25" customHeight="1" x14ac:dyDescent="0.25">
      <c r="A259" s="1760" t="s">
        <v>73</v>
      </c>
      <c r="B259" s="1742"/>
      <c r="C259" s="1742"/>
      <c r="D259" s="1742"/>
      <c r="E259" s="1742"/>
      <c r="F259" s="1743"/>
      <c r="G259" s="366">
        <f>SUMIF(F13:F244,"SB(VRL)",G13:G244)</f>
        <v>270.89999999999998</v>
      </c>
      <c r="H259" s="369">
        <f>SUMIF(F13:F244,"SB(VRL)",H13:H244)</f>
        <v>270.89999999999998</v>
      </c>
      <c r="I259" s="853">
        <f>SUMIF(F13:F244,"SB(VRL)",I13:I244)</f>
        <v>0</v>
      </c>
      <c r="J259" s="366">
        <f>SUMIF(F13:F244,"SB(VRL)",J13:J244)</f>
        <v>31.3</v>
      </c>
      <c r="K259" s="369">
        <f>SUMIF(F13:F244,"SB(VRL)",K13:K244)</f>
        <v>31.3</v>
      </c>
      <c r="L259" s="369">
        <f>SUMIF(F13:F244,"SB(VRL)",L13:L244)</f>
        <v>0</v>
      </c>
      <c r="M259" s="366">
        <f>SUMIF(F13:F244,"SB(VRL)",M13:M244)</f>
        <v>31.3</v>
      </c>
      <c r="N259" s="369">
        <f>SUMIF(F13:F244,"SB(VRL)",N13:N244)</f>
        <v>31.3</v>
      </c>
      <c r="O259" s="815">
        <f>SUMIF(F13:F245,"SB(VRL)",O13:O245)</f>
        <v>0</v>
      </c>
      <c r="P259" s="10"/>
      <c r="R259" s="10"/>
      <c r="S259" s="10"/>
      <c r="T259" s="10"/>
    </row>
    <row r="260" spans="1:21" ht="14.25" customHeight="1" x14ac:dyDescent="0.25">
      <c r="A260" s="1741" t="s">
        <v>74</v>
      </c>
      <c r="B260" s="1742"/>
      <c r="C260" s="1742"/>
      <c r="D260" s="1742"/>
      <c r="E260" s="1742"/>
      <c r="F260" s="1743"/>
      <c r="G260" s="366">
        <f>SUMIF(F13:F245,"SB(ŽPL)",G13:G245)</f>
        <v>744.1</v>
      </c>
      <c r="H260" s="369">
        <f>SUMIF(F13:F245,"SB(ŽPL)",H13:H245)</f>
        <v>690.1</v>
      </c>
      <c r="I260" s="853">
        <f>SUMIF(F13:F245,"SB(ŽPL)",I13:I245)</f>
        <v>-54</v>
      </c>
      <c r="J260" s="366">
        <f>SUMIF(F13:F245,"SB(ŽPL)",J13:J245)</f>
        <v>0</v>
      </c>
      <c r="K260" s="369">
        <f>SUMIF(F13:F245,"SB(ŽPL)",K13:K245)</f>
        <v>0</v>
      </c>
      <c r="L260" s="369">
        <f>SUMIF(F13:F245,"SB(ŽPL)",L13:L245)</f>
        <v>0</v>
      </c>
      <c r="M260" s="366">
        <f>SUMIF(F13:F245,"SB(ŽPL)",M13:M245)</f>
        <v>0</v>
      </c>
      <c r="N260" s="369">
        <f>SUMIF(F13:F245,"SB(ŽPL)",N13:N245)</f>
        <v>0</v>
      </c>
      <c r="O260" s="815">
        <f>SUMIF(F13:F245,"SB(ŽPL)",O13:O245)</f>
        <v>0</v>
      </c>
      <c r="P260" s="10"/>
      <c r="R260" s="10"/>
      <c r="S260" s="10"/>
      <c r="T260" s="10"/>
    </row>
    <row r="261" spans="1:21" ht="14.25" customHeight="1" x14ac:dyDescent="0.25">
      <c r="A261" s="1744" t="s">
        <v>116</v>
      </c>
      <c r="B261" s="1745"/>
      <c r="C261" s="1745"/>
      <c r="D261" s="1745"/>
      <c r="E261" s="1745"/>
      <c r="F261" s="1746"/>
      <c r="G261" s="366">
        <f>SUMIF(F13:F245,"SB(L)",G13:G245)</f>
        <v>4352</v>
      </c>
      <c r="H261" s="369">
        <f>SUMIF(F13:F245,"SB(L)",H13:H245)</f>
        <v>5206</v>
      </c>
      <c r="I261" s="369">
        <f>SUMIF(F13:F245,"SB(L)",I13:I245)</f>
        <v>854</v>
      </c>
      <c r="J261" s="366">
        <f>SUMIF(F13:F245,"SB(L)",J13:J245)</f>
        <v>0</v>
      </c>
      <c r="K261" s="369">
        <f>SUMIF(F13:F245,"SB(L)",K13:K245)</f>
        <v>0</v>
      </c>
      <c r="L261" s="369">
        <f>SUMIF(F13:F245,"SB(L)",L13:L245)</f>
        <v>0</v>
      </c>
      <c r="M261" s="366">
        <f>SUMIF(F13:F245,"SB(L)",M13:M245)</f>
        <v>0</v>
      </c>
      <c r="N261" s="369">
        <f>SUMIF(F13:F245,"SB(L)",N13:N245)</f>
        <v>0</v>
      </c>
      <c r="O261" s="815">
        <f>SUMIF(G13:G245,"SB(L)",O13:O245)</f>
        <v>0</v>
      </c>
      <c r="P261" s="10"/>
      <c r="R261" s="10"/>
      <c r="S261" s="10"/>
      <c r="T261" s="10"/>
    </row>
    <row r="262" spans="1:21" ht="14.25" customHeight="1" x14ac:dyDescent="0.25">
      <c r="A262" s="1747" t="s">
        <v>14</v>
      </c>
      <c r="B262" s="1748"/>
      <c r="C262" s="1748"/>
      <c r="D262" s="1748"/>
      <c r="E262" s="1748"/>
      <c r="F262" s="1749"/>
      <c r="G262" s="298">
        <f>G264+G265+G266+G263</f>
        <v>3644.1</v>
      </c>
      <c r="H262" s="299">
        <f>H264+H265+H266+H263</f>
        <v>3624.1</v>
      </c>
      <c r="I262" s="299">
        <f>I264+I265+I266+I263</f>
        <v>-20</v>
      </c>
      <c r="J262" s="298">
        <f t="shared" ref="J262:M262" si="26">J264+J265+J266+J263</f>
        <v>7165.9</v>
      </c>
      <c r="K262" s="299">
        <f t="shared" ref="K262" si="27">K264+K265+K266+K263</f>
        <v>18856.099999999999</v>
      </c>
      <c r="L262" s="299">
        <f t="shared" ref="L262" si="28">L264+L265+L266+L263</f>
        <v>11690.2</v>
      </c>
      <c r="M262" s="298">
        <f t="shared" si="26"/>
        <v>13414.7</v>
      </c>
      <c r="N262" s="299">
        <f t="shared" ref="N262:O262" si="29">N264+N265+N266+N263</f>
        <v>27914.7</v>
      </c>
      <c r="O262" s="816">
        <f t="shared" si="29"/>
        <v>14500</v>
      </c>
      <c r="P262" s="10"/>
      <c r="R262" s="10"/>
      <c r="S262" s="10"/>
      <c r="T262" s="10"/>
    </row>
    <row r="263" spans="1:21" ht="14.25" customHeight="1" x14ac:dyDescent="0.25">
      <c r="A263" s="1750" t="s">
        <v>19</v>
      </c>
      <c r="B263" s="1751"/>
      <c r="C263" s="1751"/>
      <c r="D263" s="1751"/>
      <c r="E263" s="1751"/>
      <c r="F263" s="1752"/>
      <c r="G263" s="86">
        <f>SUMIF(F13:F245,"ES",G13:G245)</f>
        <v>997</v>
      </c>
      <c r="H263" s="94">
        <f>SUMIF(F13:F245,"ES",H13:H245)</f>
        <v>997</v>
      </c>
      <c r="I263" s="94">
        <f>SUMIF(F13:F245,"ES",I13:I245)</f>
        <v>0</v>
      </c>
      <c r="J263" s="86">
        <f>SUMIF(F13:F245,"ES",J13:J245)</f>
        <v>1401.7</v>
      </c>
      <c r="K263" s="94">
        <f>SUMIF(F13:F245,"ES",K13:K245)</f>
        <v>1401.7</v>
      </c>
      <c r="L263" s="94">
        <f>SUMIF(F13:F245,"ES",L13:L245)</f>
        <v>0</v>
      </c>
      <c r="M263" s="86">
        <f>SUMIF(F13:F245,"ES",M13:M245)</f>
        <v>1339.6</v>
      </c>
      <c r="N263" s="94">
        <f>SUMIF(F13:F245,"ES",N13:N245)</f>
        <v>1339.6</v>
      </c>
      <c r="O263" s="814">
        <f>SUMIF(F13:F245,"ES",O13:O245)</f>
        <v>0</v>
      </c>
      <c r="P263" s="10"/>
      <c r="R263" s="10"/>
      <c r="S263" s="10"/>
      <c r="T263" s="10"/>
    </row>
    <row r="264" spans="1:21" ht="14.25" customHeight="1" x14ac:dyDescent="0.25">
      <c r="A264" s="1753" t="s">
        <v>20</v>
      </c>
      <c r="B264" s="1754"/>
      <c r="C264" s="1754"/>
      <c r="D264" s="1754"/>
      <c r="E264" s="1754"/>
      <c r="F264" s="1755"/>
      <c r="G264" s="86">
        <f>SUMIF(F13:F245,"KVJUD",G13:G245)</f>
        <v>1542</v>
      </c>
      <c r="H264" s="94">
        <f>SUMIF(F13:F245,"KVJUD",H13:H245)</f>
        <v>1542</v>
      </c>
      <c r="I264" s="94">
        <f>SUMIF(F13:F245,"KVJUD",I13:I245)</f>
        <v>0</v>
      </c>
      <c r="J264" s="86">
        <f>SUMIF(F13:F245,"KVJUD",J13:J245)</f>
        <v>0</v>
      </c>
      <c r="K264" s="94">
        <f>SUMIF(F13:F245,"KVJUD",K13:K245)</f>
        <v>1500</v>
      </c>
      <c r="L264" s="94">
        <f>SUMIF(F13:F245,"KVJUD",L13:L245)</f>
        <v>1500</v>
      </c>
      <c r="M264" s="86">
        <f>SUMIF(F13:F245,"KVJUD",M13:M245)</f>
        <v>0</v>
      </c>
      <c r="N264" s="94">
        <f>SUMIF(F13:F245,"KVJUD",N13:N245)</f>
        <v>1500</v>
      </c>
      <c r="O264" s="814">
        <f>SUMIF(F13:F245,"KVJUD",O13:O245)</f>
        <v>1500</v>
      </c>
      <c r="P264" s="10"/>
      <c r="Q264" s="1105"/>
      <c r="R264" s="30"/>
      <c r="S264" s="30"/>
      <c r="T264" s="30"/>
    </row>
    <row r="265" spans="1:21" ht="14.25" customHeight="1" x14ac:dyDescent="0.25">
      <c r="A265" s="1731" t="s">
        <v>21</v>
      </c>
      <c r="B265" s="1732"/>
      <c r="C265" s="1732"/>
      <c r="D265" s="1732"/>
      <c r="E265" s="1732"/>
      <c r="F265" s="1733"/>
      <c r="G265" s="86">
        <f>SUMIF(F13:F245,"LRVB",G13:G245)</f>
        <v>1000</v>
      </c>
      <c r="H265" s="94">
        <f>SUMIF(F13:F245,"LRVB",H13:H245)</f>
        <v>1000</v>
      </c>
      <c r="I265" s="94">
        <f>SUMIF(F13:F245,"LRVB",I13:I245)</f>
        <v>0</v>
      </c>
      <c r="J265" s="86">
        <f>SUMIF(F13:F245,"LRVB",J13:J245)</f>
        <v>5650</v>
      </c>
      <c r="K265" s="94">
        <f>SUMIF(F13:F245,"LRVB",K13:K245)</f>
        <v>15650</v>
      </c>
      <c r="L265" s="94">
        <f>SUMIF(F13:F245,"LRVB",L13:L245)</f>
        <v>10000</v>
      </c>
      <c r="M265" s="86">
        <f>SUMIF(F13:F245,"LRVB",M13:M245)</f>
        <v>12015.1</v>
      </c>
      <c r="N265" s="94">
        <f>SUMIF(F13:F245,"LRVB",N13:N245)</f>
        <v>25015.1</v>
      </c>
      <c r="O265" s="814">
        <f>SUMIF(F13:F245,"LRVB",O13:O245)</f>
        <v>13000</v>
      </c>
      <c r="P265" s="10"/>
      <c r="Q265" s="1105"/>
      <c r="R265" s="30"/>
      <c r="S265" s="30"/>
      <c r="T265" s="30"/>
    </row>
    <row r="266" spans="1:21" ht="14.25" customHeight="1" x14ac:dyDescent="0.25">
      <c r="A266" s="1734" t="s">
        <v>22</v>
      </c>
      <c r="B266" s="1735"/>
      <c r="C266" s="1735"/>
      <c r="D266" s="1735"/>
      <c r="E266" s="1735"/>
      <c r="F266" s="1736"/>
      <c r="G266" s="86">
        <f>SUMIF(F13:F245,"Kt",G13:G245)</f>
        <v>105.1</v>
      </c>
      <c r="H266" s="94">
        <f>SUMIF(F13:F245,"Kt",H13:H245)</f>
        <v>85.1</v>
      </c>
      <c r="I266" s="94">
        <f>SUMIF(F13:F245,"Kt",I13:I245)</f>
        <v>-20</v>
      </c>
      <c r="J266" s="86">
        <f>SUMIF(F13:F245,"Kt",J13:J245)</f>
        <v>114.2</v>
      </c>
      <c r="K266" s="94">
        <f>SUMIF(F13:F245,"Kt",K13:K245)</f>
        <v>304.39999999999998</v>
      </c>
      <c r="L266" s="94">
        <f>SUMIF(F13:F245,"Kt",L13:L245)</f>
        <v>190.2</v>
      </c>
      <c r="M266" s="86">
        <f>SUMIF(F13:F245,"Kt",M13:M245)</f>
        <v>60</v>
      </c>
      <c r="N266" s="94">
        <f>SUMIF(F13:F245,"Kt",N13:N245)</f>
        <v>60</v>
      </c>
      <c r="O266" s="814">
        <f>SUMIF(F13:F245,"Kt",O13:O245)</f>
        <v>0</v>
      </c>
      <c r="P266" s="10"/>
      <c r="Q266" s="1105"/>
      <c r="R266" s="30"/>
      <c r="S266" s="30"/>
      <c r="T266" s="30"/>
    </row>
    <row r="267" spans="1:21" ht="14.25" customHeight="1" thickBot="1" x14ac:dyDescent="0.3">
      <c r="A267" s="1737" t="s">
        <v>15</v>
      </c>
      <c r="B267" s="1738"/>
      <c r="C267" s="1738"/>
      <c r="D267" s="1738"/>
      <c r="E267" s="1738"/>
      <c r="F267" s="1739"/>
      <c r="G267" s="367">
        <f t="shared" ref="G267:K267" si="30">SUM(G250,G262)</f>
        <v>33375.599999999999</v>
      </c>
      <c r="H267" s="370">
        <f t="shared" si="30"/>
        <v>35612.300000000003</v>
      </c>
      <c r="I267" s="370">
        <f t="shared" si="30"/>
        <v>2236.6999999999998</v>
      </c>
      <c r="J267" s="367">
        <f t="shared" si="30"/>
        <v>34018.199999999997</v>
      </c>
      <c r="K267" s="370">
        <f t="shared" si="30"/>
        <v>44916.4</v>
      </c>
      <c r="L267" s="370">
        <f>SUM(L250,L262)</f>
        <v>10898.2</v>
      </c>
      <c r="M267" s="367">
        <f>SUM(M250,M262)</f>
        <v>32756.3</v>
      </c>
      <c r="N267" s="370">
        <f>SUM(N250,N262)</f>
        <v>45266.400000000001</v>
      </c>
      <c r="O267" s="817">
        <f>SUM(O250,O262)</f>
        <v>12510.1</v>
      </c>
      <c r="P267" s="10"/>
      <c r="Q267" s="1105"/>
      <c r="R267" s="30"/>
      <c r="S267" s="30"/>
      <c r="T267" s="30"/>
    </row>
    <row r="268" spans="1:21" x14ac:dyDescent="0.25">
      <c r="F268" s="268"/>
      <c r="G268" s="269"/>
      <c r="H268" s="269"/>
      <c r="I268" s="269"/>
      <c r="J268" s="269"/>
      <c r="K268" s="269"/>
      <c r="L268" s="269"/>
      <c r="M268" s="269"/>
      <c r="N268" s="269"/>
      <c r="O268" s="269"/>
      <c r="P268" s="4"/>
    </row>
    <row r="269" spans="1:21" x14ac:dyDescent="0.25">
      <c r="N269" s="10"/>
    </row>
    <row r="270" spans="1:21" s="2" customFormat="1" x14ac:dyDescent="0.25">
      <c r="E270" s="755"/>
      <c r="F270" s="3"/>
      <c r="G270" s="10"/>
      <c r="H270" s="10"/>
      <c r="I270" s="10"/>
      <c r="J270" s="10"/>
      <c r="K270" s="10"/>
      <c r="L270" s="10"/>
      <c r="M270" s="10"/>
      <c r="N270" s="10"/>
      <c r="O270" s="10"/>
      <c r="Q270" s="1104"/>
      <c r="U270" s="1"/>
    </row>
    <row r="271" spans="1:21" s="2" customFormat="1" x14ac:dyDescent="0.25">
      <c r="E271" s="755"/>
      <c r="F271" s="3"/>
      <c r="P271" s="10"/>
      <c r="Q271" s="1104"/>
      <c r="U271" s="1"/>
    </row>
    <row r="272" spans="1:21" s="2" customFormat="1" x14ac:dyDescent="0.25">
      <c r="E272" s="755"/>
      <c r="F272" s="3"/>
      <c r="M272" s="10"/>
      <c r="N272" s="10"/>
      <c r="O272" s="10"/>
      <c r="Q272" s="1104"/>
      <c r="U272" s="1"/>
    </row>
    <row r="274" spans="5:21" s="2" customFormat="1" x14ac:dyDescent="0.25">
      <c r="E274" s="755"/>
      <c r="F274" s="3"/>
      <c r="P274" s="10"/>
      <c r="Q274" s="1104"/>
      <c r="U274" s="1"/>
    </row>
    <row r="277" spans="5:21" s="2" customFormat="1" x14ac:dyDescent="0.25">
      <c r="E277" s="755"/>
      <c r="F277" s="3"/>
      <c r="P277" s="10"/>
      <c r="Q277" s="1104"/>
      <c r="U277" s="1"/>
    </row>
    <row r="280" spans="5:21" s="2" customFormat="1" x14ac:dyDescent="0.25">
      <c r="E280" s="755"/>
      <c r="F280" s="3"/>
      <c r="P280" s="10"/>
      <c r="Q280" s="1104"/>
      <c r="U280" s="1"/>
    </row>
  </sheetData>
  <mergeCells count="274">
    <mergeCell ref="T46:T48"/>
    <mergeCell ref="T56:T59"/>
    <mergeCell ref="T60:T62"/>
    <mergeCell ref="T63:T67"/>
    <mergeCell ref="T81:T82"/>
    <mergeCell ref="T75:T78"/>
    <mergeCell ref="T101:T102"/>
    <mergeCell ref="T125:T126"/>
    <mergeCell ref="T119:T120"/>
    <mergeCell ref="A2:T2"/>
    <mergeCell ref="A3:T3"/>
    <mergeCell ref="A4:T4"/>
    <mergeCell ref="P5:T5"/>
    <mergeCell ref="A6:A8"/>
    <mergeCell ref="B6:B8"/>
    <mergeCell ref="C6:C8"/>
    <mergeCell ref="D6:D8"/>
    <mergeCell ref="E6:E8"/>
    <mergeCell ref="F6:F8"/>
    <mergeCell ref="G6:G8"/>
    <mergeCell ref="J6:J8"/>
    <mergeCell ref="M6:M8"/>
    <mergeCell ref="P7:P8"/>
    <mergeCell ref="Q7:S7"/>
    <mergeCell ref="I6:I8"/>
    <mergeCell ref="L6:L8"/>
    <mergeCell ref="O6:O8"/>
    <mergeCell ref="P6:S6"/>
    <mergeCell ref="A49:A50"/>
    <mergeCell ref="B49:B50"/>
    <mergeCell ref="D63:D68"/>
    <mergeCell ref="P63:P64"/>
    <mergeCell ref="T160:T161"/>
    <mergeCell ref="D160:D161"/>
    <mergeCell ref="C49:C50"/>
    <mergeCell ref="D49:D50"/>
    <mergeCell ref="A60:A62"/>
    <mergeCell ref="B60:B62"/>
    <mergeCell ref="D60:D62"/>
    <mergeCell ref="P60:P61"/>
    <mergeCell ref="E61:E62"/>
    <mergeCell ref="E52:E53"/>
    <mergeCell ref="D54:D55"/>
    <mergeCell ref="E54:E55"/>
    <mergeCell ref="A56:A59"/>
    <mergeCell ref="B56:B59"/>
    <mergeCell ref="C56:C62"/>
    <mergeCell ref="D56:D59"/>
    <mergeCell ref="P56:P59"/>
    <mergeCell ref="C51:C55"/>
    <mergeCell ref="D51:D53"/>
    <mergeCell ref="D75:D76"/>
    <mergeCell ref="P77:P78"/>
    <mergeCell ref="D79:D80"/>
    <mergeCell ref="D81:D82"/>
    <mergeCell ref="E81:E82"/>
    <mergeCell ref="D69:D70"/>
    <mergeCell ref="E69:E70"/>
    <mergeCell ref="P69:P70"/>
    <mergeCell ref="D72:D74"/>
    <mergeCell ref="U85:U86"/>
    <mergeCell ref="A87:A90"/>
    <mergeCell ref="B87:B90"/>
    <mergeCell ref="C87:C90"/>
    <mergeCell ref="D87:D90"/>
    <mergeCell ref="E87:E90"/>
    <mergeCell ref="P89:P90"/>
    <mergeCell ref="A83:A84"/>
    <mergeCell ref="B83:B84"/>
    <mergeCell ref="D83:D84"/>
    <mergeCell ref="E83:E84"/>
    <mergeCell ref="P83:P84"/>
    <mergeCell ref="D85:D86"/>
    <mergeCell ref="E85:E86"/>
    <mergeCell ref="P85:P86"/>
    <mergeCell ref="D97:D99"/>
    <mergeCell ref="P97:P99"/>
    <mergeCell ref="C101:C108"/>
    <mergeCell ref="C109:C111"/>
    <mergeCell ref="D112:D115"/>
    <mergeCell ref="D91:D92"/>
    <mergeCell ref="E91:E92"/>
    <mergeCell ref="D93:D94"/>
    <mergeCell ref="E93:E94"/>
    <mergeCell ref="D95:D96"/>
    <mergeCell ref="E95:E96"/>
    <mergeCell ref="P95:P96"/>
    <mergeCell ref="A116:A117"/>
    <mergeCell ref="B116:B117"/>
    <mergeCell ref="C116:C117"/>
    <mergeCell ref="D116:D117"/>
    <mergeCell ref="P116:P117"/>
    <mergeCell ref="A118:A120"/>
    <mergeCell ref="B118:B120"/>
    <mergeCell ref="C118:C120"/>
    <mergeCell ref="D118:D120"/>
    <mergeCell ref="E118:E120"/>
    <mergeCell ref="D156:D157"/>
    <mergeCell ref="P156:P157"/>
    <mergeCell ref="T156:T157"/>
    <mergeCell ref="D158:D159"/>
    <mergeCell ref="P158:P159"/>
    <mergeCell ref="D121:D122"/>
    <mergeCell ref="P121:P122"/>
    <mergeCell ref="D123:D124"/>
    <mergeCell ref="D125:D126"/>
    <mergeCell ref="D127:D128"/>
    <mergeCell ref="E130:E132"/>
    <mergeCell ref="P130:P131"/>
    <mergeCell ref="D145:D146"/>
    <mergeCell ref="D147:D148"/>
    <mergeCell ref="D151:D153"/>
    <mergeCell ref="P151:P153"/>
    <mergeCell ref="D133:D134"/>
    <mergeCell ref="D135:D136"/>
    <mergeCell ref="C138:F138"/>
    <mergeCell ref="C139:T139"/>
    <mergeCell ref="D140:D143"/>
    <mergeCell ref="E140:E142"/>
    <mergeCell ref="T151:T153"/>
    <mergeCell ref="T145:T149"/>
    <mergeCell ref="A253:F253"/>
    <mergeCell ref="A215:A216"/>
    <mergeCell ref="B215:B216"/>
    <mergeCell ref="C215:C216"/>
    <mergeCell ref="D215:D216"/>
    <mergeCell ref="E215:E216"/>
    <mergeCell ref="D207:D208"/>
    <mergeCell ref="P207:P208"/>
    <mergeCell ref="D209:D210"/>
    <mergeCell ref="D211:D212"/>
    <mergeCell ref="P211:P212"/>
    <mergeCell ref="D213:D214"/>
    <mergeCell ref="D229:D231"/>
    <mergeCell ref="P229:P230"/>
    <mergeCell ref="A232:A234"/>
    <mergeCell ref="B232:B234"/>
    <mergeCell ref="C232:C234"/>
    <mergeCell ref="D232:D234"/>
    <mergeCell ref="D218:D223"/>
    <mergeCell ref="E218:E223"/>
    <mergeCell ref="A224:A226"/>
    <mergeCell ref="B224:B226"/>
    <mergeCell ref="C224:C226"/>
    <mergeCell ref="D224:D226"/>
    <mergeCell ref="A267:F267"/>
    <mergeCell ref="H6:H8"/>
    <mergeCell ref="K6:K8"/>
    <mergeCell ref="N6:N8"/>
    <mergeCell ref="N172:N173"/>
    <mergeCell ref="A260:F260"/>
    <mergeCell ref="A261:F261"/>
    <mergeCell ref="A262:F262"/>
    <mergeCell ref="A263:F263"/>
    <mergeCell ref="A264:F264"/>
    <mergeCell ref="A265:F265"/>
    <mergeCell ref="A254:F254"/>
    <mergeCell ref="A255:F255"/>
    <mergeCell ref="A256:F256"/>
    <mergeCell ref="A257:F257"/>
    <mergeCell ref="A258:F258"/>
    <mergeCell ref="A259:F259"/>
    <mergeCell ref="A248:F248"/>
    <mergeCell ref="A249:F249"/>
    <mergeCell ref="A250:F250"/>
    <mergeCell ref="A266:F266"/>
    <mergeCell ref="A251:F251"/>
    <mergeCell ref="A252:F252"/>
    <mergeCell ref="D26:D30"/>
    <mergeCell ref="P243:T243"/>
    <mergeCell ref="P244:T244"/>
    <mergeCell ref="B245:F245"/>
    <mergeCell ref="P245:T245"/>
    <mergeCell ref="A246:J246"/>
    <mergeCell ref="A238:A239"/>
    <mergeCell ref="B238:B239"/>
    <mergeCell ref="C238:C239"/>
    <mergeCell ref="D238:D239"/>
    <mergeCell ref="E238:E239"/>
    <mergeCell ref="C243:F243"/>
    <mergeCell ref="B244:F244"/>
    <mergeCell ref="A240:A241"/>
    <mergeCell ref="B240:B241"/>
    <mergeCell ref="C240:C241"/>
    <mergeCell ref="D240:D241"/>
    <mergeCell ref="E240:E241"/>
    <mergeCell ref="T240:T241"/>
    <mergeCell ref="P240:P241"/>
    <mergeCell ref="D174:D176"/>
    <mergeCell ref="A170:A171"/>
    <mergeCell ref="B170:B171"/>
    <mergeCell ref="C170:C171"/>
    <mergeCell ref="D170:D171"/>
    <mergeCell ref="E170:E171"/>
    <mergeCell ref="P170:P171"/>
    <mergeCell ref="Q162:Q163"/>
    <mergeCell ref="R162:R163"/>
    <mergeCell ref="A164:A166"/>
    <mergeCell ref="B164:B166"/>
    <mergeCell ref="C164:C166"/>
    <mergeCell ref="D164:D166"/>
    <mergeCell ref="E164:E166"/>
    <mergeCell ref="A162:A163"/>
    <mergeCell ref="B162:B163"/>
    <mergeCell ref="C162:C163"/>
    <mergeCell ref="D162:D163"/>
    <mergeCell ref="E162:E163"/>
    <mergeCell ref="P162:P163"/>
    <mergeCell ref="P34:P35"/>
    <mergeCell ref="P42:P45"/>
    <mergeCell ref="A9:T9"/>
    <mergeCell ref="A10:T10"/>
    <mergeCell ref="B11:T11"/>
    <mergeCell ref="C12:T12"/>
    <mergeCell ref="D13:D16"/>
    <mergeCell ref="E26:E30"/>
    <mergeCell ref="P27:P30"/>
    <mergeCell ref="A34:A41"/>
    <mergeCell ref="B34:B41"/>
    <mergeCell ref="C34:C41"/>
    <mergeCell ref="D34:D38"/>
    <mergeCell ref="D42:D45"/>
    <mergeCell ref="H28:H29"/>
    <mergeCell ref="T26:T30"/>
    <mergeCell ref="T34:T41"/>
    <mergeCell ref="T42:T45"/>
    <mergeCell ref="S162:S163"/>
    <mergeCell ref="S204:S205"/>
    <mergeCell ref="D190:D191"/>
    <mergeCell ref="D194:D201"/>
    <mergeCell ref="E194:E198"/>
    <mergeCell ref="T162:T163"/>
    <mergeCell ref="D204:D206"/>
    <mergeCell ref="P204:P205"/>
    <mergeCell ref="Q204:Q205"/>
    <mergeCell ref="D180:D181"/>
    <mergeCell ref="D182:D183"/>
    <mergeCell ref="C188:F188"/>
    <mergeCell ref="P188:T188"/>
    <mergeCell ref="C189:T189"/>
    <mergeCell ref="T204:T205"/>
    <mergeCell ref="D172:D173"/>
    <mergeCell ref="M172:M173"/>
    <mergeCell ref="P172:P173"/>
    <mergeCell ref="E174:E175"/>
    <mergeCell ref="D177:D179"/>
    <mergeCell ref="P178:P179"/>
    <mergeCell ref="D184:D186"/>
    <mergeCell ref="P184:P185"/>
    <mergeCell ref="T184:T186"/>
    <mergeCell ref="D46:D48"/>
    <mergeCell ref="T215:T216"/>
    <mergeCell ref="T238:T239"/>
    <mergeCell ref="T140:T143"/>
    <mergeCell ref="T218:T223"/>
    <mergeCell ref="T190:T193"/>
    <mergeCell ref="E232:E234"/>
    <mergeCell ref="A235:A237"/>
    <mergeCell ref="B235:B237"/>
    <mergeCell ref="C235:C237"/>
    <mergeCell ref="D235:D237"/>
    <mergeCell ref="E235:E237"/>
    <mergeCell ref="T121:T122"/>
    <mergeCell ref="T211:T212"/>
    <mergeCell ref="T202:T203"/>
    <mergeCell ref="T195:T196"/>
    <mergeCell ref="P224:P225"/>
    <mergeCell ref="D227:D228"/>
    <mergeCell ref="A229:A231"/>
    <mergeCell ref="B229:B231"/>
    <mergeCell ref="C229:C231"/>
    <mergeCell ref="T232:T234"/>
    <mergeCell ref="R204:R205"/>
    <mergeCell ref="Q47:Q48"/>
  </mergeCells>
  <printOptions horizontalCentered="1"/>
  <pageMargins left="0.11811023622047245" right="0.11811023622047245" top="0.39370078740157483" bottom="0.19685039370078741" header="0.31496062992125984" footer="0.31496062992125984"/>
  <pageSetup paperSize="9" scale="67" fitToHeight="0" orientation="landscape" r:id="rId1"/>
  <rowBreaks count="6" manualBreakCount="6">
    <brk id="41" max="19" man="1"/>
    <brk id="61" max="19" man="1"/>
    <brk id="90" max="19" man="1"/>
    <brk id="183" max="19" man="1"/>
    <brk id="217" max="19" man="1"/>
    <brk id="247" max="1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7"/>
  <sheetViews>
    <sheetView topLeftCell="A187" zoomScaleNormal="100" zoomScaleSheetLayoutView="100" workbookViewId="0">
      <selection activeCell="G212" sqref="G212"/>
    </sheetView>
  </sheetViews>
  <sheetFormatPr defaultColWidth="9.1796875" defaultRowHeight="13" x14ac:dyDescent="0.25"/>
  <cols>
    <col min="1" max="3" width="2.7265625" style="2" customWidth="1"/>
    <col min="4" max="4" width="36" style="2" customWidth="1"/>
    <col min="5" max="5" width="4.453125" style="755" customWidth="1"/>
    <col min="6" max="6" width="8.81640625" style="3" customWidth="1"/>
    <col min="7" max="8" width="8.26953125" style="2" customWidth="1"/>
    <col min="9" max="9" width="9.453125" style="2" customWidth="1"/>
    <col min="10" max="11" width="8.26953125" style="2" customWidth="1"/>
    <col min="12" max="12" width="8.7265625" style="2" customWidth="1"/>
    <col min="13" max="15" width="8.26953125" style="2" customWidth="1"/>
    <col min="16" max="16" width="35.81640625" style="2" customWidth="1"/>
    <col min="17" max="17" width="4.7265625" style="1104" customWidth="1"/>
    <col min="18" max="18" width="4.7265625" style="2" customWidth="1"/>
    <col min="19" max="19" width="5.26953125" style="2" customWidth="1"/>
    <col min="20" max="20" width="35.453125" style="2" customWidth="1"/>
    <col min="21" max="21" width="21.7265625" style="1" customWidth="1"/>
    <col min="22" max="25" width="9.1796875" style="1"/>
    <col min="26" max="26" width="8.7265625" style="1" customWidth="1"/>
    <col min="27" max="16384" width="9.1796875" style="1"/>
  </cols>
  <sheetData>
    <row r="1" spans="1:40" s="91" customFormat="1" ht="20.25" customHeight="1" x14ac:dyDescent="0.35">
      <c r="B1" s="225"/>
      <c r="C1" s="225"/>
      <c r="D1" s="225"/>
      <c r="E1" s="225"/>
      <c r="P1" s="429"/>
      <c r="Q1" s="1065"/>
      <c r="R1" s="339"/>
      <c r="S1" s="339"/>
      <c r="T1" s="429" t="s">
        <v>142</v>
      </c>
      <c r="U1" s="225"/>
      <c r="V1" s="225"/>
      <c r="W1" s="225"/>
      <c r="X1" s="225"/>
      <c r="Y1" s="225"/>
      <c r="Z1" s="225"/>
      <c r="AA1" s="225"/>
      <c r="AB1" s="225"/>
      <c r="AC1" s="225"/>
      <c r="AD1" s="225"/>
      <c r="AE1" s="225"/>
      <c r="AF1" s="225"/>
      <c r="AG1" s="225"/>
      <c r="AH1" s="225"/>
      <c r="AI1" s="225"/>
      <c r="AJ1" s="225"/>
      <c r="AK1" s="225"/>
      <c r="AL1" s="225"/>
      <c r="AM1" s="225"/>
      <c r="AN1" s="225"/>
    </row>
    <row r="2" spans="1:40" s="22" customFormat="1" ht="14" x14ac:dyDescent="0.25">
      <c r="A2" s="1521" t="s">
        <v>293</v>
      </c>
      <c r="B2" s="1521"/>
      <c r="C2" s="1521"/>
      <c r="D2" s="1521"/>
      <c r="E2" s="1521"/>
      <c r="F2" s="1521"/>
      <c r="G2" s="1521"/>
      <c r="H2" s="1521"/>
      <c r="I2" s="1521"/>
      <c r="J2" s="1521"/>
      <c r="K2" s="1521"/>
      <c r="L2" s="1521"/>
      <c r="M2" s="1521"/>
      <c r="N2" s="1521"/>
      <c r="O2" s="1521"/>
      <c r="P2" s="1521"/>
      <c r="Q2" s="1521"/>
      <c r="R2" s="1521"/>
      <c r="S2" s="1521"/>
      <c r="T2" s="1521"/>
    </row>
    <row r="3" spans="1:40" ht="15.75" customHeight="1" x14ac:dyDescent="0.25">
      <c r="A3" s="1522" t="s">
        <v>27</v>
      </c>
      <c r="B3" s="1522"/>
      <c r="C3" s="1522"/>
      <c r="D3" s="1522"/>
      <c r="E3" s="1522"/>
      <c r="F3" s="1522"/>
      <c r="G3" s="1522"/>
      <c r="H3" s="1522"/>
      <c r="I3" s="1522"/>
      <c r="J3" s="1522"/>
      <c r="K3" s="1522"/>
      <c r="L3" s="1522"/>
      <c r="M3" s="1522"/>
      <c r="N3" s="1522"/>
      <c r="O3" s="1522"/>
      <c r="P3" s="1522"/>
      <c r="Q3" s="1522"/>
      <c r="R3" s="1522"/>
      <c r="S3" s="1522"/>
      <c r="T3" s="1522"/>
    </row>
    <row r="4" spans="1:40" ht="15" customHeight="1" x14ac:dyDescent="0.25">
      <c r="A4" s="1523" t="s">
        <v>16</v>
      </c>
      <c r="B4" s="1523"/>
      <c r="C4" s="1523"/>
      <c r="D4" s="1523"/>
      <c r="E4" s="1523"/>
      <c r="F4" s="1523"/>
      <c r="G4" s="1523"/>
      <c r="H4" s="1523"/>
      <c r="I4" s="1523"/>
      <c r="J4" s="1523"/>
      <c r="K4" s="1523"/>
      <c r="L4" s="1523"/>
      <c r="M4" s="1523"/>
      <c r="N4" s="1523"/>
      <c r="O4" s="1523"/>
      <c r="P4" s="1523"/>
      <c r="Q4" s="1523"/>
      <c r="R4" s="1523"/>
      <c r="S4" s="1523"/>
      <c r="T4" s="1523"/>
    </row>
    <row r="5" spans="1:40" ht="15" customHeight="1" thickBot="1" x14ac:dyDescent="0.3">
      <c r="A5" s="11"/>
      <c r="B5" s="11"/>
      <c r="C5" s="11"/>
      <c r="D5" s="11"/>
      <c r="E5" s="533"/>
      <c r="F5" s="132"/>
      <c r="G5" s="11"/>
      <c r="H5" s="11"/>
      <c r="I5" s="11"/>
      <c r="J5" s="11"/>
      <c r="K5" s="11"/>
      <c r="L5" s="11"/>
      <c r="M5" s="11"/>
      <c r="N5" s="11"/>
      <c r="O5" s="11"/>
      <c r="P5" s="1524" t="s">
        <v>83</v>
      </c>
      <c r="Q5" s="1524"/>
      <c r="R5" s="1524"/>
      <c r="S5" s="1524"/>
      <c r="T5" s="1525"/>
    </row>
    <row r="6" spans="1:40" s="22" customFormat="1" ht="30" customHeight="1" x14ac:dyDescent="0.25">
      <c r="A6" s="1526" t="s">
        <v>17</v>
      </c>
      <c r="B6" s="1529" t="s">
        <v>0</v>
      </c>
      <c r="C6" s="1529" t="s">
        <v>1</v>
      </c>
      <c r="D6" s="1532" t="s">
        <v>11</v>
      </c>
      <c r="E6" s="1565" t="s">
        <v>2</v>
      </c>
      <c r="F6" s="1568" t="s">
        <v>3</v>
      </c>
      <c r="G6" s="1846" t="s">
        <v>212</v>
      </c>
      <c r="H6" s="1823" t="s">
        <v>350</v>
      </c>
      <c r="I6" s="1852" t="s">
        <v>144</v>
      </c>
      <c r="J6" s="1846" t="s">
        <v>147</v>
      </c>
      <c r="K6" s="1823" t="s">
        <v>194</v>
      </c>
      <c r="L6" s="1852" t="s">
        <v>144</v>
      </c>
      <c r="M6" s="1846" t="s">
        <v>147</v>
      </c>
      <c r="N6" s="1823" t="s">
        <v>349</v>
      </c>
      <c r="O6" s="1852" t="s">
        <v>144</v>
      </c>
      <c r="P6" s="1552" t="s">
        <v>10</v>
      </c>
      <c r="Q6" s="1553"/>
      <c r="R6" s="1553"/>
      <c r="S6" s="1855"/>
      <c r="T6" s="787"/>
    </row>
    <row r="7" spans="1:40" s="22" customFormat="1" ht="18.75" customHeight="1" x14ac:dyDescent="0.25">
      <c r="A7" s="1527"/>
      <c r="B7" s="1530"/>
      <c r="C7" s="1530"/>
      <c r="D7" s="1533"/>
      <c r="E7" s="1566"/>
      <c r="F7" s="1569"/>
      <c r="G7" s="1847"/>
      <c r="H7" s="1824"/>
      <c r="I7" s="1853"/>
      <c r="J7" s="1849"/>
      <c r="K7" s="1824"/>
      <c r="L7" s="1853"/>
      <c r="M7" s="1849"/>
      <c r="N7" s="1824"/>
      <c r="O7" s="1853"/>
      <c r="P7" s="1555" t="s">
        <v>11</v>
      </c>
      <c r="Q7" s="1851" t="s">
        <v>72</v>
      </c>
      <c r="R7" s="1557"/>
      <c r="S7" s="1557"/>
      <c r="T7" s="788"/>
    </row>
    <row r="8" spans="1:40" s="22" customFormat="1" ht="77.25" customHeight="1" thickBot="1" x14ac:dyDescent="0.3">
      <c r="A8" s="1528"/>
      <c r="B8" s="1531"/>
      <c r="C8" s="1531"/>
      <c r="D8" s="1534"/>
      <c r="E8" s="1567"/>
      <c r="F8" s="1570"/>
      <c r="G8" s="1848"/>
      <c r="H8" s="1825"/>
      <c r="I8" s="1854"/>
      <c r="J8" s="1850"/>
      <c r="K8" s="1825"/>
      <c r="L8" s="1854"/>
      <c r="M8" s="1850"/>
      <c r="N8" s="1825"/>
      <c r="O8" s="1854"/>
      <c r="P8" s="1556"/>
      <c r="Q8" s="1066" t="s">
        <v>114</v>
      </c>
      <c r="R8" s="92" t="s">
        <v>148</v>
      </c>
      <c r="S8" s="92" t="s">
        <v>211</v>
      </c>
      <c r="T8" s="768" t="s">
        <v>143</v>
      </c>
    </row>
    <row r="9" spans="1:40" s="7" customFormat="1" ht="14.25" customHeight="1" x14ac:dyDescent="0.25">
      <c r="A9" s="1559" t="s">
        <v>54</v>
      </c>
      <c r="B9" s="1560"/>
      <c r="C9" s="1560"/>
      <c r="D9" s="1560"/>
      <c r="E9" s="1560"/>
      <c r="F9" s="1560"/>
      <c r="G9" s="1560"/>
      <c r="H9" s="1560"/>
      <c r="I9" s="1560"/>
      <c r="J9" s="1560"/>
      <c r="K9" s="1560"/>
      <c r="L9" s="1560"/>
      <c r="M9" s="1560"/>
      <c r="N9" s="1560"/>
      <c r="O9" s="1560"/>
      <c r="P9" s="1560"/>
      <c r="Q9" s="1560"/>
      <c r="R9" s="1560"/>
      <c r="S9" s="1560"/>
      <c r="T9" s="1561"/>
    </row>
    <row r="10" spans="1:40" s="7" customFormat="1" ht="14.25" customHeight="1" x14ac:dyDescent="0.25">
      <c r="A10" s="1562" t="s">
        <v>24</v>
      </c>
      <c r="B10" s="1563"/>
      <c r="C10" s="1563"/>
      <c r="D10" s="1563"/>
      <c r="E10" s="1563"/>
      <c r="F10" s="1563"/>
      <c r="G10" s="1563"/>
      <c r="H10" s="1563"/>
      <c r="I10" s="1563"/>
      <c r="J10" s="1563"/>
      <c r="K10" s="1563"/>
      <c r="L10" s="1563"/>
      <c r="M10" s="1563"/>
      <c r="N10" s="1563"/>
      <c r="O10" s="1563"/>
      <c r="P10" s="1563"/>
      <c r="Q10" s="1563"/>
      <c r="R10" s="1563"/>
      <c r="S10" s="1563"/>
      <c r="T10" s="1564"/>
    </row>
    <row r="11" spans="1:40" ht="16.5" customHeight="1" x14ac:dyDescent="0.25">
      <c r="A11" s="13" t="s">
        <v>4</v>
      </c>
      <c r="B11" s="1535" t="s">
        <v>28</v>
      </c>
      <c r="C11" s="1536"/>
      <c r="D11" s="1536"/>
      <c r="E11" s="1536"/>
      <c r="F11" s="1536"/>
      <c r="G11" s="1536"/>
      <c r="H11" s="1536"/>
      <c r="I11" s="1536"/>
      <c r="J11" s="1536"/>
      <c r="K11" s="1536"/>
      <c r="L11" s="1536"/>
      <c r="M11" s="1536"/>
      <c r="N11" s="1536"/>
      <c r="O11" s="1536"/>
      <c r="P11" s="1536"/>
      <c r="Q11" s="1536"/>
      <c r="R11" s="1536"/>
      <c r="S11" s="1536"/>
      <c r="T11" s="1537"/>
    </row>
    <row r="12" spans="1:40" ht="15" customHeight="1" x14ac:dyDescent="0.25">
      <c r="A12" s="131" t="s">
        <v>4</v>
      </c>
      <c r="B12" s="9" t="s">
        <v>4</v>
      </c>
      <c r="C12" s="1538" t="s">
        <v>273</v>
      </c>
      <c r="D12" s="1539"/>
      <c r="E12" s="1539"/>
      <c r="F12" s="1539"/>
      <c r="G12" s="1539"/>
      <c r="H12" s="1539"/>
      <c r="I12" s="1539"/>
      <c r="J12" s="1539"/>
      <c r="K12" s="1539"/>
      <c r="L12" s="1539"/>
      <c r="M12" s="1539"/>
      <c r="N12" s="1539"/>
      <c r="O12" s="1539"/>
      <c r="P12" s="1539"/>
      <c r="Q12" s="1539"/>
      <c r="R12" s="1539"/>
      <c r="S12" s="1539"/>
      <c r="T12" s="1540"/>
    </row>
    <row r="13" spans="1:40" ht="13.5" customHeight="1" x14ac:dyDescent="0.25">
      <c r="A13" s="1191" t="s">
        <v>4</v>
      </c>
      <c r="B13" s="1192" t="s">
        <v>4</v>
      </c>
      <c r="C13" s="1183" t="s">
        <v>4</v>
      </c>
      <c r="D13" s="1541" t="s">
        <v>232</v>
      </c>
      <c r="E13" s="594" t="s">
        <v>44</v>
      </c>
      <c r="F13" s="334" t="s">
        <v>23</v>
      </c>
      <c r="G13" s="350">
        <f>3411.5+88.8</f>
        <v>3500.3</v>
      </c>
      <c r="H13" s="349">
        <f>3411.5+88.8</f>
        <v>3500.3</v>
      </c>
      <c r="I13" s="358"/>
      <c r="J13" s="156">
        <v>9281.9</v>
      </c>
      <c r="K13" s="349">
        <v>9281.9</v>
      </c>
      <c r="L13" s="358"/>
      <c r="M13" s="1204">
        <v>4329.7</v>
      </c>
      <c r="N13" s="1198">
        <v>4329.7</v>
      </c>
      <c r="O13" s="56"/>
      <c r="P13" s="161"/>
      <c r="Q13" s="1067"/>
      <c r="R13" s="416"/>
      <c r="S13" s="416"/>
      <c r="T13" s="479"/>
    </row>
    <row r="14" spans="1:40" ht="13.5" customHeight="1" x14ac:dyDescent="0.25">
      <c r="A14" s="1191"/>
      <c r="B14" s="762"/>
      <c r="C14" s="1183"/>
      <c r="D14" s="1807"/>
      <c r="E14" s="594" t="s">
        <v>246</v>
      </c>
      <c r="F14" s="480" t="s">
        <v>53</v>
      </c>
      <c r="G14" s="110">
        <f>1657.5+165</f>
        <v>1822.5</v>
      </c>
      <c r="H14" s="383">
        <f>1657.5+165</f>
        <v>1822.5</v>
      </c>
      <c r="I14" s="384"/>
      <c r="J14" s="78">
        <v>0</v>
      </c>
      <c r="K14" s="383">
        <v>0</v>
      </c>
      <c r="L14" s="384"/>
      <c r="M14" s="78">
        <v>0</v>
      </c>
      <c r="N14" s="383">
        <v>0</v>
      </c>
      <c r="O14" s="384"/>
      <c r="P14" s="161"/>
      <c r="Q14" s="1068"/>
      <c r="R14" s="163"/>
      <c r="S14" s="163"/>
      <c r="T14" s="164"/>
    </row>
    <row r="15" spans="1:40" ht="13.5" customHeight="1" x14ac:dyDescent="0.25">
      <c r="A15" s="1191"/>
      <c r="B15" s="762"/>
      <c r="C15" s="1183"/>
      <c r="D15" s="1807"/>
      <c r="E15" s="591"/>
      <c r="F15" s="599" t="s">
        <v>75</v>
      </c>
      <c r="G15" s="56">
        <v>744.1</v>
      </c>
      <c r="H15" s="127">
        <v>744.1</v>
      </c>
      <c r="I15" s="35"/>
      <c r="J15" s="45">
        <v>0</v>
      </c>
      <c r="K15" s="127">
        <v>0</v>
      </c>
      <c r="L15" s="35"/>
      <c r="M15" s="78">
        <v>0</v>
      </c>
      <c r="N15" s="383">
        <v>0</v>
      </c>
      <c r="O15" s="384"/>
      <c r="P15" s="161"/>
      <c r="Q15" s="1068"/>
      <c r="R15" s="163"/>
      <c r="S15" s="163"/>
      <c r="T15" s="164"/>
    </row>
    <row r="16" spans="1:40" ht="13.5" customHeight="1" x14ac:dyDescent="0.25">
      <c r="A16" s="1191"/>
      <c r="B16" s="762"/>
      <c r="C16" s="1183"/>
      <c r="D16" s="1807"/>
      <c r="E16" s="591"/>
      <c r="F16" s="480" t="s">
        <v>76</v>
      </c>
      <c r="G16" s="383">
        <f>4417.2+400</f>
        <v>4817.2</v>
      </c>
      <c r="H16" s="383">
        <f>4417.2+400</f>
        <v>4817.2</v>
      </c>
      <c r="I16" s="384"/>
      <c r="J16" s="78">
        <f>5083.3</f>
        <v>5083.3</v>
      </c>
      <c r="K16" s="383">
        <f>5083.3</f>
        <v>5083.3</v>
      </c>
      <c r="L16" s="384"/>
      <c r="M16" s="383">
        <f>5467.9+100</f>
        <v>5567.9</v>
      </c>
      <c r="N16" s="383">
        <f>5467.9+100</f>
        <v>5567.9</v>
      </c>
      <c r="O16" s="384"/>
      <c r="P16" s="161"/>
      <c r="Q16" s="1068"/>
      <c r="R16" s="163"/>
      <c r="S16" s="163"/>
      <c r="T16" s="164"/>
    </row>
    <row r="17" spans="1:21" ht="13.5" customHeight="1" x14ac:dyDescent="0.25">
      <c r="A17" s="1191"/>
      <c r="B17" s="762"/>
      <c r="C17" s="1183"/>
      <c r="D17" s="477"/>
      <c r="E17" s="591"/>
      <c r="F17" s="34" t="s">
        <v>61</v>
      </c>
      <c r="G17" s="110">
        <v>0</v>
      </c>
      <c r="H17" s="383">
        <v>0</v>
      </c>
      <c r="I17" s="384"/>
      <c r="J17" s="78">
        <v>0</v>
      </c>
      <c r="K17" s="383">
        <v>0</v>
      </c>
      <c r="L17" s="384"/>
      <c r="M17" s="78">
        <v>0</v>
      </c>
      <c r="N17" s="383">
        <v>0</v>
      </c>
      <c r="O17" s="384"/>
      <c r="P17" s="161"/>
      <c r="Q17" s="1068"/>
      <c r="R17" s="163"/>
      <c r="S17" s="163"/>
      <c r="T17" s="164"/>
    </row>
    <row r="18" spans="1:21" ht="13.5" customHeight="1" x14ac:dyDescent="0.25">
      <c r="A18" s="1191"/>
      <c r="B18" s="762"/>
      <c r="C18" s="1183"/>
      <c r="D18" s="477"/>
      <c r="E18" s="591"/>
      <c r="F18" s="36" t="s">
        <v>63</v>
      </c>
      <c r="G18" s="69">
        <v>84.3</v>
      </c>
      <c r="H18" s="380">
        <v>84.3</v>
      </c>
      <c r="I18" s="381"/>
      <c r="J18" s="85">
        <v>0</v>
      </c>
      <c r="K18" s="380">
        <v>0</v>
      </c>
      <c r="L18" s="381"/>
      <c r="M18" s="78">
        <v>0</v>
      </c>
      <c r="N18" s="383">
        <v>0</v>
      </c>
      <c r="O18" s="384"/>
      <c r="P18" s="161"/>
      <c r="Q18" s="1068"/>
      <c r="R18" s="163"/>
      <c r="S18" s="163"/>
      <c r="T18" s="164"/>
    </row>
    <row r="19" spans="1:21" ht="13.5" customHeight="1" x14ac:dyDescent="0.25">
      <c r="A19" s="1191"/>
      <c r="B19" s="762"/>
      <c r="C19" s="1183"/>
      <c r="D19" s="477"/>
      <c r="E19" s="591"/>
      <c r="F19" s="480" t="s">
        <v>146</v>
      </c>
      <c r="G19" s="110">
        <f>1003.7+251.6</f>
        <v>1255.3</v>
      </c>
      <c r="H19" s="383">
        <f>1003.7+251.6</f>
        <v>1255.3</v>
      </c>
      <c r="I19" s="384"/>
      <c r="J19" s="78">
        <f>430.2+912.9</f>
        <v>1343.1</v>
      </c>
      <c r="K19" s="383">
        <f>430.2+912.9</f>
        <v>1343.1</v>
      </c>
      <c r="L19" s="384"/>
      <c r="M19" s="78">
        <v>0</v>
      </c>
      <c r="N19" s="383">
        <v>0</v>
      </c>
      <c r="O19" s="314"/>
      <c r="P19" s="172"/>
      <c r="Q19" s="1068"/>
      <c r="R19" s="163"/>
      <c r="S19" s="163"/>
      <c r="T19" s="164"/>
    </row>
    <row r="20" spans="1:21" ht="13.5" customHeight="1" x14ac:dyDescent="0.25">
      <c r="A20" s="1191"/>
      <c r="B20" s="762"/>
      <c r="C20" s="1183"/>
      <c r="D20" s="477"/>
      <c r="E20" s="591"/>
      <c r="F20" s="480" t="s">
        <v>308</v>
      </c>
      <c r="G20" s="69">
        <v>5000</v>
      </c>
      <c r="H20" s="380">
        <v>5000</v>
      </c>
      <c r="I20" s="381"/>
      <c r="J20" s="85">
        <v>5000</v>
      </c>
      <c r="K20" s="380">
        <v>5000</v>
      </c>
      <c r="L20" s="381"/>
      <c r="M20" s="78"/>
      <c r="N20" s="383"/>
      <c r="O20" s="314"/>
      <c r="P20" s="172"/>
      <c r="Q20" s="1068"/>
      <c r="R20" s="163"/>
      <c r="S20" s="163"/>
      <c r="T20" s="164"/>
    </row>
    <row r="21" spans="1:21" ht="13.5" customHeight="1" x14ac:dyDescent="0.25">
      <c r="A21" s="1191"/>
      <c r="B21" s="762"/>
      <c r="C21" s="1183"/>
      <c r="D21" s="477"/>
      <c r="E21" s="591"/>
      <c r="F21" s="480" t="s">
        <v>358</v>
      </c>
      <c r="G21" s="69">
        <v>0</v>
      </c>
      <c r="H21" s="380">
        <v>0</v>
      </c>
      <c r="I21" s="381"/>
      <c r="J21" s="85">
        <v>0</v>
      </c>
      <c r="K21" s="380">
        <v>0</v>
      </c>
      <c r="L21" s="381"/>
      <c r="M21" s="78">
        <v>0</v>
      </c>
      <c r="N21" s="383">
        <v>0</v>
      </c>
      <c r="O21" s="314"/>
      <c r="P21" s="172"/>
      <c r="Q21" s="1068"/>
      <c r="R21" s="163"/>
      <c r="S21" s="163"/>
      <c r="T21" s="164"/>
    </row>
    <row r="22" spans="1:21" ht="13.5" customHeight="1" x14ac:dyDescent="0.25">
      <c r="A22" s="1191"/>
      <c r="B22" s="762"/>
      <c r="C22" s="1183"/>
      <c r="D22" s="477"/>
      <c r="E22" s="591"/>
      <c r="F22" s="480" t="s">
        <v>41</v>
      </c>
      <c r="G22" s="69">
        <f>291.6-251.6</f>
        <v>40</v>
      </c>
      <c r="H22" s="380">
        <f>291.6-251.6</f>
        <v>40</v>
      </c>
      <c r="I22" s="381"/>
      <c r="J22" s="85">
        <f>2207.3-912.9</f>
        <v>1294.4000000000001</v>
      </c>
      <c r="K22" s="380">
        <f>2207.3-912.9</f>
        <v>1294.4000000000001</v>
      </c>
      <c r="L22" s="381"/>
      <c r="M22" s="78">
        <v>1339.6</v>
      </c>
      <c r="N22" s="383">
        <v>1339.6</v>
      </c>
      <c r="O22" s="314"/>
      <c r="P22" s="172"/>
      <c r="Q22" s="1068"/>
      <c r="R22" s="163"/>
      <c r="S22" s="163"/>
      <c r="T22" s="164"/>
    </row>
    <row r="23" spans="1:21" ht="13.5" customHeight="1" x14ac:dyDescent="0.25">
      <c r="A23" s="1191"/>
      <c r="B23" s="762"/>
      <c r="C23" s="1183"/>
      <c r="D23" s="477"/>
      <c r="E23" s="591"/>
      <c r="F23" s="480" t="s">
        <v>45</v>
      </c>
      <c r="G23" s="110">
        <v>1542</v>
      </c>
      <c r="H23" s="383">
        <v>1542</v>
      </c>
      <c r="I23" s="384"/>
      <c r="J23" s="78">
        <v>0</v>
      </c>
      <c r="K23" s="383">
        <v>0</v>
      </c>
      <c r="L23" s="384"/>
      <c r="M23" s="78">
        <v>0</v>
      </c>
      <c r="N23" s="383">
        <v>0</v>
      </c>
      <c r="O23" s="314"/>
      <c r="P23" s="172"/>
      <c r="Q23" s="1068"/>
      <c r="R23" s="163"/>
      <c r="S23" s="163"/>
      <c r="T23" s="164"/>
    </row>
    <row r="24" spans="1:21" ht="13.5" customHeight="1" x14ac:dyDescent="0.25">
      <c r="A24" s="1191"/>
      <c r="B24" s="762"/>
      <c r="C24" s="1183"/>
      <c r="D24" s="477"/>
      <c r="E24" s="591"/>
      <c r="F24" s="599" t="s">
        <v>157</v>
      </c>
      <c r="G24" s="45">
        <f>1000</f>
        <v>1000</v>
      </c>
      <c r="H24" s="127">
        <f>1000</f>
        <v>1000</v>
      </c>
      <c r="I24" s="35"/>
      <c r="J24" s="45">
        <f>6350</f>
        <v>6350</v>
      </c>
      <c r="K24" s="127">
        <f>6350</f>
        <v>6350</v>
      </c>
      <c r="L24" s="35"/>
      <c r="M24" s="78">
        <v>13015.1</v>
      </c>
      <c r="N24" s="383">
        <v>13015.1</v>
      </c>
      <c r="O24" s="314"/>
      <c r="P24" s="172"/>
      <c r="Q24" s="1068"/>
      <c r="R24" s="163"/>
      <c r="S24" s="163"/>
      <c r="T24" s="164"/>
    </row>
    <row r="25" spans="1:21" ht="13.5" customHeight="1" x14ac:dyDescent="0.25">
      <c r="A25" s="1191"/>
      <c r="B25" s="762"/>
      <c r="C25" s="1183"/>
      <c r="D25" s="477"/>
      <c r="E25" s="591"/>
      <c r="F25" s="480" t="s">
        <v>42</v>
      </c>
      <c r="G25" s="293">
        <f>100.2+4.9</f>
        <v>105.1</v>
      </c>
      <c r="H25" s="444">
        <f>100.2+4.9</f>
        <v>105.1</v>
      </c>
      <c r="I25" s="445"/>
      <c r="J25" s="293">
        <v>114.2</v>
      </c>
      <c r="K25" s="444">
        <v>114.2</v>
      </c>
      <c r="L25" s="445"/>
      <c r="M25" s="1205">
        <v>60</v>
      </c>
      <c r="N25" s="1199">
        <v>60</v>
      </c>
      <c r="O25" s="26"/>
      <c r="P25" s="775"/>
      <c r="Q25" s="1069"/>
      <c r="R25" s="486"/>
      <c r="S25" s="163"/>
      <c r="T25" s="164"/>
      <c r="U25"/>
    </row>
    <row r="26" spans="1:21" ht="13.5" customHeight="1" x14ac:dyDescent="0.25">
      <c r="A26" s="1148"/>
      <c r="B26" s="1153"/>
      <c r="C26" s="1150"/>
      <c r="D26" s="1543" t="s">
        <v>94</v>
      </c>
      <c r="E26" s="1545" t="s">
        <v>247</v>
      </c>
      <c r="F26" s="332"/>
      <c r="G26" s="56"/>
      <c r="H26" s="127"/>
      <c r="I26" s="56"/>
      <c r="J26" s="45"/>
      <c r="K26" s="127"/>
      <c r="L26" s="35"/>
      <c r="M26" s="45"/>
      <c r="N26" s="127"/>
      <c r="O26" s="24"/>
      <c r="P26" s="1214" t="s">
        <v>43</v>
      </c>
      <c r="Q26" s="1203">
        <v>1</v>
      </c>
      <c r="R26" s="1188"/>
      <c r="S26" s="1187"/>
      <c r="T26" s="1777"/>
    </row>
    <row r="27" spans="1:21" ht="13.5" customHeight="1" x14ac:dyDescent="0.25">
      <c r="A27" s="1148"/>
      <c r="B27" s="1153"/>
      <c r="C27" s="1150"/>
      <c r="D27" s="1544"/>
      <c r="E27" s="1546"/>
      <c r="F27" s="37"/>
      <c r="G27" s="56"/>
      <c r="H27" s="127"/>
      <c r="I27" s="56"/>
      <c r="J27" s="45"/>
      <c r="K27" s="127"/>
      <c r="L27" s="35"/>
      <c r="M27" s="45"/>
      <c r="N27" s="127"/>
      <c r="O27" s="24"/>
      <c r="P27" s="1869" t="s">
        <v>153</v>
      </c>
      <c r="Q27" s="205">
        <v>15</v>
      </c>
      <c r="R27" s="223">
        <v>45</v>
      </c>
      <c r="S27" s="223">
        <v>85</v>
      </c>
      <c r="T27" s="1835"/>
    </row>
    <row r="28" spans="1:21" ht="13.5" customHeight="1" x14ac:dyDescent="0.25">
      <c r="A28" s="1148"/>
      <c r="B28" s="1153"/>
      <c r="C28" s="1150"/>
      <c r="D28" s="1544"/>
      <c r="E28" s="1546"/>
      <c r="F28" s="36"/>
      <c r="G28" s="56"/>
      <c r="H28" s="127"/>
      <c r="I28" s="35"/>
      <c r="J28" s="45"/>
      <c r="K28" s="127"/>
      <c r="L28" s="35"/>
      <c r="M28" s="45"/>
      <c r="N28" s="127"/>
      <c r="O28" s="24"/>
      <c r="P28" s="1862"/>
      <c r="Q28" s="1013"/>
      <c r="R28" s="176"/>
      <c r="S28" s="176"/>
      <c r="T28" s="1835"/>
    </row>
    <row r="29" spans="1:21" ht="27" customHeight="1" x14ac:dyDescent="0.25">
      <c r="A29" s="1148"/>
      <c r="B29" s="1153"/>
      <c r="C29" s="1150"/>
      <c r="D29" s="1167" t="s">
        <v>296</v>
      </c>
      <c r="E29" s="612"/>
      <c r="F29" s="41" t="s">
        <v>23</v>
      </c>
      <c r="G29" s="304">
        <v>17.899999999999999</v>
      </c>
      <c r="H29" s="304">
        <v>17.899999999999999</v>
      </c>
      <c r="I29" s="319"/>
      <c r="J29" s="303"/>
      <c r="K29" s="304"/>
      <c r="L29" s="305"/>
      <c r="M29" s="303"/>
      <c r="N29" s="304"/>
      <c r="O29" s="615"/>
      <c r="P29" s="776" t="s">
        <v>235</v>
      </c>
      <c r="Q29" s="111">
        <v>50</v>
      </c>
      <c r="R29" s="96">
        <v>100</v>
      </c>
      <c r="S29" s="96"/>
      <c r="T29" s="1835"/>
    </row>
    <row r="30" spans="1:21" ht="28.5" customHeight="1" x14ac:dyDescent="0.25">
      <c r="A30" s="1148"/>
      <c r="B30" s="1153"/>
      <c r="C30" s="1150"/>
      <c r="D30" s="1168"/>
      <c r="E30" s="613"/>
      <c r="F30" s="38" t="s">
        <v>157</v>
      </c>
      <c r="G30" s="69"/>
      <c r="H30" s="380"/>
      <c r="I30" s="442"/>
      <c r="J30" s="382">
        <v>-700</v>
      </c>
      <c r="K30" s="380">
        <v>-700</v>
      </c>
      <c r="L30" s="381"/>
      <c r="M30" s="380">
        <v>-1000</v>
      </c>
      <c r="N30" s="380">
        <v>-1000</v>
      </c>
      <c r="O30" s="917"/>
      <c r="P30" s="346" t="s">
        <v>236</v>
      </c>
      <c r="Q30" s="1013">
        <v>100</v>
      </c>
      <c r="R30" s="176"/>
      <c r="S30" s="176"/>
      <c r="T30" s="1782"/>
    </row>
    <row r="31" spans="1:21" ht="15" customHeight="1" x14ac:dyDescent="0.25">
      <c r="A31" s="1586"/>
      <c r="B31" s="1591"/>
      <c r="C31" s="1588"/>
      <c r="D31" s="1589" t="s">
        <v>172</v>
      </c>
      <c r="E31" s="594" t="s">
        <v>246</v>
      </c>
      <c r="F31" s="1175" t="s">
        <v>76</v>
      </c>
      <c r="G31" s="1282">
        <v>100</v>
      </c>
      <c r="H31" s="1282">
        <v>100</v>
      </c>
      <c r="I31" s="201"/>
      <c r="J31" s="1292"/>
      <c r="K31" s="773"/>
      <c r="L31" s="769"/>
      <c r="M31" s="1285"/>
      <c r="N31" s="1282"/>
      <c r="O31" s="68"/>
      <c r="P31" s="1581"/>
      <c r="Q31" s="1202"/>
      <c r="R31" s="1187"/>
      <c r="S31" s="1187"/>
      <c r="T31" s="1777"/>
    </row>
    <row r="32" spans="1:21" ht="15" customHeight="1" x14ac:dyDescent="0.25">
      <c r="A32" s="1586"/>
      <c r="B32" s="1591"/>
      <c r="C32" s="1588"/>
      <c r="D32" s="1596"/>
      <c r="E32" s="1163"/>
      <c r="F32" s="36" t="s">
        <v>23</v>
      </c>
      <c r="G32" s="189"/>
      <c r="H32" s="189"/>
      <c r="I32" s="1287"/>
      <c r="J32" s="1300">
        <v>-200</v>
      </c>
      <c r="K32" s="1301">
        <v>-200</v>
      </c>
      <c r="L32" s="1302"/>
      <c r="M32" s="165"/>
      <c r="N32" s="189"/>
      <c r="O32" s="167"/>
      <c r="P32" s="1582"/>
      <c r="Q32" s="1172"/>
      <c r="R32" s="1188"/>
      <c r="S32" s="1188"/>
      <c r="T32" s="1835"/>
    </row>
    <row r="33" spans="1:20" ht="15" customHeight="1" x14ac:dyDescent="0.25">
      <c r="A33" s="1586"/>
      <c r="B33" s="1591"/>
      <c r="C33" s="1588"/>
      <c r="D33" s="1596"/>
      <c r="E33" s="1163"/>
      <c r="F33" s="36" t="s">
        <v>53</v>
      </c>
      <c r="G33" s="127">
        <v>100</v>
      </c>
      <c r="H33" s="127">
        <v>100</v>
      </c>
      <c r="I33" s="24"/>
      <c r="J33" s="1300"/>
      <c r="K33" s="1301"/>
      <c r="L33" s="1302"/>
      <c r="M33" s="165"/>
      <c r="N33" s="189"/>
      <c r="O33" s="167"/>
      <c r="P33" s="1146"/>
      <c r="Q33" s="1172"/>
      <c r="R33" s="1188"/>
      <c r="S33" s="1188"/>
      <c r="T33" s="1835"/>
    </row>
    <row r="34" spans="1:20" ht="15" customHeight="1" x14ac:dyDescent="0.25">
      <c r="A34" s="1586"/>
      <c r="B34" s="1591"/>
      <c r="C34" s="1588"/>
      <c r="D34" s="1596"/>
      <c r="E34" s="1163"/>
      <c r="F34" s="36" t="s">
        <v>146</v>
      </c>
      <c r="G34" s="189">
        <v>339.6</v>
      </c>
      <c r="H34" s="189">
        <v>339.6</v>
      </c>
      <c r="I34" s="1287"/>
      <c r="J34" s="1300">
        <v>-339.6</v>
      </c>
      <c r="K34" s="1301">
        <v>-339.6</v>
      </c>
      <c r="L34" s="1302"/>
      <c r="M34" s="165"/>
      <c r="N34" s="189"/>
      <c r="O34" s="167"/>
      <c r="P34" s="1146"/>
      <c r="Q34" s="1172"/>
      <c r="R34" s="1188"/>
      <c r="S34" s="1188"/>
      <c r="T34" s="1835"/>
    </row>
    <row r="35" spans="1:20" ht="25.5" customHeight="1" x14ac:dyDescent="0.25">
      <c r="A35" s="1586"/>
      <c r="B35" s="1591"/>
      <c r="C35" s="1588"/>
      <c r="D35" s="211" t="s">
        <v>106</v>
      </c>
      <c r="E35" s="600"/>
      <c r="F35" s="34"/>
      <c r="G35" s="110"/>
      <c r="H35" s="383"/>
      <c r="I35" s="314"/>
      <c r="J35" s="110"/>
      <c r="K35" s="383"/>
      <c r="L35" s="384"/>
      <c r="M35" s="78"/>
      <c r="N35" s="383"/>
      <c r="O35" s="110"/>
      <c r="P35" s="47" t="s">
        <v>122</v>
      </c>
      <c r="Q35" s="474">
        <v>100</v>
      </c>
      <c r="R35" s="96"/>
      <c r="S35" s="96"/>
      <c r="T35" s="1835"/>
    </row>
    <row r="36" spans="1:20" ht="27" customHeight="1" x14ac:dyDescent="0.25">
      <c r="A36" s="1586"/>
      <c r="B36" s="1591"/>
      <c r="C36" s="1588"/>
      <c r="D36" s="1161" t="s">
        <v>91</v>
      </c>
      <c r="E36" s="1159"/>
      <c r="F36" s="1176"/>
      <c r="G36" s="89"/>
      <c r="H36" s="1283"/>
      <c r="I36" s="89"/>
      <c r="J36" s="1286"/>
      <c r="K36" s="1283"/>
      <c r="L36" s="102"/>
      <c r="M36" s="1286"/>
      <c r="N36" s="1283"/>
      <c r="O36" s="89"/>
      <c r="P36" s="1235" t="s">
        <v>123</v>
      </c>
      <c r="Q36" s="1280" t="s">
        <v>377</v>
      </c>
      <c r="R36" s="29">
        <v>100</v>
      </c>
      <c r="S36" s="29"/>
      <c r="T36" s="1782"/>
    </row>
    <row r="37" spans="1:20" ht="18" customHeight="1" x14ac:dyDescent="0.25">
      <c r="A37" s="1148"/>
      <c r="B37" s="1153"/>
      <c r="C37" s="1150"/>
      <c r="D37" s="1543" t="s">
        <v>133</v>
      </c>
      <c r="E37" s="592"/>
      <c r="F37" s="36" t="s">
        <v>23</v>
      </c>
      <c r="G37" s="127"/>
      <c r="H37" s="127"/>
      <c r="I37" s="201"/>
      <c r="J37" s="65">
        <v>-200.7</v>
      </c>
      <c r="K37" s="127">
        <v>-200.7</v>
      </c>
      <c r="L37" s="35"/>
      <c r="M37" s="45"/>
      <c r="N37" s="127"/>
      <c r="O37" s="56"/>
      <c r="P37" s="1584" t="s">
        <v>137</v>
      </c>
      <c r="Q37" s="1299" t="s">
        <v>372</v>
      </c>
      <c r="R37" s="432">
        <v>100</v>
      </c>
      <c r="S37" s="432"/>
      <c r="T37" s="1777"/>
    </row>
    <row r="38" spans="1:20" ht="18" customHeight="1" x14ac:dyDescent="0.25">
      <c r="A38" s="1148"/>
      <c r="B38" s="1153"/>
      <c r="C38" s="1150"/>
      <c r="D38" s="1544"/>
      <c r="E38" s="592"/>
      <c r="F38" s="36" t="s">
        <v>53</v>
      </c>
      <c r="G38" s="127">
        <v>194.4</v>
      </c>
      <c r="H38" s="127">
        <v>194.4</v>
      </c>
      <c r="I38" s="24"/>
      <c r="J38" s="65"/>
      <c r="K38" s="127"/>
      <c r="L38" s="35"/>
      <c r="M38" s="45"/>
      <c r="N38" s="127"/>
      <c r="O38" s="56"/>
      <c r="P38" s="1584"/>
      <c r="R38" s="403"/>
      <c r="S38" s="403"/>
      <c r="T38" s="1835"/>
    </row>
    <row r="39" spans="1:20" ht="40.5" customHeight="1" x14ac:dyDescent="0.25">
      <c r="A39" s="1148"/>
      <c r="B39" s="1153"/>
      <c r="C39" s="1150"/>
      <c r="D39" s="1583"/>
      <c r="E39" s="593"/>
      <c r="F39" s="1176" t="s">
        <v>76</v>
      </c>
      <c r="G39" s="1283">
        <v>369.9</v>
      </c>
      <c r="H39" s="1283">
        <v>369.9</v>
      </c>
      <c r="I39" s="26"/>
      <c r="J39" s="66">
        <v>-363.6</v>
      </c>
      <c r="K39" s="1283">
        <v>-363.6</v>
      </c>
      <c r="L39" s="102"/>
      <c r="M39" s="1286"/>
      <c r="N39" s="1283"/>
      <c r="O39" s="89"/>
      <c r="P39" s="1585"/>
      <c r="Q39" s="1070"/>
      <c r="R39" s="95"/>
      <c r="S39" s="95"/>
      <c r="T39" s="1782"/>
    </row>
    <row r="40" spans="1:20" ht="15.75" customHeight="1" x14ac:dyDescent="0.25">
      <c r="A40" s="1586"/>
      <c r="B40" s="1587"/>
      <c r="C40" s="1588"/>
      <c r="D40" s="1589" t="s">
        <v>132</v>
      </c>
      <c r="E40" s="594" t="s">
        <v>246</v>
      </c>
      <c r="F40" s="1175" t="s">
        <v>23</v>
      </c>
      <c r="G40" s="1282">
        <v>-25.8</v>
      </c>
      <c r="H40" s="1282">
        <v>-25.8</v>
      </c>
      <c r="I40" s="68"/>
      <c r="J40" s="1285"/>
      <c r="K40" s="1282"/>
      <c r="L40" s="113"/>
      <c r="M40" s="1285"/>
      <c r="N40" s="1282"/>
      <c r="O40" s="56"/>
      <c r="P40" s="1147" t="s">
        <v>115</v>
      </c>
      <c r="Q40" s="1071">
        <v>100</v>
      </c>
      <c r="R40" s="254"/>
      <c r="S40" s="254"/>
      <c r="T40" s="117"/>
    </row>
    <row r="41" spans="1:20" ht="15" customHeight="1" x14ac:dyDescent="0.25">
      <c r="A41" s="1586"/>
      <c r="B41" s="1587"/>
      <c r="C41" s="1588"/>
      <c r="D41" s="1590"/>
      <c r="E41" s="601"/>
      <c r="F41" s="333" t="s">
        <v>76</v>
      </c>
      <c r="G41" s="1283">
        <v>279.89999999999998</v>
      </c>
      <c r="H41" s="1283">
        <v>279.89999999999998</v>
      </c>
      <c r="I41" s="89"/>
      <c r="J41" s="1286"/>
      <c r="K41" s="1283"/>
      <c r="L41" s="102"/>
      <c r="M41" s="1286"/>
      <c r="N41" s="1283"/>
      <c r="O41" s="89"/>
      <c r="P41" s="199"/>
      <c r="Q41" s="1072"/>
      <c r="R41" s="255"/>
      <c r="S41" s="255"/>
      <c r="T41" s="233"/>
    </row>
    <row r="42" spans="1:20" ht="41.25" customHeight="1" x14ac:dyDescent="0.25">
      <c r="A42" s="1191"/>
      <c r="B42" s="1192"/>
      <c r="C42" s="1571" t="s">
        <v>210</v>
      </c>
      <c r="D42" s="1574" t="s">
        <v>140</v>
      </c>
      <c r="E42" s="602" t="s">
        <v>246</v>
      </c>
      <c r="F42" s="1175" t="s">
        <v>23</v>
      </c>
      <c r="G42" s="1282">
        <v>-7</v>
      </c>
      <c r="H42" s="1282">
        <v>-7</v>
      </c>
      <c r="I42" s="201"/>
      <c r="J42" s="67">
        <v>7</v>
      </c>
      <c r="K42" s="1282">
        <v>7</v>
      </c>
      <c r="L42" s="113"/>
      <c r="M42" s="1285"/>
      <c r="N42" s="1282"/>
      <c r="O42" s="68"/>
      <c r="P42" s="756" t="s">
        <v>240</v>
      </c>
      <c r="Q42" s="1202" t="s">
        <v>49</v>
      </c>
      <c r="R42" s="1212"/>
      <c r="S42" s="1212"/>
      <c r="T42" s="171"/>
    </row>
    <row r="43" spans="1:20" ht="26.25" customHeight="1" x14ac:dyDescent="0.25">
      <c r="A43" s="1191"/>
      <c r="B43" s="1192"/>
      <c r="C43" s="1572"/>
      <c r="D43" s="1575"/>
      <c r="E43" s="1577" t="s">
        <v>295</v>
      </c>
      <c r="F43" s="36" t="s">
        <v>41</v>
      </c>
      <c r="G43" s="127">
        <v>-40</v>
      </c>
      <c r="H43" s="127">
        <v>-40</v>
      </c>
      <c r="I43" s="24"/>
      <c r="J43" s="65">
        <v>40</v>
      </c>
      <c r="K43" s="127">
        <v>40</v>
      </c>
      <c r="L43" s="35"/>
      <c r="M43" s="45"/>
      <c r="N43" s="127"/>
      <c r="O43" s="56"/>
      <c r="P43" s="603" t="s">
        <v>241</v>
      </c>
      <c r="Q43" s="387" t="s">
        <v>49</v>
      </c>
      <c r="R43" s="474"/>
      <c r="S43" s="474"/>
      <c r="T43" s="171"/>
    </row>
    <row r="44" spans="1:20" ht="28.5" customHeight="1" x14ac:dyDescent="0.25">
      <c r="A44" s="1191"/>
      <c r="B44" s="762"/>
      <c r="C44" s="1572"/>
      <c r="D44" s="1576"/>
      <c r="E44" s="1578"/>
      <c r="F44" s="1176"/>
      <c r="G44" s="1283"/>
      <c r="H44" s="1283"/>
      <c r="I44" s="89"/>
      <c r="J44" s="1286"/>
      <c r="K44" s="1283"/>
      <c r="L44" s="102"/>
      <c r="M44" s="1286"/>
      <c r="N44" s="1283"/>
      <c r="O44" s="89"/>
      <c r="P44" s="118" t="s">
        <v>155</v>
      </c>
      <c r="Q44" s="1223"/>
      <c r="R44" s="1173" t="s">
        <v>205</v>
      </c>
      <c r="S44" s="1173" t="s">
        <v>206</v>
      </c>
      <c r="T44" s="171"/>
    </row>
    <row r="45" spans="1:20" ht="13.5" customHeight="1" x14ac:dyDescent="0.25">
      <c r="A45" s="1148"/>
      <c r="B45" s="1153"/>
      <c r="C45" s="1572"/>
      <c r="D45" s="1575" t="s">
        <v>209</v>
      </c>
      <c r="E45" s="1579" t="s">
        <v>246</v>
      </c>
      <c r="F45" s="36"/>
      <c r="G45" s="56"/>
      <c r="H45" s="127"/>
      <c r="I45" s="56"/>
      <c r="J45" s="45"/>
      <c r="K45" s="127"/>
      <c r="L45" s="35"/>
      <c r="M45" s="45"/>
      <c r="N45" s="127"/>
      <c r="O45" s="56"/>
      <c r="P45" s="402" t="s">
        <v>103</v>
      </c>
      <c r="Q45" s="536"/>
      <c r="R45" s="537" t="s">
        <v>205</v>
      </c>
      <c r="S45" s="777" t="s">
        <v>206</v>
      </c>
      <c r="T45" s="527"/>
    </row>
    <row r="46" spans="1:20" ht="14.25" customHeight="1" x14ac:dyDescent="0.25">
      <c r="A46" s="1148"/>
      <c r="B46" s="1153"/>
      <c r="C46" s="1573"/>
      <c r="D46" s="1575"/>
      <c r="E46" s="1580"/>
      <c r="F46" s="1176"/>
      <c r="G46" s="89"/>
      <c r="H46" s="1283"/>
      <c r="I46" s="26"/>
      <c r="J46" s="89"/>
      <c r="K46" s="1283"/>
      <c r="L46" s="102"/>
      <c r="M46" s="1205"/>
      <c r="N46" s="1199"/>
      <c r="O46" s="89"/>
      <c r="P46" s="404"/>
      <c r="Q46" s="400"/>
      <c r="R46" s="401"/>
      <c r="S46" s="778"/>
      <c r="T46" s="527"/>
    </row>
    <row r="47" spans="1:20" ht="13.5" customHeight="1" x14ac:dyDescent="0.25">
      <c r="A47" s="1598"/>
      <c r="B47" s="1587"/>
      <c r="C47" s="1599" t="s">
        <v>260</v>
      </c>
      <c r="D47" s="1543" t="s">
        <v>52</v>
      </c>
      <c r="E47" s="594" t="s">
        <v>246</v>
      </c>
      <c r="F47" s="1175" t="s">
        <v>23</v>
      </c>
      <c r="G47" s="1282">
        <f>182.4-17.9</f>
        <v>164.5</v>
      </c>
      <c r="H47" s="1282">
        <f>182.4-17.9</f>
        <v>164.5</v>
      </c>
      <c r="I47" s="201"/>
      <c r="J47" s="67">
        <v>230.8</v>
      </c>
      <c r="K47" s="1282">
        <v>230.8</v>
      </c>
      <c r="L47" s="1137"/>
      <c r="M47" s="1204"/>
      <c r="N47" s="1198"/>
      <c r="O47" s="68"/>
      <c r="P47" s="1581" t="s">
        <v>104</v>
      </c>
      <c r="Q47" s="997">
        <v>35</v>
      </c>
      <c r="R47" s="354">
        <v>90</v>
      </c>
      <c r="S47" s="354">
        <v>100</v>
      </c>
      <c r="T47" s="1237"/>
    </row>
    <row r="48" spans="1:20" ht="17.25" customHeight="1" x14ac:dyDescent="0.25">
      <c r="A48" s="1598"/>
      <c r="B48" s="1587"/>
      <c r="C48" s="1600"/>
      <c r="D48" s="1544"/>
      <c r="E48" s="585"/>
      <c r="F48" s="1176"/>
      <c r="G48" s="1283"/>
      <c r="H48" s="1283"/>
      <c r="I48" s="26"/>
      <c r="J48" s="66"/>
      <c r="K48" s="1283"/>
      <c r="L48" s="102"/>
      <c r="M48" s="1205"/>
      <c r="N48" s="1199"/>
      <c r="O48" s="89"/>
      <c r="P48" s="1619"/>
      <c r="Q48" s="1070"/>
      <c r="R48" s="95"/>
      <c r="S48" s="95"/>
      <c r="T48" s="1237"/>
    </row>
    <row r="49" spans="1:20" ht="16.5" customHeight="1" x14ac:dyDescent="0.25">
      <c r="A49" s="1598"/>
      <c r="B49" s="1587"/>
      <c r="C49" s="1600"/>
      <c r="D49" s="1574" t="s">
        <v>131</v>
      </c>
      <c r="E49" s="604" t="s">
        <v>246</v>
      </c>
      <c r="F49" s="1175" t="s">
        <v>23</v>
      </c>
      <c r="G49" s="1282"/>
      <c r="H49" s="1282"/>
      <c r="I49" s="201"/>
      <c r="J49" s="67">
        <v>-300</v>
      </c>
      <c r="K49" s="1282">
        <v>-300</v>
      </c>
      <c r="L49" s="1137"/>
      <c r="M49" s="1204"/>
      <c r="N49" s="1198"/>
      <c r="O49" s="68"/>
      <c r="P49" s="1592" t="s">
        <v>120</v>
      </c>
      <c r="Q49" s="997">
        <v>40</v>
      </c>
      <c r="R49" s="354">
        <v>100</v>
      </c>
      <c r="S49" s="354"/>
      <c r="T49" s="1237"/>
    </row>
    <row r="50" spans="1:20" ht="12.75" customHeight="1" x14ac:dyDescent="0.25">
      <c r="A50" s="1598"/>
      <c r="B50" s="1587"/>
      <c r="C50" s="1600"/>
      <c r="D50" s="1575"/>
      <c r="E50" s="1594"/>
      <c r="F50" s="36" t="s">
        <v>76</v>
      </c>
      <c r="G50" s="127">
        <v>86.4</v>
      </c>
      <c r="H50" s="127">
        <v>86.4</v>
      </c>
      <c r="I50" s="24"/>
      <c r="J50" s="65">
        <v>213.6</v>
      </c>
      <c r="K50" s="127">
        <v>213.6</v>
      </c>
      <c r="L50" s="1220"/>
      <c r="M50" s="45"/>
      <c r="N50" s="127"/>
      <c r="O50" s="56"/>
      <c r="P50" s="1593"/>
      <c r="Q50" s="1236"/>
      <c r="R50" s="355"/>
      <c r="S50" s="355"/>
      <c r="T50" s="1237"/>
    </row>
    <row r="51" spans="1:20" ht="54.75" customHeight="1" x14ac:dyDescent="0.25">
      <c r="A51" s="1598"/>
      <c r="B51" s="1587"/>
      <c r="C51" s="1601"/>
      <c r="D51" s="1576"/>
      <c r="E51" s="1595"/>
      <c r="F51" s="335"/>
      <c r="G51" s="1283"/>
      <c r="H51" s="1283"/>
      <c r="I51" s="26"/>
      <c r="J51" s="89"/>
      <c r="K51" s="1283"/>
      <c r="L51" s="1222"/>
      <c r="M51" s="1205"/>
      <c r="N51" s="1199"/>
      <c r="O51" s="102"/>
      <c r="P51" s="780" t="s">
        <v>121</v>
      </c>
      <c r="Q51" s="410"/>
      <c r="R51" s="410"/>
      <c r="S51" s="766" t="s">
        <v>154</v>
      </c>
      <c r="T51" s="482"/>
    </row>
    <row r="52" spans="1:20" ht="15" customHeight="1" x14ac:dyDescent="0.25">
      <c r="A52" s="1148"/>
      <c r="B52" s="1153"/>
      <c r="C52" s="585"/>
      <c r="D52" s="1596" t="s">
        <v>234</v>
      </c>
      <c r="E52" s="591" t="s">
        <v>246</v>
      </c>
      <c r="F52" s="36" t="s">
        <v>76</v>
      </c>
      <c r="G52" s="127">
        <v>50</v>
      </c>
      <c r="H52" s="127">
        <v>50</v>
      </c>
      <c r="I52" s="56"/>
      <c r="J52" s="45"/>
      <c r="K52" s="127"/>
      <c r="L52" s="35"/>
      <c r="M52" s="45"/>
      <c r="N52" s="127"/>
      <c r="O52" s="35"/>
      <c r="P52" s="1629" t="s">
        <v>103</v>
      </c>
      <c r="Q52" s="904" t="s">
        <v>373</v>
      </c>
      <c r="R52" s="1188">
        <v>100</v>
      </c>
      <c r="S52" s="1188"/>
      <c r="T52" s="1867"/>
    </row>
    <row r="53" spans="1:20" ht="17.25" customHeight="1" x14ac:dyDescent="0.25">
      <c r="A53" s="1148"/>
      <c r="B53" s="1153"/>
      <c r="C53" s="585"/>
      <c r="D53" s="1596"/>
      <c r="E53" s="1163"/>
      <c r="F53" s="36" t="s">
        <v>146</v>
      </c>
      <c r="G53" s="127">
        <v>1207.7</v>
      </c>
      <c r="H53" s="127">
        <v>1207.7</v>
      </c>
      <c r="I53" s="24"/>
      <c r="J53" s="65">
        <v>-867</v>
      </c>
      <c r="K53" s="127">
        <v>-867</v>
      </c>
      <c r="L53" s="1220"/>
      <c r="M53" s="45"/>
      <c r="N53" s="127"/>
      <c r="O53" s="35"/>
      <c r="P53" s="1629"/>
      <c r="R53" s="1188"/>
      <c r="S53" s="1188"/>
      <c r="T53" s="1867"/>
    </row>
    <row r="54" spans="1:20" ht="21" customHeight="1" x14ac:dyDescent="0.25">
      <c r="A54" s="1148"/>
      <c r="B54" s="1153"/>
      <c r="C54" s="1150"/>
      <c r="D54" s="1597"/>
      <c r="E54" s="1159"/>
      <c r="F54" s="333" t="s">
        <v>23</v>
      </c>
      <c r="G54" s="1283"/>
      <c r="H54" s="1283"/>
      <c r="I54" s="26"/>
      <c r="J54" s="66">
        <v>-406.3</v>
      </c>
      <c r="K54" s="1283">
        <v>-406.3</v>
      </c>
      <c r="L54" s="1222"/>
      <c r="M54" s="1205"/>
      <c r="N54" s="1199"/>
      <c r="O54" s="102"/>
      <c r="P54" s="1171"/>
      <c r="Q54" s="219"/>
      <c r="R54" s="29"/>
      <c r="S54" s="29"/>
      <c r="T54" s="1867"/>
    </row>
    <row r="55" spans="1:20" ht="13.5" customHeight="1" x14ac:dyDescent="0.25">
      <c r="A55" s="1148"/>
      <c r="B55" s="1149"/>
      <c r="C55" s="55"/>
      <c r="D55" s="1544" t="s">
        <v>233</v>
      </c>
      <c r="E55" s="1608"/>
      <c r="F55" s="36"/>
      <c r="G55" s="56"/>
      <c r="H55" s="127"/>
      <c r="I55" s="24"/>
      <c r="J55" s="56"/>
      <c r="K55" s="127"/>
      <c r="L55" s="35"/>
      <c r="M55" s="45"/>
      <c r="N55" s="1198"/>
      <c r="O55" s="113"/>
      <c r="P55" s="1675" t="s">
        <v>327</v>
      </c>
      <c r="Q55" s="1073"/>
      <c r="R55" s="393">
        <v>1</v>
      </c>
      <c r="S55" s="192"/>
      <c r="T55" s="160"/>
    </row>
    <row r="56" spans="1:20" ht="12.75" customHeight="1" x14ac:dyDescent="0.25">
      <c r="A56" s="1148"/>
      <c r="B56" s="1149"/>
      <c r="C56" s="55"/>
      <c r="D56" s="1544"/>
      <c r="E56" s="1609"/>
      <c r="F56" s="36"/>
      <c r="G56" s="56"/>
      <c r="H56" s="127"/>
      <c r="I56" s="56"/>
      <c r="J56" s="45"/>
      <c r="K56" s="127"/>
      <c r="L56" s="35"/>
      <c r="M56" s="45"/>
      <c r="N56" s="127"/>
      <c r="O56" s="35"/>
      <c r="P56" s="1868"/>
      <c r="Q56" s="1073"/>
      <c r="R56" s="232"/>
      <c r="S56" s="192"/>
      <c r="T56" s="160"/>
    </row>
    <row r="57" spans="1:20" ht="7.5" customHeight="1" x14ac:dyDescent="0.25">
      <c r="A57" s="1148"/>
      <c r="B57" s="1153"/>
      <c r="C57" s="1150"/>
      <c r="D57" s="1161"/>
      <c r="E57" s="1159"/>
      <c r="F57" s="407"/>
      <c r="G57" s="56"/>
      <c r="H57" s="127"/>
      <c r="I57" s="56"/>
      <c r="J57" s="45"/>
      <c r="K57" s="127"/>
      <c r="L57" s="35"/>
      <c r="M57" s="45"/>
      <c r="N57" s="1199"/>
      <c r="O57" s="102"/>
      <c r="P57" s="1164"/>
      <c r="Q57" s="904"/>
      <c r="R57" s="1188"/>
      <c r="S57" s="1188"/>
      <c r="T57" s="1185"/>
    </row>
    <row r="58" spans="1:20" ht="14.25" customHeight="1" x14ac:dyDescent="0.25">
      <c r="A58" s="1148"/>
      <c r="B58" s="1153"/>
      <c r="C58" s="1150"/>
      <c r="D58" s="1596" t="s">
        <v>208</v>
      </c>
      <c r="E58" s="591" t="s">
        <v>246</v>
      </c>
      <c r="F58" s="1175"/>
      <c r="G58" s="188"/>
      <c r="H58" s="430"/>
      <c r="I58" s="188"/>
      <c r="J58" s="1204"/>
      <c r="K58" s="1198"/>
      <c r="L58" s="113"/>
      <c r="M58" s="1204"/>
      <c r="N58" s="127"/>
      <c r="O58" s="35"/>
      <c r="P58" s="1189" t="s">
        <v>71</v>
      </c>
      <c r="Q58" s="1074">
        <v>1</v>
      </c>
      <c r="R58" s="1187"/>
      <c r="S58" s="1187"/>
      <c r="T58" s="1777"/>
    </row>
    <row r="59" spans="1:20" ht="17.25" customHeight="1" x14ac:dyDescent="0.25">
      <c r="A59" s="1148"/>
      <c r="B59" s="1153"/>
      <c r="C59" s="1150"/>
      <c r="D59" s="1596"/>
      <c r="E59" s="1163"/>
      <c r="F59" s="37"/>
      <c r="G59" s="56"/>
      <c r="H59" s="127"/>
      <c r="I59" s="56"/>
      <c r="J59" s="45"/>
      <c r="K59" s="127"/>
      <c r="L59" s="35"/>
      <c r="M59" s="45"/>
      <c r="N59" s="127"/>
      <c r="O59" s="35"/>
      <c r="P59" s="1147" t="s">
        <v>243</v>
      </c>
      <c r="Q59" s="904" t="s">
        <v>313</v>
      </c>
      <c r="R59" s="1188">
        <v>60</v>
      </c>
      <c r="S59" s="1188">
        <v>100</v>
      </c>
      <c r="T59" s="1835"/>
    </row>
    <row r="60" spans="1:20" ht="18" customHeight="1" x14ac:dyDescent="0.25">
      <c r="A60" s="1148"/>
      <c r="B60" s="1153"/>
      <c r="C60" s="1150"/>
      <c r="D60" s="1596"/>
      <c r="E60" s="1163"/>
      <c r="F60" s="333"/>
      <c r="G60" s="89"/>
      <c r="H60" s="1199"/>
      <c r="I60" s="89"/>
      <c r="J60" s="1205"/>
      <c r="K60" s="1199"/>
      <c r="L60" s="102"/>
      <c r="M60" s="1205"/>
      <c r="N60" s="1199"/>
      <c r="O60" s="102"/>
      <c r="P60" s="14"/>
      <c r="Q60" s="219"/>
      <c r="R60" s="29"/>
      <c r="S60" s="29"/>
      <c r="T60" s="1782"/>
    </row>
    <row r="61" spans="1:20" ht="28.5" customHeight="1" x14ac:dyDescent="0.25">
      <c r="A61" s="1154"/>
      <c r="B61" s="1149"/>
      <c r="C61" s="123"/>
      <c r="D61" s="1602" t="s">
        <v>328</v>
      </c>
      <c r="E61" s="594"/>
      <c r="F61" s="1175"/>
      <c r="G61" s="68"/>
      <c r="H61" s="1198"/>
      <c r="I61" s="113"/>
      <c r="J61" s="1204"/>
      <c r="K61" s="1198"/>
      <c r="L61" s="113"/>
      <c r="M61" s="1204"/>
      <c r="N61" s="1198"/>
      <c r="O61" s="113"/>
      <c r="P61" s="447" t="s">
        <v>245</v>
      </c>
      <c r="Q61" s="307">
        <v>70</v>
      </c>
      <c r="R61" s="176">
        <v>100</v>
      </c>
      <c r="S61" s="176"/>
      <c r="T61" s="845"/>
    </row>
    <row r="62" spans="1:20" ht="26.25" customHeight="1" x14ac:dyDescent="0.25">
      <c r="A62" s="1154"/>
      <c r="B62" s="1149"/>
      <c r="C62" s="123"/>
      <c r="D62" s="1603"/>
      <c r="E62" s="597"/>
      <c r="F62" s="36"/>
      <c r="G62" s="56"/>
      <c r="H62" s="127"/>
      <c r="I62" s="35"/>
      <c r="J62" s="45"/>
      <c r="K62" s="127"/>
      <c r="L62" s="35"/>
      <c r="M62" s="45"/>
      <c r="N62" s="127"/>
      <c r="O62" s="35"/>
      <c r="P62" s="1196" t="s">
        <v>244</v>
      </c>
      <c r="Q62" s="387">
        <v>70</v>
      </c>
      <c r="R62" s="96">
        <v>100</v>
      </c>
      <c r="S62" s="96"/>
      <c r="T62" s="1185"/>
    </row>
    <row r="63" spans="1:20" ht="15.75" customHeight="1" x14ac:dyDescent="0.25">
      <c r="A63" s="1154"/>
      <c r="B63" s="1149"/>
      <c r="C63" s="123"/>
      <c r="D63" s="1158"/>
      <c r="E63" s="597"/>
      <c r="F63" s="36"/>
      <c r="G63" s="56"/>
      <c r="H63" s="127"/>
      <c r="I63" s="35"/>
      <c r="J63" s="45"/>
      <c r="K63" s="127"/>
      <c r="L63" s="35"/>
      <c r="M63" s="45"/>
      <c r="N63" s="127"/>
      <c r="O63" s="35"/>
      <c r="P63" s="1629" t="s">
        <v>287</v>
      </c>
      <c r="Q63" s="322"/>
      <c r="R63" s="223"/>
      <c r="S63" s="223">
        <v>50</v>
      </c>
      <c r="T63" s="1185"/>
    </row>
    <row r="64" spans="1:20" ht="12" customHeight="1" x14ac:dyDescent="0.25">
      <c r="A64" s="1154"/>
      <c r="B64" s="1149"/>
      <c r="C64" s="123"/>
      <c r="D64" s="1190"/>
      <c r="E64" s="606"/>
      <c r="F64" s="1176"/>
      <c r="G64" s="89"/>
      <c r="H64" s="1199"/>
      <c r="I64" s="102"/>
      <c r="J64" s="1205"/>
      <c r="K64" s="1199"/>
      <c r="L64" s="102"/>
      <c r="M64" s="1205"/>
      <c r="N64" s="1199"/>
      <c r="O64" s="102"/>
      <c r="P64" s="1818"/>
      <c r="Q64" s="219"/>
      <c r="R64" s="29"/>
      <c r="S64" s="29"/>
      <c r="T64" s="1185"/>
    </row>
    <row r="65" spans="1:21" ht="17.25" customHeight="1" x14ac:dyDescent="0.25">
      <c r="A65" s="1148"/>
      <c r="B65" s="1153"/>
      <c r="C65" s="1150"/>
      <c r="D65" s="1589" t="s">
        <v>145</v>
      </c>
      <c r="E65" s="595"/>
      <c r="F65" s="36" t="s">
        <v>23</v>
      </c>
      <c r="G65" s="127">
        <v>10</v>
      </c>
      <c r="H65" s="127">
        <v>10</v>
      </c>
      <c r="I65" s="1112"/>
      <c r="J65" s="45"/>
      <c r="K65" s="127"/>
      <c r="L65" s="35"/>
      <c r="M65" s="45"/>
      <c r="N65" s="127"/>
      <c r="O65" s="35"/>
      <c r="P65" s="1214" t="s">
        <v>43</v>
      </c>
      <c r="Q65" s="1011">
        <v>1</v>
      </c>
      <c r="R65" s="192"/>
      <c r="S65" s="192"/>
      <c r="T65" s="1835"/>
    </row>
    <row r="66" spans="1:21" ht="37.5" customHeight="1" x14ac:dyDescent="0.25">
      <c r="A66" s="1148"/>
      <c r="B66" s="1153"/>
      <c r="C66" s="1150"/>
      <c r="D66" s="1605"/>
      <c r="E66" s="596"/>
      <c r="F66" s="1176"/>
      <c r="G66" s="89"/>
      <c r="H66" s="1199"/>
      <c r="I66" s="89"/>
      <c r="J66" s="1205"/>
      <c r="K66" s="1199"/>
      <c r="L66" s="102"/>
      <c r="M66" s="1205"/>
      <c r="N66" s="1199"/>
      <c r="O66" s="102"/>
      <c r="P66" s="409" t="s">
        <v>351</v>
      </c>
      <c r="Q66" s="410"/>
      <c r="R66" s="799"/>
      <c r="S66" s="833">
        <v>10</v>
      </c>
      <c r="T66" s="1835"/>
    </row>
    <row r="67" spans="1:21" ht="15" customHeight="1" x14ac:dyDescent="0.25">
      <c r="A67" s="1148"/>
      <c r="B67" s="1153"/>
      <c r="C67" s="1150"/>
      <c r="D67" s="1589" t="s">
        <v>329</v>
      </c>
      <c r="E67" s="1545"/>
      <c r="F67" s="1175"/>
      <c r="G67" s="188"/>
      <c r="H67" s="430"/>
      <c r="I67" s="188"/>
      <c r="J67" s="1204"/>
      <c r="K67" s="1198"/>
      <c r="L67" s="113"/>
      <c r="M67" s="823"/>
      <c r="N67" s="430"/>
      <c r="O67" s="896"/>
      <c r="P67" s="1211" t="s">
        <v>71</v>
      </c>
      <c r="Q67" s="1075">
        <v>1</v>
      </c>
      <c r="R67" s="1188"/>
      <c r="S67" s="1188"/>
      <c r="T67" s="1185"/>
    </row>
    <row r="68" spans="1:21" ht="17.25" customHeight="1" x14ac:dyDescent="0.25">
      <c r="A68" s="1148"/>
      <c r="B68" s="1153"/>
      <c r="C68" s="1150"/>
      <c r="D68" s="1590"/>
      <c r="E68" s="1606"/>
      <c r="F68" s="333"/>
      <c r="G68" s="89"/>
      <c r="H68" s="1199"/>
      <c r="I68" s="89"/>
      <c r="J68" s="1205"/>
      <c r="K68" s="1199"/>
      <c r="L68" s="102"/>
      <c r="M68" s="1205"/>
      <c r="N68" s="1199"/>
      <c r="O68" s="102"/>
      <c r="P68" s="1171" t="s">
        <v>274</v>
      </c>
      <c r="Q68" s="219"/>
      <c r="R68" s="29">
        <v>100</v>
      </c>
      <c r="S68" s="29"/>
      <c r="T68" s="1185"/>
    </row>
    <row r="69" spans="1:21" ht="15.75" customHeight="1" x14ac:dyDescent="0.25">
      <c r="A69" s="1586"/>
      <c r="B69" s="1587"/>
      <c r="C69" s="590"/>
      <c r="D69" s="1617" t="s">
        <v>276</v>
      </c>
      <c r="E69" s="1545" t="s">
        <v>294</v>
      </c>
      <c r="F69" s="334"/>
      <c r="G69" s="68"/>
      <c r="H69" s="1198"/>
      <c r="I69" s="68"/>
      <c r="J69" s="1204"/>
      <c r="K69" s="1198"/>
      <c r="L69" s="113"/>
      <c r="M69" s="1204"/>
      <c r="N69" s="1198"/>
      <c r="O69" s="113"/>
      <c r="P69" s="1865" t="s">
        <v>150</v>
      </c>
      <c r="Q69" s="1212" t="s">
        <v>49</v>
      </c>
      <c r="R69" s="1212"/>
      <c r="S69" s="1212"/>
      <c r="T69" s="171"/>
    </row>
    <row r="70" spans="1:21" ht="15.75" customHeight="1" x14ac:dyDescent="0.25">
      <c r="A70" s="1586"/>
      <c r="B70" s="1587"/>
      <c r="C70" s="590"/>
      <c r="D70" s="1618"/>
      <c r="E70" s="1606"/>
      <c r="F70" s="335"/>
      <c r="G70" s="89"/>
      <c r="H70" s="1199"/>
      <c r="I70" s="89"/>
      <c r="J70" s="1205"/>
      <c r="K70" s="1199"/>
      <c r="L70" s="102"/>
      <c r="M70" s="1205"/>
      <c r="N70" s="1199"/>
      <c r="O70" s="102"/>
      <c r="P70" s="1866"/>
      <c r="Q70" s="1173"/>
      <c r="R70" s="1173"/>
      <c r="S70" s="1173"/>
      <c r="T70" s="171"/>
    </row>
    <row r="71" spans="1:21" ht="17.25" customHeight="1" x14ac:dyDescent="0.25">
      <c r="A71" s="1148"/>
      <c r="B71" s="1153"/>
      <c r="C71" s="585"/>
      <c r="D71" s="1544" t="s">
        <v>170</v>
      </c>
      <c r="E71" s="1628" t="s">
        <v>152</v>
      </c>
      <c r="F71" s="37"/>
      <c r="G71" s="56"/>
      <c r="H71" s="127"/>
      <c r="I71" s="56"/>
      <c r="J71" s="356"/>
      <c r="K71" s="297"/>
      <c r="L71" s="329"/>
      <c r="M71" s="356"/>
      <c r="N71" s="297"/>
      <c r="O71" s="329"/>
      <c r="P71" s="1629" t="s">
        <v>43</v>
      </c>
      <c r="Q71" s="904">
        <v>1</v>
      </c>
      <c r="R71" s="1188"/>
      <c r="S71" s="1188"/>
      <c r="T71" s="1185"/>
      <c r="U71" s="1611"/>
    </row>
    <row r="72" spans="1:21" ht="17.25" customHeight="1" x14ac:dyDescent="0.25">
      <c r="A72" s="1148"/>
      <c r="B72" s="1153"/>
      <c r="C72" s="585"/>
      <c r="D72" s="1613"/>
      <c r="E72" s="1606"/>
      <c r="F72" s="333"/>
      <c r="G72" s="89"/>
      <c r="H72" s="1199"/>
      <c r="I72" s="89"/>
      <c r="J72" s="389"/>
      <c r="K72" s="388"/>
      <c r="L72" s="770"/>
      <c r="M72" s="389"/>
      <c r="N72" s="388"/>
      <c r="O72" s="770"/>
      <c r="P72" s="1625"/>
      <c r="Q72" s="1076"/>
      <c r="R72" s="29"/>
      <c r="S72" s="29"/>
      <c r="T72" s="1185"/>
      <c r="U72" s="1612"/>
    </row>
    <row r="73" spans="1:21" ht="40.5" customHeight="1" x14ac:dyDescent="0.25">
      <c r="A73" s="1586"/>
      <c r="B73" s="1591"/>
      <c r="C73" s="1588"/>
      <c r="D73" s="1543" t="s">
        <v>156</v>
      </c>
      <c r="E73" s="1614"/>
      <c r="F73" s="334"/>
      <c r="G73" s="68"/>
      <c r="H73" s="1198"/>
      <c r="I73" s="68"/>
      <c r="J73" s="1204"/>
      <c r="K73" s="1198"/>
      <c r="L73" s="113"/>
      <c r="M73" s="1204"/>
      <c r="N73" s="1198"/>
      <c r="O73" s="113"/>
      <c r="P73" s="1177" t="s">
        <v>238</v>
      </c>
      <c r="Q73" s="1077">
        <v>1</v>
      </c>
      <c r="R73" s="1187"/>
      <c r="S73" s="1187"/>
      <c r="T73" s="1185"/>
    </row>
    <row r="74" spans="1:21" ht="15.75" customHeight="1" x14ac:dyDescent="0.25">
      <c r="A74" s="1586"/>
      <c r="B74" s="1591"/>
      <c r="C74" s="1588"/>
      <c r="D74" s="1544"/>
      <c r="E74" s="1615"/>
      <c r="F74" s="407"/>
      <c r="G74" s="56"/>
      <c r="H74" s="127"/>
      <c r="I74" s="56"/>
      <c r="J74" s="45"/>
      <c r="K74" s="127"/>
      <c r="L74" s="35"/>
      <c r="M74" s="45"/>
      <c r="N74" s="127"/>
      <c r="O74" s="35"/>
      <c r="P74" s="547" t="s">
        <v>43</v>
      </c>
      <c r="Q74" s="387"/>
      <c r="R74" s="96">
        <v>1</v>
      </c>
      <c r="S74" s="96"/>
      <c r="T74" s="1185"/>
    </row>
    <row r="75" spans="1:21" ht="21" customHeight="1" x14ac:dyDescent="0.25">
      <c r="A75" s="1586"/>
      <c r="B75" s="1591"/>
      <c r="C75" s="1588"/>
      <c r="D75" s="1544"/>
      <c r="E75" s="1615"/>
      <c r="F75" s="36"/>
      <c r="G75" s="56"/>
      <c r="H75" s="127"/>
      <c r="I75" s="56"/>
      <c r="J75" s="45"/>
      <c r="K75" s="127"/>
      <c r="L75" s="35"/>
      <c r="M75" s="45"/>
      <c r="N75" s="127"/>
      <c r="O75" s="35"/>
      <c r="P75" s="1624" t="s">
        <v>100</v>
      </c>
      <c r="Q75" s="904"/>
      <c r="R75" s="1188"/>
      <c r="S75" s="1188">
        <v>50</v>
      </c>
      <c r="T75" s="1185"/>
    </row>
    <row r="76" spans="1:21" ht="18.75" customHeight="1" x14ac:dyDescent="0.25">
      <c r="A76" s="1586"/>
      <c r="B76" s="1591"/>
      <c r="C76" s="1588"/>
      <c r="D76" s="1613"/>
      <c r="E76" s="1616"/>
      <c r="F76" s="333"/>
      <c r="G76" s="89"/>
      <c r="H76" s="1199"/>
      <c r="I76" s="89"/>
      <c r="J76" s="1205"/>
      <c r="K76" s="1199"/>
      <c r="L76" s="102"/>
      <c r="M76" s="1205"/>
      <c r="N76" s="1199"/>
      <c r="O76" s="102"/>
      <c r="P76" s="1625"/>
      <c r="Q76" s="219"/>
      <c r="R76" s="29"/>
      <c r="S76" s="29"/>
      <c r="T76" s="1185"/>
    </row>
    <row r="77" spans="1:21" ht="23.25" customHeight="1" x14ac:dyDescent="0.25">
      <c r="A77" s="1154"/>
      <c r="B77" s="1192"/>
      <c r="C77" s="123"/>
      <c r="D77" s="1589" t="s">
        <v>97</v>
      </c>
      <c r="E77" s="1626"/>
      <c r="F77" s="36"/>
      <c r="G77" s="56"/>
      <c r="H77" s="127"/>
      <c r="I77" s="35"/>
      <c r="J77" s="45"/>
      <c r="K77" s="127"/>
      <c r="L77" s="35"/>
      <c r="M77" s="45"/>
      <c r="N77" s="127"/>
      <c r="O77" s="35"/>
      <c r="P77" s="1177" t="s">
        <v>300</v>
      </c>
      <c r="Q77" s="1212">
        <v>1</v>
      </c>
      <c r="R77" s="1186"/>
      <c r="S77" s="719"/>
      <c r="T77" s="783"/>
      <c r="U77" s="563"/>
    </row>
    <row r="78" spans="1:21" ht="18.75" customHeight="1" x14ac:dyDescent="0.25">
      <c r="A78" s="1154"/>
      <c r="B78" s="1149"/>
      <c r="C78" s="123"/>
      <c r="D78" s="1590"/>
      <c r="E78" s="1627"/>
      <c r="F78" s="1176"/>
      <c r="G78" s="89"/>
      <c r="H78" s="1199"/>
      <c r="I78" s="102"/>
      <c r="J78" s="1205"/>
      <c r="K78" s="1199"/>
      <c r="L78" s="102"/>
      <c r="M78" s="1205"/>
      <c r="N78" s="1199"/>
      <c r="O78" s="102"/>
      <c r="P78" s="1171"/>
      <c r="Q78" s="219"/>
      <c r="R78" s="639"/>
      <c r="S78" s="336"/>
      <c r="T78" s="783"/>
    </row>
    <row r="79" spans="1:21" ht="23.25" customHeight="1" x14ac:dyDescent="0.25">
      <c r="A79" s="1154"/>
      <c r="B79" s="1192"/>
      <c r="C79" s="123"/>
      <c r="D79" s="1589" t="s">
        <v>135</v>
      </c>
      <c r="E79" s="1626" t="s">
        <v>152</v>
      </c>
      <c r="F79" s="36"/>
      <c r="G79" s="56"/>
      <c r="H79" s="127"/>
      <c r="I79" s="35"/>
      <c r="J79" s="45"/>
      <c r="K79" s="127"/>
      <c r="L79" s="35"/>
      <c r="M79" s="45"/>
      <c r="N79" s="127"/>
      <c r="O79" s="35"/>
      <c r="P79" s="1164" t="s">
        <v>43</v>
      </c>
      <c r="Q79" s="1172">
        <v>1</v>
      </c>
      <c r="R79" s="1186"/>
      <c r="S79" s="719"/>
      <c r="T79" s="783"/>
      <c r="U79" s="563"/>
    </row>
    <row r="80" spans="1:21" ht="12" customHeight="1" x14ac:dyDescent="0.25">
      <c r="A80" s="1154"/>
      <c r="B80" s="1149"/>
      <c r="C80" s="123"/>
      <c r="D80" s="1590"/>
      <c r="E80" s="1627"/>
      <c r="F80" s="1176"/>
      <c r="G80" s="89"/>
      <c r="H80" s="1199"/>
      <c r="I80" s="102"/>
      <c r="J80" s="1205"/>
      <c r="K80" s="1199"/>
      <c r="L80" s="102"/>
      <c r="M80" s="1205"/>
      <c r="N80" s="1199"/>
      <c r="O80" s="102"/>
      <c r="P80" s="1171"/>
      <c r="Q80" s="219"/>
      <c r="R80" s="639"/>
      <c r="S80" s="336"/>
      <c r="T80" s="783"/>
    </row>
    <row r="81" spans="1:21" ht="23.25" customHeight="1" x14ac:dyDescent="0.25">
      <c r="A81" s="1154"/>
      <c r="B81" s="1192"/>
      <c r="C81" s="123"/>
      <c r="D81" s="1589" t="s">
        <v>303</v>
      </c>
      <c r="E81" s="1631"/>
      <c r="F81" s="36"/>
      <c r="G81" s="56"/>
      <c r="H81" s="127"/>
      <c r="I81" s="35"/>
      <c r="J81" s="45"/>
      <c r="K81" s="127"/>
      <c r="L81" s="35"/>
      <c r="M81" s="45"/>
      <c r="N81" s="127"/>
      <c r="O81" s="35"/>
      <c r="P81" s="1675" t="s">
        <v>330</v>
      </c>
      <c r="Q81" s="1212"/>
      <c r="R81" s="1186">
        <v>100</v>
      </c>
      <c r="S81" s="719"/>
      <c r="T81" s="783"/>
      <c r="U81" s="563"/>
    </row>
    <row r="82" spans="1:21" ht="30" customHeight="1" x14ac:dyDescent="0.25">
      <c r="A82" s="1154"/>
      <c r="B82" s="1149"/>
      <c r="C82" s="123"/>
      <c r="D82" s="1590"/>
      <c r="E82" s="1632"/>
      <c r="F82" s="1176"/>
      <c r="G82" s="89"/>
      <c r="H82" s="1199"/>
      <c r="I82" s="102"/>
      <c r="J82" s="1205"/>
      <c r="K82" s="1199"/>
      <c r="L82" s="102"/>
      <c r="M82" s="1205"/>
      <c r="N82" s="1199"/>
      <c r="O82" s="102"/>
      <c r="P82" s="1667"/>
      <c r="Q82" s="219"/>
      <c r="R82" s="639"/>
      <c r="S82" s="336"/>
      <c r="T82" s="783"/>
    </row>
    <row r="83" spans="1:21" ht="13.5" customHeight="1" x14ac:dyDescent="0.25">
      <c r="A83" s="1148"/>
      <c r="B83" s="1153"/>
      <c r="C83" s="55"/>
      <c r="D83" s="1575" t="s">
        <v>203</v>
      </c>
      <c r="E83" s="606"/>
      <c r="F83" s="36"/>
      <c r="G83" s="56"/>
      <c r="H83" s="127"/>
      <c r="I83" s="56"/>
      <c r="J83" s="45"/>
      <c r="K83" s="127"/>
      <c r="L83" s="35"/>
      <c r="M83" s="45"/>
      <c r="N83" s="127"/>
      <c r="O83" s="35"/>
      <c r="P83" s="1675" t="s">
        <v>98</v>
      </c>
      <c r="Q83" s="306">
        <v>100</v>
      </c>
      <c r="R83" s="1187">
        <v>100</v>
      </c>
      <c r="S83" s="1187">
        <v>100</v>
      </c>
      <c r="T83" s="1185"/>
    </row>
    <row r="84" spans="1:21" ht="16.5" customHeight="1" x14ac:dyDescent="0.25">
      <c r="A84" s="1148"/>
      <c r="B84" s="1153"/>
      <c r="C84" s="55"/>
      <c r="D84" s="1603"/>
      <c r="E84" s="606"/>
      <c r="F84" s="36"/>
      <c r="G84" s="56"/>
      <c r="H84" s="127"/>
      <c r="I84" s="56"/>
      <c r="J84" s="45"/>
      <c r="K84" s="127"/>
      <c r="L84" s="35"/>
      <c r="M84" s="45"/>
      <c r="N84" s="127"/>
      <c r="O84" s="35"/>
      <c r="P84" s="1629"/>
      <c r="Q84" s="904"/>
      <c r="R84" s="1188"/>
      <c r="S84" s="1188"/>
      <c r="T84" s="1185"/>
    </row>
    <row r="85" spans="1:21" s="6" customFormat="1" ht="27" customHeight="1" x14ac:dyDescent="0.25">
      <c r="A85" s="1148"/>
      <c r="B85" s="1153"/>
      <c r="C85" s="1150"/>
      <c r="D85" s="1623"/>
      <c r="E85" s="607"/>
      <c r="F85" s="605"/>
      <c r="G85" s="168"/>
      <c r="H85" s="191"/>
      <c r="I85" s="168"/>
      <c r="J85" s="256"/>
      <c r="K85" s="191"/>
      <c r="L85" s="771"/>
      <c r="M85" s="256"/>
      <c r="N85" s="191"/>
      <c r="O85" s="771"/>
      <c r="P85" s="1864"/>
      <c r="Q85" s="1078"/>
      <c r="R85" s="500"/>
      <c r="S85" s="500"/>
      <c r="T85" s="784"/>
    </row>
    <row r="86" spans="1:21" ht="15.75" customHeight="1" x14ac:dyDescent="0.25">
      <c r="A86" s="1148"/>
      <c r="B86" s="1149"/>
      <c r="C86" s="608"/>
      <c r="D86" s="1151" t="s">
        <v>288</v>
      </c>
      <c r="E86" s="1156"/>
      <c r="F86" s="36"/>
      <c r="G86" s="45"/>
      <c r="H86" s="127"/>
      <c r="I86" s="35"/>
      <c r="J86" s="45"/>
      <c r="K86" s="127"/>
      <c r="L86" s="35"/>
      <c r="M86" s="45"/>
      <c r="N86" s="127"/>
      <c r="O86" s="35"/>
      <c r="P86" s="1164"/>
      <c r="Q86" s="904"/>
      <c r="R86" s="127"/>
      <c r="S86" s="23"/>
      <c r="T86" s="24"/>
    </row>
    <row r="87" spans="1:21" ht="27" customHeight="1" x14ac:dyDescent="0.25">
      <c r="A87" s="1148"/>
      <c r="B87" s="1149"/>
      <c r="C87" s="1840" t="s">
        <v>297</v>
      </c>
      <c r="D87" s="347" t="s">
        <v>331</v>
      </c>
      <c r="E87" s="348"/>
      <c r="F87" s="41"/>
      <c r="G87" s="303"/>
      <c r="H87" s="304"/>
      <c r="I87" s="305"/>
      <c r="J87" s="303"/>
      <c r="K87" s="304"/>
      <c r="L87" s="305"/>
      <c r="M87" s="303"/>
      <c r="N87" s="304"/>
      <c r="O87" s="305"/>
      <c r="P87" s="1207" t="s">
        <v>222</v>
      </c>
      <c r="Q87" s="322">
        <v>1</v>
      </c>
      <c r="R87" s="304"/>
      <c r="S87" s="767"/>
      <c r="T87" s="24"/>
      <c r="U87" s="559"/>
    </row>
    <row r="88" spans="1:21" ht="26.25" customHeight="1" x14ac:dyDescent="0.25">
      <c r="A88" s="1148"/>
      <c r="B88" s="1149"/>
      <c r="C88" s="1620"/>
      <c r="D88" s="347" t="s">
        <v>189</v>
      </c>
      <c r="E88" s="1156"/>
      <c r="F88" s="36"/>
      <c r="G88" s="45"/>
      <c r="H88" s="127"/>
      <c r="I88" s="35"/>
      <c r="J88" s="45"/>
      <c r="K88" s="127"/>
      <c r="L88" s="35"/>
      <c r="M88" s="45"/>
      <c r="N88" s="127"/>
      <c r="O88" s="35"/>
      <c r="P88" s="1164" t="s">
        <v>59</v>
      </c>
      <c r="Q88" s="904">
        <v>3.6</v>
      </c>
      <c r="R88" s="127"/>
      <c r="S88" s="23"/>
      <c r="T88" s="24"/>
      <c r="U88" s="1160"/>
    </row>
    <row r="89" spans="1:21" ht="27.75" customHeight="1" x14ac:dyDescent="0.25">
      <c r="A89" s="1148"/>
      <c r="B89" s="1149"/>
      <c r="C89" s="1620"/>
      <c r="D89" s="129" t="s">
        <v>190</v>
      </c>
      <c r="E89" s="1156"/>
      <c r="F89" s="36"/>
      <c r="G89" s="45"/>
      <c r="H89" s="127"/>
      <c r="I89" s="35"/>
      <c r="J89" s="45"/>
      <c r="K89" s="127"/>
      <c r="L89" s="35"/>
      <c r="M89" s="45"/>
      <c r="N89" s="127"/>
      <c r="O89" s="35"/>
      <c r="P89" s="1164"/>
      <c r="Q89" s="904"/>
      <c r="R89" s="127"/>
      <c r="S89" s="23"/>
      <c r="T89" s="24"/>
      <c r="U89" s="567"/>
    </row>
    <row r="90" spans="1:21" ht="15" customHeight="1" x14ac:dyDescent="0.25">
      <c r="A90" s="1148"/>
      <c r="B90" s="1149"/>
      <c r="C90" s="1620"/>
      <c r="D90" s="129" t="s">
        <v>221</v>
      </c>
      <c r="E90" s="1156"/>
      <c r="F90" s="36"/>
      <c r="G90" s="45"/>
      <c r="H90" s="127"/>
      <c r="I90" s="35"/>
      <c r="J90" s="45"/>
      <c r="K90" s="127"/>
      <c r="L90" s="35"/>
      <c r="M90" s="45"/>
      <c r="N90" s="127"/>
      <c r="O90" s="35"/>
      <c r="P90" s="1164"/>
      <c r="Q90" s="904"/>
      <c r="R90" s="127"/>
      <c r="S90" s="23"/>
      <c r="T90" s="24"/>
      <c r="U90" s="567"/>
    </row>
    <row r="91" spans="1:21" ht="15" customHeight="1" x14ac:dyDescent="0.25">
      <c r="A91" s="1148"/>
      <c r="B91" s="1149"/>
      <c r="C91" s="1620"/>
      <c r="D91" s="129" t="s">
        <v>332</v>
      </c>
      <c r="E91" s="1156"/>
      <c r="F91" s="36"/>
      <c r="G91" s="45"/>
      <c r="H91" s="127"/>
      <c r="I91" s="35"/>
      <c r="J91" s="45"/>
      <c r="K91" s="127"/>
      <c r="L91" s="35"/>
      <c r="M91" s="45"/>
      <c r="N91" s="127"/>
      <c r="O91" s="35"/>
      <c r="P91" s="1164"/>
      <c r="Q91" s="904"/>
      <c r="R91" s="127"/>
      <c r="S91" s="23"/>
      <c r="T91" s="24"/>
      <c r="U91" s="567"/>
    </row>
    <row r="92" spans="1:21" ht="26.25" customHeight="1" x14ac:dyDescent="0.25">
      <c r="A92" s="1148"/>
      <c r="B92" s="1149"/>
      <c r="C92" s="1620"/>
      <c r="D92" s="162" t="s">
        <v>333</v>
      </c>
      <c r="E92" s="1156"/>
      <c r="F92" s="36"/>
      <c r="G92" s="45"/>
      <c r="H92" s="127"/>
      <c r="I92" s="35"/>
      <c r="J92" s="45"/>
      <c r="K92" s="127"/>
      <c r="L92" s="35"/>
      <c r="M92" s="45"/>
      <c r="N92" s="127"/>
      <c r="O92" s="35"/>
      <c r="P92" s="1164"/>
      <c r="Q92" s="904"/>
      <c r="R92" s="127"/>
      <c r="S92" s="23"/>
      <c r="T92" s="24"/>
    </row>
    <row r="93" spans="1:21" ht="27.75" customHeight="1" x14ac:dyDescent="0.25">
      <c r="A93" s="1148"/>
      <c r="B93" s="1149"/>
      <c r="C93" s="1620"/>
      <c r="D93" s="347" t="s">
        <v>250</v>
      </c>
      <c r="E93" s="1156"/>
      <c r="F93" s="36"/>
      <c r="G93" s="45"/>
      <c r="H93" s="127"/>
      <c r="I93" s="35"/>
      <c r="J93" s="45"/>
      <c r="K93" s="127"/>
      <c r="L93" s="35"/>
      <c r="M93" s="45"/>
      <c r="N93" s="127"/>
      <c r="O93" s="35"/>
      <c r="P93" s="1164"/>
      <c r="Q93" s="904"/>
      <c r="R93" s="127"/>
      <c r="S93" s="23"/>
      <c r="T93" s="24"/>
    </row>
    <row r="94" spans="1:21" ht="14.25" customHeight="1" x14ac:dyDescent="0.25">
      <c r="A94" s="1148"/>
      <c r="B94" s="1149"/>
      <c r="C94" s="1841"/>
      <c r="D94" s="347" t="s">
        <v>118</v>
      </c>
      <c r="E94" s="1156"/>
      <c r="F94" s="38"/>
      <c r="G94" s="85"/>
      <c r="H94" s="380"/>
      <c r="I94" s="381"/>
      <c r="J94" s="85"/>
      <c r="K94" s="380"/>
      <c r="L94" s="381"/>
      <c r="M94" s="85"/>
      <c r="N94" s="380"/>
      <c r="O94" s="381"/>
      <c r="P94" s="447"/>
      <c r="Q94" s="307"/>
      <c r="R94" s="380"/>
      <c r="S94" s="380"/>
      <c r="T94" s="24"/>
    </row>
    <row r="95" spans="1:21" ht="29.25" customHeight="1" x14ac:dyDescent="0.25">
      <c r="A95" s="1148"/>
      <c r="B95" s="1149"/>
      <c r="C95" s="1620" t="s">
        <v>165</v>
      </c>
      <c r="D95" s="321" t="s">
        <v>224</v>
      </c>
      <c r="E95" s="1156"/>
      <c r="F95" s="36"/>
      <c r="G95" s="45"/>
      <c r="H95" s="127"/>
      <c r="I95" s="35"/>
      <c r="J95" s="45"/>
      <c r="K95" s="127"/>
      <c r="L95" s="35"/>
      <c r="M95" s="45"/>
      <c r="N95" s="127"/>
      <c r="O95" s="35"/>
      <c r="P95" s="1164" t="s">
        <v>301</v>
      </c>
      <c r="Q95" s="1079"/>
      <c r="R95" s="23">
        <v>3.4</v>
      </c>
      <c r="S95" s="23">
        <v>3.4</v>
      </c>
      <c r="T95" s="24"/>
    </row>
    <row r="96" spans="1:21" ht="18.75" customHeight="1" x14ac:dyDescent="0.25">
      <c r="A96" s="1148"/>
      <c r="B96" s="1149"/>
      <c r="C96" s="1620"/>
      <c r="D96" s="129" t="s">
        <v>338</v>
      </c>
      <c r="E96" s="1156"/>
      <c r="F96" s="36"/>
      <c r="G96" s="45"/>
      <c r="H96" s="127"/>
      <c r="I96" s="35"/>
      <c r="J96" s="45"/>
      <c r="K96" s="127"/>
      <c r="L96" s="35"/>
      <c r="M96" s="45"/>
      <c r="N96" s="127"/>
      <c r="O96" s="35"/>
      <c r="P96" s="1164"/>
      <c r="Q96" s="904"/>
      <c r="R96" s="23"/>
      <c r="S96" s="23"/>
      <c r="T96" s="24"/>
    </row>
    <row r="97" spans="1:21" ht="18.75" customHeight="1" x14ac:dyDescent="0.25">
      <c r="A97" s="1148"/>
      <c r="B97" s="1149"/>
      <c r="C97" s="1622"/>
      <c r="D97" s="440" t="s">
        <v>337</v>
      </c>
      <c r="E97" s="1156"/>
      <c r="F97" s="1176"/>
      <c r="G97" s="1205"/>
      <c r="H97" s="1199"/>
      <c r="I97" s="102"/>
      <c r="J97" s="1205"/>
      <c r="K97" s="1199"/>
      <c r="L97" s="102"/>
      <c r="M97" s="1205"/>
      <c r="N97" s="1199"/>
      <c r="O97" s="102"/>
      <c r="P97" s="1171"/>
      <c r="Q97" s="219"/>
      <c r="R97" s="25"/>
      <c r="S97" s="25"/>
      <c r="T97" s="24"/>
    </row>
    <row r="98" spans="1:21" ht="26.25" customHeight="1" x14ac:dyDescent="0.25">
      <c r="A98" s="1148"/>
      <c r="B98" s="1149"/>
      <c r="C98" s="123"/>
      <c r="D98" s="1543" t="s">
        <v>78</v>
      </c>
      <c r="E98" s="1169"/>
      <c r="F98" s="1175"/>
      <c r="G98" s="1204"/>
      <c r="H98" s="1198"/>
      <c r="I98" s="113"/>
      <c r="J98" s="1204"/>
      <c r="K98" s="1198"/>
      <c r="L98" s="113"/>
      <c r="M98" s="1204"/>
      <c r="N98" s="1198"/>
      <c r="O98" s="113"/>
      <c r="P98" s="1177" t="s">
        <v>178</v>
      </c>
      <c r="Q98" s="306" t="s">
        <v>177</v>
      </c>
      <c r="R98" s="1212" t="s">
        <v>177</v>
      </c>
      <c r="S98" s="1215" t="s">
        <v>177</v>
      </c>
      <c r="T98" s="1174"/>
      <c r="U98" s="559"/>
    </row>
    <row r="99" spans="1:21" ht="26.25" customHeight="1" x14ac:dyDescent="0.25">
      <c r="A99" s="1148"/>
      <c r="B99" s="1149"/>
      <c r="C99" s="123"/>
      <c r="D99" s="1544"/>
      <c r="E99" s="1156"/>
      <c r="F99" s="36"/>
      <c r="G99" s="45"/>
      <c r="H99" s="127"/>
      <c r="I99" s="35"/>
      <c r="J99" s="45"/>
      <c r="K99" s="127"/>
      <c r="L99" s="35"/>
      <c r="M99" s="45"/>
      <c r="N99" s="127"/>
      <c r="O99" s="35"/>
      <c r="P99" s="547" t="s">
        <v>37</v>
      </c>
      <c r="Q99" s="111" t="s">
        <v>179</v>
      </c>
      <c r="R99" s="474" t="s">
        <v>179</v>
      </c>
      <c r="S99" s="779" t="s">
        <v>179</v>
      </c>
      <c r="T99" s="171"/>
      <c r="U99" s="567"/>
    </row>
    <row r="100" spans="1:21" ht="15.75" customHeight="1" x14ac:dyDescent="0.25">
      <c r="A100" s="1148"/>
      <c r="B100" s="1149"/>
      <c r="C100" s="123"/>
      <c r="D100" s="1544"/>
      <c r="E100" s="1156"/>
      <c r="F100" s="36"/>
      <c r="G100" s="45"/>
      <c r="H100" s="127"/>
      <c r="I100" s="35"/>
      <c r="J100" s="45"/>
      <c r="K100" s="127"/>
      <c r="L100" s="35"/>
      <c r="M100" s="45"/>
      <c r="N100" s="127"/>
      <c r="O100" s="35"/>
      <c r="P100" s="547" t="s">
        <v>58</v>
      </c>
      <c r="Q100" s="111" t="s">
        <v>173</v>
      </c>
      <c r="R100" s="474" t="s">
        <v>173</v>
      </c>
      <c r="S100" s="779" t="s">
        <v>173</v>
      </c>
      <c r="T100" s="171"/>
    </row>
    <row r="101" spans="1:21" ht="29.25" customHeight="1" x14ac:dyDescent="0.25">
      <c r="A101" s="1148"/>
      <c r="B101" s="1149"/>
      <c r="C101" s="123"/>
      <c r="D101" s="1613"/>
      <c r="E101" s="1157"/>
      <c r="F101" s="40"/>
      <c r="G101" s="1205"/>
      <c r="H101" s="1199"/>
      <c r="I101" s="102"/>
      <c r="J101" s="1205"/>
      <c r="K101" s="1199"/>
      <c r="L101" s="102"/>
      <c r="M101" s="1205"/>
      <c r="N101" s="1199"/>
      <c r="O101" s="102"/>
      <c r="P101" s="1171" t="s">
        <v>198</v>
      </c>
      <c r="Q101" s="219" t="s">
        <v>199</v>
      </c>
      <c r="R101" s="452"/>
      <c r="S101" s="1195"/>
      <c r="T101" s="1174"/>
    </row>
    <row r="102" spans="1:21" ht="15" customHeight="1" x14ac:dyDescent="0.25">
      <c r="A102" s="1586"/>
      <c r="B102" s="1587"/>
      <c r="C102" s="1588"/>
      <c r="D102" s="1589" t="s">
        <v>47</v>
      </c>
      <c r="E102" s="1156"/>
      <c r="F102" s="36"/>
      <c r="G102" s="45"/>
      <c r="H102" s="127"/>
      <c r="I102" s="35"/>
      <c r="J102" s="45"/>
      <c r="K102" s="127"/>
      <c r="L102" s="35"/>
      <c r="M102" s="45"/>
      <c r="N102" s="127"/>
      <c r="O102" s="35"/>
      <c r="P102" s="1675" t="s">
        <v>175</v>
      </c>
      <c r="Q102" s="306" t="s">
        <v>174</v>
      </c>
      <c r="R102" s="1212" t="s">
        <v>174</v>
      </c>
      <c r="S102" s="1212" t="s">
        <v>174</v>
      </c>
      <c r="T102" s="171"/>
    </row>
    <row r="103" spans="1:21" ht="14.25" customHeight="1" x14ac:dyDescent="0.25">
      <c r="A103" s="1586"/>
      <c r="B103" s="1587"/>
      <c r="C103" s="1588"/>
      <c r="D103" s="1590"/>
      <c r="E103" s="1157"/>
      <c r="F103" s="295"/>
      <c r="G103" s="364"/>
      <c r="H103" s="365"/>
      <c r="I103" s="363"/>
      <c r="J103" s="1205"/>
      <c r="K103" s="1199"/>
      <c r="L103" s="102"/>
      <c r="M103" s="1205"/>
      <c r="N103" s="1199"/>
      <c r="O103" s="102"/>
      <c r="P103" s="1667"/>
      <c r="Q103" s="219"/>
      <c r="R103" s="25"/>
      <c r="S103" s="25"/>
      <c r="T103" s="24"/>
    </row>
    <row r="104" spans="1:21" ht="15.75" customHeight="1" x14ac:dyDescent="0.25">
      <c r="A104" s="1586"/>
      <c r="B104" s="1587"/>
      <c r="C104" s="1588"/>
      <c r="D104" s="1634" t="s">
        <v>167</v>
      </c>
      <c r="E104" s="1637"/>
      <c r="F104" s="1175"/>
      <c r="G104" s="1204"/>
      <c r="H104" s="1198"/>
      <c r="I104" s="113"/>
      <c r="J104" s="1204"/>
      <c r="K104" s="1198"/>
      <c r="L104" s="113"/>
      <c r="M104" s="1204"/>
      <c r="N104" s="1198"/>
      <c r="O104" s="35"/>
      <c r="P104" s="447" t="s">
        <v>180</v>
      </c>
      <c r="Q104" s="253" t="s">
        <v>354</v>
      </c>
      <c r="R104" s="253" t="s">
        <v>227</v>
      </c>
      <c r="S104" s="253" t="s">
        <v>227</v>
      </c>
      <c r="T104" s="1788"/>
      <c r="U104" s="559"/>
    </row>
    <row r="105" spans="1:21" ht="15.75" customHeight="1" x14ac:dyDescent="0.25">
      <c r="A105" s="1586"/>
      <c r="B105" s="1587"/>
      <c r="C105" s="1588"/>
      <c r="D105" s="1635"/>
      <c r="E105" s="1638"/>
      <c r="F105" s="36"/>
      <c r="G105" s="45"/>
      <c r="H105" s="127"/>
      <c r="I105" s="35"/>
      <c r="J105" s="45"/>
      <c r="K105" s="127"/>
      <c r="L105" s="35"/>
      <c r="M105" s="45"/>
      <c r="N105" s="127"/>
      <c r="O105" s="35"/>
      <c r="P105" s="1164" t="s">
        <v>176</v>
      </c>
      <c r="Q105" s="1203" t="s">
        <v>264</v>
      </c>
      <c r="R105" s="1172" t="s">
        <v>227</v>
      </c>
      <c r="S105" s="1172" t="s">
        <v>227</v>
      </c>
      <c r="T105" s="1789"/>
      <c r="U105" s="559"/>
    </row>
    <row r="106" spans="1:21" ht="15" customHeight="1" x14ac:dyDescent="0.25">
      <c r="A106" s="1586"/>
      <c r="B106" s="1587"/>
      <c r="C106" s="1588"/>
      <c r="D106" s="1636"/>
      <c r="E106" s="1639"/>
      <c r="F106" s="36"/>
      <c r="G106" s="45"/>
      <c r="H106" s="127"/>
      <c r="I106" s="35"/>
      <c r="J106" s="45"/>
      <c r="K106" s="127"/>
      <c r="L106" s="35"/>
      <c r="M106" s="45"/>
      <c r="N106" s="127"/>
      <c r="O106" s="35"/>
      <c r="P106" s="1164"/>
      <c r="Q106" s="1203"/>
      <c r="R106" s="1172"/>
      <c r="S106" s="1172"/>
      <c r="T106" s="1790"/>
      <c r="U106" s="559"/>
    </row>
    <row r="107" spans="1:21" ht="18" customHeight="1" x14ac:dyDescent="0.25">
      <c r="A107" s="1148"/>
      <c r="B107" s="1149"/>
      <c r="C107" s="1150"/>
      <c r="D107" s="1633" t="s">
        <v>77</v>
      </c>
      <c r="E107" s="1156"/>
      <c r="F107" s="1175"/>
      <c r="G107" s="1204"/>
      <c r="H107" s="1198"/>
      <c r="I107" s="113"/>
      <c r="J107" s="1204"/>
      <c r="K107" s="1198"/>
      <c r="L107" s="113"/>
      <c r="M107" s="1204"/>
      <c r="N107" s="1198"/>
      <c r="O107" s="113"/>
      <c r="P107" s="1675" t="s">
        <v>105</v>
      </c>
      <c r="Q107" s="306">
        <v>5</v>
      </c>
      <c r="R107" s="580">
        <v>8</v>
      </c>
      <c r="S107" s="580">
        <v>8</v>
      </c>
      <c r="T107" s="398"/>
      <c r="U107" s="399"/>
    </row>
    <row r="108" spans="1:21" ht="16.5" customHeight="1" x14ac:dyDescent="0.25">
      <c r="A108" s="1148"/>
      <c r="B108" s="1149"/>
      <c r="C108" s="1150"/>
      <c r="D108" s="1633"/>
      <c r="E108" s="1156"/>
      <c r="F108" s="1176"/>
      <c r="G108" s="1205"/>
      <c r="H108" s="1199"/>
      <c r="I108" s="102"/>
      <c r="J108" s="1205"/>
      <c r="K108" s="1199"/>
      <c r="L108" s="102"/>
      <c r="M108" s="1205"/>
      <c r="N108" s="1199"/>
      <c r="O108" s="102"/>
      <c r="P108" s="1667"/>
      <c r="Q108" s="219"/>
      <c r="R108" s="29"/>
      <c r="S108" s="29"/>
      <c r="T108" s="1185"/>
      <c r="U108" s="399"/>
    </row>
    <row r="109" spans="1:21" ht="12" customHeight="1" x14ac:dyDescent="0.25">
      <c r="A109" s="1154"/>
      <c r="B109" s="1149"/>
      <c r="C109" s="585"/>
      <c r="D109" s="1589" t="s">
        <v>36</v>
      </c>
      <c r="E109" s="1155"/>
      <c r="F109" s="33"/>
      <c r="G109" s="45"/>
      <c r="H109" s="127"/>
      <c r="I109" s="35"/>
      <c r="J109" s="45"/>
      <c r="K109" s="127"/>
      <c r="L109" s="35"/>
      <c r="M109" s="45"/>
      <c r="N109" s="127"/>
      <c r="O109" s="35"/>
      <c r="P109" s="1177" t="s">
        <v>166</v>
      </c>
      <c r="Q109" s="904">
        <v>15</v>
      </c>
      <c r="R109" s="1188">
        <v>15</v>
      </c>
      <c r="S109" s="1188">
        <v>15</v>
      </c>
      <c r="T109" s="1185"/>
    </row>
    <row r="110" spans="1:21" ht="12.75" customHeight="1" x14ac:dyDescent="0.25">
      <c r="A110" s="1154"/>
      <c r="B110" s="1149"/>
      <c r="C110" s="585"/>
      <c r="D110" s="1590"/>
      <c r="E110" s="1157"/>
      <c r="F110" s="1176"/>
      <c r="G110" s="1205"/>
      <c r="H110" s="1199"/>
      <c r="I110" s="89"/>
      <c r="J110" s="1205"/>
      <c r="K110" s="1199"/>
      <c r="L110" s="89"/>
      <c r="M110" s="1205"/>
      <c r="N110" s="1199"/>
      <c r="O110" s="35"/>
      <c r="P110" s="1164"/>
      <c r="Q110" s="219"/>
      <c r="R110" s="29"/>
      <c r="S110" s="29"/>
      <c r="T110" s="1185"/>
    </row>
    <row r="111" spans="1:21" ht="17.25" customHeight="1" x14ac:dyDescent="0.25">
      <c r="A111" s="1154"/>
      <c r="B111" s="1149"/>
      <c r="C111" s="585"/>
      <c r="D111" s="1589" t="s">
        <v>340</v>
      </c>
      <c r="E111" s="323"/>
      <c r="F111" s="332"/>
      <c r="G111" s="1204"/>
      <c r="H111" s="1198"/>
      <c r="I111" s="113"/>
      <c r="J111" s="1204"/>
      <c r="K111" s="1198"/>
      <c r="L111" s="113"/>
      <c r="M111" s="1204"/>
      <c r="N111" s="1198"/>
      <c r="O111" s="113"/>
      <c r="P111" s="781" t="s">
        <v>71</v>
      </c>
      <c r="Q111" s="904">
        <v>1</v>
      </c>
      <c r="R111" s="1188"/>
      <c r="S111" s="1188"/>
      <c r="T111" s="1185"/>
    </row>
    <row r="112" spans="1:21" ht="26.25" customHeight="1" x14ac:dyDescent="0.25">
      <c r="A112" s="1154"/>
      <c r="B112" s="1149"/>
      <c r="C112" s="585"/>
      <c r="D112" s="1590"/>
      <c r="E112" s="1157"/>
      <c r="F112" s="333"/>
      <c r="G112" s="1205"/>
      <c r="H112" s="1199"/>
      <c r="I112" s="102"/>
      <c r="J112" s="1205"/>
      <c r="K112" s="1199"/>
      <c r="L112" s="102"/>
      <c r="M112" s="1205"/>
      <c r="N112" s="1199"/>
      <c r="O112" s="102"/>
      <c r="P112" s="395" t="s">
        <v>160</v>
      </c>
      <c r="Q112" s="1019">
        <v>100</v>
      </c>
      <c r="R112" s="361"/>
      <c r="S112" s="361"/>
      <c r="T112" s="1185"/>
    </row>
    <row r="113" spans="1:21" ht="13.5" customHeight="1" x14ac:dyDescent="0.25">
      <c r="A113" s="1154"/>
      <c r="B113" s="1153"/>
      <c r="C113" s="123"/>
      <c r="D113" s="1589" t="s">
        <v>341</v>
      </c>
      <c r="E113" s="323"/>
      <c r="F113" s="334"/>
      <c r="G113" s="1204"/>
      <c r="H113" s="1198"/>
      <c r="I113" s="113"/>
      <c r="J113" s="1204"/>
      <c r="K113" s="1198"/>
      <c r="L113" s="113"/>
      <c r="M113" s="1204"/>
      <c r="N113" s="1198"/>
      <c r="O113" s="113"/>
      <c r="P113" s="782" t="s">
        <v>225</v>
      </c>
      <c r="Q113" s="1080">
        <v>1</v>
      </c>
      <c r="R113" s="259"/>
      <c r="S113" s="362"/>
      <c r="T113" s="785"/>
      <c r="U113" s="271"/>
    </row>
    <row r="114" spans="1:21" ht="25.5" customHeight="1" x14ac:dyDescent="0.25">
      <c r="A114" s="1154"/>
      <c r="B114" s="1153"/>
      <c r="C114" s="123"/>
      <c r="D114" s="1590"/>
      <c r="E114" s="220"/>
      <c r="F114" s="335"/>
      <c r="G114" s="1205"/>
      <c r="H114" s="1199"/>
      <c r="I114" s="102"/>
      <c r="J114" s="1205"/>
      <c r="K114" s="1199"/>
      <c r="L114" s="102"/>
      <c r="M114" s="1205"/>
      <c r="N114" s="1199"/>
      <c r="O114" s="102"/>
      <c r="P114" s="395" t="s">
        <v>226</v>
      </c>
      <c r="Q114" s="1019"/>
      <c r="R114" s="29">
        <v>100</v>
      </c>
      <c r="S114" s="29"/>
      <c r="T114" s="1185"/>
    </row>
    <row r="115" spans="1:21" ht="17.25" customHeight="1" x14ac:dyDescent="0.25">
      <c r="A115" s="1154"/>
      <c r="B115" s="1149"/>
      <c r="C115" s="1150"/>
      <c r="D115" s="1151" t="s">
        <v>191</v>
      </c>
      <c r="E115" s="323"/>
      <c r="F115" s="318"/>
      <c r="G115" s="319"/>
      <c r="H115" s="304"/>
      <c r="I115" s="56"/>
      <c r="J115" s="1204"/>
      <c r="K115" s="1198"/>
      <c r="L115" s="113"/>
      <c r="M115" s="1204"/>
      <c r="N115" s="1198"/>
      <c r="O115" s="35"/>
      <c r="P115" s="1197" t="s">
        <v>43</v>
      </c>
      <c r="Q115" s="1018">
        <v>3</v>
      </c>
      <c r="R115" s="223"/>
      <c r="S115" s="223"/>
      <c r="T115" s="1185"/>
      <c r="U115" s="399"/>
    </row>
    <row r="116" spans="1:21" ht="24.75" customHeight="1" x14ac:dyDescent="0.25">
      <c r="A116" s="1191"/>
      <c r="B116" s="1192"/>
      <c r="C116" s="1183"/>
      <c r="D116" s="320" t="s">
        <v>342</v>
      </c>
      <c r="E116" s="1655"/>
      <c r="F116" s="315"/>
      <c r="G116" s="56"/>
      <c r="H116" s="127"/>
      <c r="I116" s="56"/>
      <c r="J116" s="45"/>
      <c r="K116" s="127"/>
      <c r="L116" s="35"/>
      <c r="M116" s="45"/>
      <c r="N116" s="127"/>
      <c r="O116" s="35"/>
      <c r="P116" s="1862" t="s">
        <v>251</v>
      </c>
      <c r="Q116" s="1081"/>
      <c r="R116" s="392">
        <v>100</v>
      </c>
      <c r="S116" s="392"/>
      <c r="T116" s="160"/>
    </row>
    <row r="117" spans="1:21" ht="15" customHeight="1" x14ac:dyDescent="0.25">
      <c r="A117" s="1191"/>
      <c r="B117" s="1192"/>
      <c r="C117" s="1183"/>
      <c r="D117" s="320" t="s">
        <v>192</v>
      </c>
      <c r="E117" s="1655"/>
      <c r="F117" s="315"/>
      <c r="G117" s="50"/>
      <c r="H117" s="1150"/>
      <c r="I117" s="50"/>
      <c r="J117" s="765"/>
      <c r="K117" s="1150"/>
      <c r="L117" s="772"/>
      <c r="M117" s="765"/>
      <c r="N117" s="1150"/>
      <c r="O117" s="772"/>
      <c r="P117" s="1863"/>
      <c r="Q117" s="1082"/>
      <c r="R117" s="355"/>
      <c r="S117" s="355"/>
      <c r="T117" s="160"/>
    </row>
    <row r="118" spans="1:21" ht="27" customHeight="1" x14ac:dyDescent="0.25">
      <c r="A118" s="1191"/>
      <c r="B118" s="1192"/>
      <c r="C118" s="1183"/>
      <c r="D118" s="1162" t="s">
        <v>193</v>
      </c>
      <c r="E118" s="1656"/>
      <c r="F118" s="316"/>
      <c r="G118" s="89"/>
      <c r="H118" s="1199"/>
      <c r="I118" s="89"/>
      <c r="J118" s="1205"/>
      <c r="K118" s="1199"/>
      <c r="L118" s="35"/>
      <c r="M118" s="45"/>
      <c r="N118" s="127"/>
      <c r="O118" s="35"/>
      <c r="P118" s="395" t="s">
        <v>252</v>
      </c>
      <c r="Q118" s="1083"/>
      <c r="R118" s="192"/>
      <c r="S118" s="192">
        <v>100</v>
      </c>
      <c r="T118" s="160"/>
    </row>
    <row r="119" spans="1:21" ht="17.25" customHeight="1" x14ac:dyDescent="0.25">
      <c r="A119" s="1154"/>
      <c r="B119" s="1153"/>
      <c r="C119" s="55"/>
      <c r="D119" s="1589" t="s">
        <v>228</v>
      </c>
      <c r="E119" s="323"/>
      <c r="F119" s="334"/>
      <c r="G119" s="1204"/>
      <c r="H119" s="1198"/>
      <c r="I119" s="201"/>
      <c r="J119" s="68"/>
      <c r="K119" s="1198"/>
      <c r="L119" s="113"/>
      <c r="M119" s="1204"/>
      <c r="N119" s="1198"/>
      <c r="O119" s="113"/>
      <c r="P119" s="781" t="s">
        <v>71</v>
      </c>
      <c r="Q119" s="1080">
        <v>1</v>
      </c>
      <c r="R119" s="259"/>
      <c r="S119" s="259"/>
      <c r="T119" s="1185"/>
      <c r="U119" s="399"/>
    </row>
    <row r="120" spans="1:21" ht="28.5" customHeight="1" x14ac:dyDescent="0.25">
      <c r="A120" s="1154"/>
      <c r="B120" s="1153"/>
      <c r="C120" s="55"/>
      <c r="D120" s="1590"/>
      <c r="E120" s="220"/>
      <c r="F120" s="335"/>
      <c r="G120" s="1205"/>
      <c r="H120" s="1199"/>
      <c r="I120" s="26"/>
      <c r="J120" s="89"/>
      <c r="K120" s="1199"/>
      <c r="L120" s="102"/>
      <c r="M120" s="1205"/>
      <c r="N120" s="1199"/>
      <c r="O120" s="102"/>
      <c r="P120" s="395" t="s">
        <v>229</v>
      </c>
      <c r="Q120" s="1019"/>
      <c r="R120" s="29">
        <v>50</v>
      </c>
      <c r="S120" s="29">
        <v>100</v>
      </c>
      <c r="T120" s="1185"/>
    </row>
    <row r="121" spans="1:21" ht="16.5" customHeight="1" x14ac:dyDescent="0.25">
      <c r="A121" s="1154"/>
      <c r="B121" s="1153"/>
      <c r="C121" s="55"/>
      <c r="D121" s="1589" t="s">
        <v>230</v>
      </c>
      <c r="E121" s="323"/>
      <c r="F121" s="334"/>
      <c r="G121" s="1204"/>
      <c r="H121" s="1198"/>
      <c r="I121" s="201"/>
      <c r="J121" s="68"/>
      <c r="K121" s="1198"/>
      <c r="L121" s="68"/>
      <c r="M121" s="1204"/>
      <c r="N121" s="1198"/>
      <c r="O121" s="113"/>
      <c r="P121" s="1211" t="s">
        <v>231</v>
      </c>
      <c r="Q121" s="1084">
        <v>10</v>
      </c>
      <c r="R121" s="456">
        <v>10</v>
      </c>
      <c r="S121" s="456">
        <v>10</v>
      </c>
      <c r="T121" s="786"/>
    </row>
    <row r="122" spans="1:21" ht="12.75" customHeight="1" x14ac:dyDescent="0.25">
      <c r="A122" s="1154"/>
      <c r="B122" s="1153"/>
      <c r="C122" s="55"/>
      <c r="D122" s="1590"/>
      <c r="E122" s="220"/>
      <c r="F122" s="27"/>
      <c r="G122" s="1205"/>
      <c r="H122" s="1199"/>
      <c r="I122" s="26"/>
      <c r="J122" s="89"/>
      <c r="K122" s="1199"/>
      <c r="L122" s="89"/>
      <c r="M122" s="1205"/>
      <c r="N122" s="1199"/>
      <c r="O122" s="102"/>
      <c r="P122" s="395"/>
      <c r="Q122" s="1213"/>
      <c r="R122" s="436"/>
      <c r="S122" s="436"/>
      <c r="T122" s="785"/>
    </row>
    <row r="123" spans="1:21" ht="14.25" customHeight="1" thickBot="1" x14ac:dyDescent="0.3">
      <c r="A123" s="610"/>
      <c r="B123" s="611"/>
      <c r="C123" s="609"/>
      <c r="D123" s="469"/>
      <c r="E123" s="470"/>
      <c r="F123" s="103" t="s">
        <v>5</v>
      </c>
      <c r="G123" s="116">
        <f t="shared" ref="G123:O123" si="0">SUM(G13:G122)</f>
        <v>22758.3</v>
      </c>
      <c r="H123" s="116">
        <f t="shared" si="0"/>
        <v>22758.3</v>
      </c>
      <c r="I123" s="79">
        <f t="shared" si="0"/>
        <v>0</v>
      </c>
      <c r="J123" s="139">
        <f t="shared" si="0"/>
        <v>25581.1</v>
      </c>
      <c r="K123" s="105">
        <f t="shared" si="0"/>
        <v>25581.1</v>
      </c>
      <c r="L123" s="105">
        <f t="shared" si="0"/>
        <v>0</v>
      </c>
      <c r="M123" s="103">
        <f t="shared" si="0"/>
        <v>23312.3</v>
      </c>
      <c r="N123" s="105">
        <f t="shared" si="0"/>
        <v>23312.3</v>
      </c>
      <c r="O123" s="105">
        <f t="shared" si="0"/>
        <v>0</v>
      </c>
      <c r="P123" s="471"/>
      <c r="Q123" s="1085"/>
      <c r="R123" s="108"/>
      <c r="S123" s="108"/>
      <c r="T123" s="227"/>
    </row>
    <row r="124" spans="1:21" ht="14.25" customHeight="1" thickBot="1" x14ac:dyDescent="0.3">
      <c r="A124" s="42" t="s">
        <v>4</v>
      </c>
      <c r="B124" s="138" t="s">
        <v>4</v>
      </c>
      <c r="C124" s="1648" t="s">
        <v>7</v>
      </c>
      <c r="D124" s="1649"/>
      <c r="E124" s="1649"/>
      <c r="F124" s="1649"/>
      <c r="G124" s="170">
        <f t="shared" ref="G124:O124" si="1">G123</f>
        <v>22758.3</v>
      </c>
      <c r="H124" s="170">
        <f t="shared" si="1"/>
        <v>22758.3</v>
      </c>
      <c r="I124" s="81">
        <f t="shared" si="1"/>
        <v>0</v>
      </c>
      <c r="J124" s="614">
        <f t="shared" si="1"/>
        <v>25581.1</v>
      </c>
      <c r="K124" s="43">
        <f t="shared" si="1"/>
        <v>25581.1</v>
      </c>
      <c r="L124" s="43">
        <f t="shared" si="1"/>
        <v>0</v>
      </c>
      <c r="M124" s="170">
        <f t="shared" si="1"/>
        <v>23312.3</v>
      </c>
      <c r="N124" s="43">
        <f t="shared" si="1"/>
        <v>23312.3</v>
      </c>
      <c r="O124" s="43">
        <f t="shared" si="1"/>
        <v>0</v>
      </c>
      <c r="P124" s="1179"/>
      <c r="Q124" s="1086"/>
      <c r="R124" s="1179"/>
      <c r="S124" s="1179"/>
      <c r="T124" s="1180"/>
    </row>
    <row r="125" spans="1:21" ht="14.25" customHeight="1" thickBot="1" x14ac:dyDescent="0.3">
      <c r="A125" s="42" t="s">
        <v>4</v>
      </c>
      <c r="B125" s="138" t="s">
        <v>6</v>
      </c>
      <c r="C125" s="1650" t="s">
        <v>29</v>
      </c>
      <c r="D125" s="1650"/>
      <c r="E125" s="1650"/>
      <c r="F125" s="1650"/>
      <c r="G125" s="1651"/>
      <c r="H125" s="1651"/>
      <c r="I125" s="1651"/>
      <c r="J125" s="1651"/>
      <c r="K125" s="1651"/>
      <c r="L125" s="1651"/>
      <c r="M125" s="1651"/>
      <c r="N125" s="1651"/>
      <c r="O125" s="1651"/>
      <c r="P125" s="1650"/>
      <c r="Q125" s="1652"/>
      <c r="R125" s="1652"/>
      <c r="S125" s="1652"/>
      <c r="T125" s="1653"/>
    </row>
    <row r="126" spans="1:21" ht="12.75" customHeight="1" x14ac:dyDescent="0.25">
      <c r="A126" s="750" t="s">
        <v>4</v>
      </c>
      <c r="B126" s="137" t="s">
        <v>6</v>
      </c>
      <c r="C126" s="353" t="s">
        <v>4</v>
      </c>
      <c r="D126" s="1658" t="s">
        <v>50</v>
      </c>
      <c r="E126" s="1661" t="s">
        <v>294</v>
      </c>
      <c r="F126" s="107" t="s">
        <v>23</v>
      </c>
      <c r="G126" s="104">
        <f>3489.3+300</f>
        <v>3789.3</v>
      </c>
      <c r="H126" s="104">
        <f>3489.3+300</f>
        <v>3789.3</v>
      </c>
      <c r="I126" s="122"/>
      <c r="J126" s="121">
        <v>5773.2</v>
      </c>
      <c r="K126" s="104">
        <v>5773.2</v>
      </c>
      <c r="L126" s="122"/>
      <c r="M126" s="121">
        <v>5913.2</v>
      </c>
      <c r="N126" s="104">
        <v>5913.2</v>
      </c>
      <c r="O126" s="174"/>
      <c r="P126" s="343"/>
      <c r="Q126" s="1087"/>
      <c r="R126" s="617"/>
      <c r="S126" s="617"/>
      <c r="T126" s="344"/>
    </row>
    <row r="127" spans="1:21" ht="12.75" customHeight="1" x14ac:dyDescent="0.25">
      <c r="A127" s="1148"/>
      <c r="B127" s="1153"/>
      <c r="C127" s="1150"/>
      <c r="D127" s="1659"/>
      <c r="E127" s="1577"/>
      <c r="F127" s="36" t="s">
        <v>53</v>
      </c>
      <c r="G127" s="56">
        <v>2001.8</v>
      </c>
      <c r="H127" s="127">
        <v>2001.8</v>
      </c>
      <c r="I127" s="56"/>
      <c r="J127" s="45">
        <v>0</v>
      </c>
      <c r="K127" s="127">
        <v>0</v>
      </c>
      <c r="L127" s="56"/>
      <c r="M127" s="45">
        <v>0</v>
      </c>
      <c r="N127" s="127">
        <v>0</v>
      </c>
      <c r="O127" s="35"/>
      <c r="P127" s="224"/>
      <c r="Q127" s="1068"/>
      <c r="R127" s="217"/>
      <c r="S127" s="217"/>
      <c r="T127" s="229"/>
    </row>
    <row r="128" spans="1:21" ht="12" customHeight="1" x14ac:dyDescent="0.25">
      <c r="A128" s="1148"/>
      <c r="B128" s="1153"/>
      <c r="C128" s="1150"/>
      <c r="D128" s="1659"/>
      <c r="E128" s="1577"/>
      <c r="F128" s="36" t="s">
        <v>61</v>
      </c>
      <c r="G128" s="56">
        <v>635.70000000000005</v>
      </c>
      <c r="H128" s="127">
        <v>635.70000000000005</v>
      </c>
      <c r="I128" s="56"/>
      <c r="J128" s="45">
        <v>350</v>
      </c>
      <c r="K128" s="127">
        <v>350</v>
      </c>
      <c r="L128" s="56"/>
      <c r="M128" s="45">
        <v>600</v>
      </c>
      <c r="N128" s="127">
        <v>600</v>
      </c>
      <c r="O128" s="35"/>
      <c r="P128" s="224"/>
      <c r="Q128" s="1068"/>
      <c r="R128" s="217"/>
      <c r="S128" s="217"/>
      <c r="T128" s="229"/>
    </row>
    <row r="129" spans="1:21" ht="9.75" customHeight="1" x14ac:dyDescent="0.25">
      <c r="A129" s="1148"/>
      <c r="B129" s="1153"/>
      <c r="C129" s="1150"/>
      <c r="D129" s="1660"/>
      <c r="E129" s="726"/>
      <c r="F129" s="36"/>
      <c r="G129" s="56"/>
      <c r="H129" s="127"/>
      <c r="I129" s="56"/>
      <c r="J129" s="45"/>
      <c r="K129" s="127"/>
      <c r="L129" s="56"/>
      <c r="M129" s="45"/>
      <c r="N129" s="127"/>
      <c r="O129" s="35"/>
      <c r="P129" s="224"/>
      <c r="Q129" s="1068"/>
      <c r="R129" s="217"/>
      <c r="S129" s="217"/>
      <c r="T129" s="229"/>
    </row>
    <row r="130" spans="1:21" ht="14.25" customHeight="1" x14ac:dyDescent="0.25">
      <c r="A130" s="1148"/>
      <c r="B130" s="1153"/>
      <c r="C130" s="1150"/>
      <c r="D130" s="1166" t="s">
        <v>46</v>
      </c>
      <c r="E130" s="1163"/>
      <c r="F130" s="215"/>
      <c r="G130" s="350"/>
      <c r="H130" s="349"/>
      <c r="I130" s="350"/>
      <c r="J130" s="156"/>
      <c r="K130" s="349"/>
      <c r="L130" s="350"/>
      <c r="M130" s="156"/>
      <c r="N130" s="349"/>
      <c r="O130" s="358"/>
      <c r="P130" s="427"/>
      <c r="Q130" s="1088"/>
      <c r="R130" s="434"/>
      <c r="S130" s="434"/>
      <c r="T130" s="1113"/>
    </row>
    <row r="131" spans="1:21" ht="12.75" customHeight="1" x14ac:dyDescent="0.25">
      <c r="A131" s="1148"/>
      <c r="B131" s="1153"/>
      <c r="C131" s="1150"/>
      <c r="D131" s="1654" t="s">
        <v>65</v>
      </c>
      <c r="E131" s="618" t="s">
        <v>246</v>
      </c>
      <c r="F131" s="36" t="s">
        <v>53</v>
      </c>
      <c r="G131" s="127">
        <v>-230</v>
      </c>
      <c r="H131" s="127">
        <v>-230</v>
      </c>
      <c r="I131" s="56">
        <f>H131-G131</f>
        <v>0</v>
      </c>
      <c r="J131" s="45"/>
      <c r="K131" s="127"/>
      <c r="L131" s="35"/>
      <c r="M131" s="45"/>
      <c r="N131" s="127"/>
      <c r="O131" s="35"/>
      <c r="P131" s="763" t="s">
        <v>38</v>
      </c>
      <c r="Q131" s="1284" t="s">
        <v>378</v>
      </c>
      <c r="R131" s="1203">
        <v>6</v>
      </c>
      <c r="S131" s="1172">
        <v>6</v>
      </c>
      <c r="T131" s="1298"/>
      <c r="U131" s="399"/>
    </row>
    <row r="132" spans="1:21" ht="14.25" customHeight="1" x14ac:dyDescent="0.25">
      <c r="A132" s="1148"/>
      <c r="B132" s="1153"/>
      <c r="C132" s="1150"/>
      <c r="D132" s="1654"/>
      <c r="E132" s="1170"/>
      <c r="F132" s="36" t="s">
        <v>23</v>
      </c>
      <c r="G132" s="127">
        <v>-6.5</v>
      </c>
      <c r="H132" s="127">
        <v>-6.5</v>
      </c>
      <c r="I132" s="65">
        <f>H132-G132</f>
        <v>0</v>
      </c>
      <c r="J132" s="45"/>
      <c r="K132" s="127"/>
      <c r="L132" s="56"/>
      <c r="M132" s="45"/>
      <c r="N132" s="127"/>
      <c r="O132" s="35"/>
      <c r="P132" s="789"/>
      <c r="Q132" s="307"/>
      <c r="R132" s="176"/>
      <c r="S132" s="420"/>
      <c r="T132" s="1322"/>
    </row>
    <row r="133" spans="1:21" ht="36.75" customHeight="1" x14ac:dyDescent="0.25">
      <c r="A133" s="1148"/>
      <c r="B133" s="1153"/>
      <c r="C133" s="1150"/>
      <c r="D133" s="1662" t="s">
        <v>66</v>
      </c>
      <c r="E133" s="1170"/>
      <c r="F133" s="36"/>
      <c r="G133" s="56"/>
      <c r="H133" s="127"/>
      <c r="I133" s="65"/>
      <c r="J133" s="45"/>
      <c r="K133" s="127"/>
      <c r="L133" s="56"/>
      <c r="M133" s="45"/>
      <c r="N133" s="127"/>
      <c r="O133" s="35"/>
      <c r="P133" s="1325" t="s">
        <v>101</v>
      </c>
      <c r="Q133" s="1324" t="s">
        <v>379</v>
      </c>
      <c r="R133" s="23">
        <v>3.2</v>
      </c>
      <c r="S133" s="250">
        <v>3.2</v>
      </c>
      <c r="T133" s="1298"/>
    </row>
    <row r="134" spans="1:21" ht="27.75" customHeight="1" x14ac:dyDescent="0.25">
      <c r="A134" s="1148"/>
      <c r="B134" s="1153"/>
      <c r="C134" s="1150"/>
      <c r="D134" s="1663"/>
      <c r="E134" s="1170"/>
      <c r="F134" s="36"/>
      <c r="G134" s="56"/>
      <c r="H134" s="127"/>
      <c r="I134" s="65"/>
      <c r="J134" s="45"/>
      <c r="K134" s="127"/>
      <c r="L134" s="56"/>
      <c r="M134" s="45"/>
      <c r="N134" s="127"/>
      <c r="O134" s="35"/>
      <c r="P134" s="790" t="s">
        <v>196</v>
      </c>
      <c r="Q134" s="1013">
        <v>2</v>
      </c>
      <c r="R134" s="380">
        <v>2</v>
      </c>
      <c r="S134" s="443">
        <v>2</v>
      </c>
      <c r="T134" s="1298"/>
    </row>
    <row r="135" spans="1:21" ht="26.25" customHeight="1" x14ac:dyDescent="0.25">
      <c r="A135" s="1148"/>
      <c r="B135" s="1153"/>
      <c r="C135" s="1150"/>
      <c r="D135" s="144" t="s">
        <v>67</v>
      </c>
      <c r="E135" s="1170"/>
      <c r="F135" s="36"/>
      <c r="G135" s="56"/>
      <c r="H135" s="127"/>
      <c r="I135" s="65"/>
      <c r="J135" s="45"/>
      <c r="K135" s="127"/>
      <c r="L135" s="56"/>
      <c r="M135" s="45"/>
      <c r="N135" s="127"/>
      <c r="O135" s="35"/>
      <c r="P135" s="447" t="s">
        <v>102</v>
      </c>
      <c r="Q135" s="1236" t="s">
        <v>310</v>
      </c>
      <c r="R135" s="443">
        <v>20.5</v>
      </c>
      <c r="S135" s="379">
        <v>20.5</v>
      </c>
      <c r="T135" s="1323"/>
    </row>
    <row r="136" spans="1:21" ht="34.5" customHeight="1" x14ac:dyDescent="0.25">
      <c r="A136" s="1148"/>
      <c r="B136" s="1153"/>
      <c r="C136" s="1150"/>
      <c r="D136" s="144" t="s">
        <v>304</v>
      </c>
      <c r="E136" s="1170"/>
      <c r="F136" s="38"/>
      <c r="G136" s="69"/>
      <c r="H136" s="380"/>
      <c r="I136" s="382"/>
      <c r="J136" s="85"/>
      <c r="K136" s="380"/>
      <c r="L136" s="69"/>
      <c r="M136" s="85"/>
      <c r="N136" s="380"/>
      <c r="O136" s="381"/>
      <c r="P136" s="447" t="s">
        <v>305</v>
      </c>
      <c r="Q136" s="307" t="s">
        <v>49</v>
      </c>
      <c r="R136" s="808" t="s">
        <v>49</v>
      </c>
      <c r="S136" s="834" t="s">
        <v>49</v>
      </c>
      <c r="T136" s="1108"/>
    </row>
    <row r="137" spans="1:21" ht="15.75" customHeight="1" x14ac:dyDescent="0.25">
      <c r="A137" s="1148"/>
      <c r="B137" s="1153"/>
      <c r="C137" s="1150"/>
      <c r="D137" s="1640" t="s">
        <v>95</v>
      </c>
      <c r="E137" s="1170"/>
      <c r="F137" s="36" t="s">
        <v>61</v>
      </c>
      <c r="G137" s="127">
        <v>-120.7</v>
      </c>
      <c r="H137" s="127">
        <v>-120.7</v>
      </c>
      <c r="I137" s="65">
        <f>H137-G137</f>
        <v>0</v>
      </c>
      <c r="J137" s="45"/>
      <c r="K137" s="127"/>
      <c r="L137" s="56"/>
      <c r="M137" s="45"/>
      <c r="N137" s="304"/>
      <c r="O137" s="305"/>
      <c r="P137" s="1838" t="s">
        <v>186</v>
      </c>
      <c r="Q137" s="1281">
        <v>2</v>
      </c>
      <c r="R137" s="223">
        <v>6</v>
      </c>
      <c r="S137" s="223">
        <v>6</v>
      </c>
      <c r="T137" s="1785"/>
    </row>
    <row r="138" spans="1:21" ht="16.5" customHeight="1" x14ac:dyDescent="0.25">
      <c r="A138" s="1148"/>
      <c r="B138" s="1153"/>
      <c r="C138" s="1150"/>
      <c r="D138" s="1603"/>
      <c r="E138" s="1170"/>
      <c r="F138" s="36"/>
      <c r="G138" s="56"/>
      <c r="H138" s="127"/>
      <c r="I138" s="56"/>
      <c r="J138" s="45"/>
      <c r="K138" s="127"/>
      <c r="L138" s="56"/>
      <c r="M138" s="45"/>
      <c r="N138" s="127"/>
      <c r="O138" s="35"/>
      <c r="P138" s="1839"/>
      <c r="R138" s="1188"/>
      <c r="S138" s="1188"/>
      <c r="T138" s="1835"/>
    </row>
    <row r="139" spans="1:21" ht="9.75" customHeight="1" x14ac:dyDescent="0.25">
      <c r="A139" s="1148"/>
      <c r="B139" s="1153"/>
      <c r="C139" s="1150"/>
      <c r="D139" s="1603"/>
      <c r="E139" s="1178"/>
      <c r="F139" s="36"/>
      <c r="G139" s="56"/>
      <c r="H139" s="127"/>
      <c r="I139" s="56"/>
      <c r="J139" s="45"/>
      <c r="K139" s="127"/>
      <c r="L139" s="56"/>
      <c r="M139" s="45"/>
      <c r="N139" s="1199"/>
      <c r="O139" s="102"/>
      <c r="P139" s="1625"/>
      <c r="Q139" s="1172"/>
      <c r="R139" s="1188"/>
      <c r="S139" s="1188"/>
      <c r="T139" s="1782"/>
    </row>
    <row r="140" spans="1:21" ht="14.25" customHeight="1" x14ac:dyDescent="0.25">
      <c r="A140" s="1148"/>
      <c r="B140" s="1153"/>
      <c r="C140" s="1127"/>
      <c r="D140" s="1128" t="s">
        <v>111</v>
      </c>
      <c r="E140" s="1163"/>
      <c r="F140" s="1204"/>
      <c r="G140" s="84"/>
      <c r="H140" s="97"/>
      <c r="I140" s="197"/>
      <c r="J140" s="84"/>
      <c r="K140" s="97"/>
      <c r="L140" s="197"/>
      <c r="M140" s="84"/>
      <c r="N140" s="100"/>
      <c r="O140" s="791"/>
      <c r="P140" s="1164"/>
      <c r="Q140" s="1090"/>
      <c r="R140" s="98"/>
      <c r="S140" s="98"/>
      <c r="T140" s="1120"/>
    </row>
    <row r="141" spans="1:21" ht="51.75" customHeight="1" x14ac:dyDescent="0.25">
      <c r="A141" s="1148"/>
      <c r="B141" s="1153"/>
      <c r="C141" s="111" t="s">
        <v>4</v>
      </c>
      <c r="D141" s="1206" t="s">
        <v>257</v>
      </c>
      <c r="E141" s="1163"/>
      <c r="F141" s="85"/>
      <c r="G141" s="85"/>
      <c r="H141" s="380"/>
      <c r="I141" s="382"/>
      <c r="J141" s="85"/>
      <c r="K141" s="380"/>
      <c r="L141" s="69"/>
      <c r="M141" s="85"/>
      <c r="N141" s="380"/>
      <c r="O141" s="381"/>
      <c r="P141" s="548" t="s">
        <v>109</v>
      </c>
      <c r="Q141" s="253">
        <v>21</v>
      </c>
      <c r="R141" s="176">
        <v>21</v>
      </c>
      <c r="S141" s="176">
        <v>21</v>
      </c>
      <c r="T141" s="1121"/>
    </row>
    <row r="142" spans="1:21" ht="18" customHeight="1" x14ac:dyDescent="0.25">
      <c r="A142" s="1148"/>
      <c r="B142" s="1153"/>
      <c r="C142" s="1018" t="s">
        <v>6</v>
      </c>
      <c r="D142" s="1832" t="s">
        <v>362</v>
      </c>
      <c r="E142" s="1278"/>
      <c r="F142" s="41" t="s">
        <v>23</v>
      </c>
      <c r="G142" s="422">
        <v>670.4</v>
      </c>
      <c r="H142" s="304">
        <v>670.4</v>
      </c>
      <c r="I142" s="422">
        <f>H142-G142</f>
        <v>0</v>
      </c>
      <c r="J142" s="303"/>
      <c r="K142" s="304"/>
      <c r="L142" s="319"/>
      <c r="M142" s="303"/>
      <c r="N142" s="304"/>
      <c r="O142" s="305"/>
      <c r="P142" s="1833" t="s">
        <v>109</v>
      </c>
      <c r="Q142" s="205">
        <v>58</v>
      </c>
      <c r="R142" s="223"/>
      <c r="S142" s="222"/>
      <c r="T142" s="1785"/>
    </row>
    <row r="143" spans="1:21" ht="18" customHeight="1" x14ac:dyDescent="0.25">
      <c r="A143" s="1148"/>
      <c r="B143" s="1153"/>
      <c r="C143" s="1203"/>
      <c r="D143" s="1832"/>
      <c r="E143" s="1278"/>
      <c r="F143" s="36" t="s">
        <v>53</v>
      </c>
      <c r="G143" s="65">
        <v>230</v>
      </c>
      <c r="H143" s="127">
        <v>230</v>
      </c>
      <c r="I143" s="65">
        <f>H143-G143</f>
        <v>0</v>
      </c>
      <c r="J143" s="45"/>
      <c r="K143" s="127"/>
      <c r="L143" s="56"/>
      <c r="M143" s="45"/>
      <c r="N143" s="127"/>
      <c r="O143" s="35"/>
      <c r="P143" s="1834"/>
      <c r="Q143" s="1279"/>
      <c r="R143" s="1188"/>
      <c r="S143" s="1188"/>
      <c r="T143" s="1835"/>
    </row>
    <row r="144" spans="1:21" ht="18" customHeight="1" x14ac:dyDescent="0.25">
      <c r="A144" s="1148"/>
      <c r="B144" s="1153"/>
      <c r="C144" s="1013"/>
      <c r="D144" s="1832"/>
      <c r="E144" s="1278"/>
      <c r="F144" s="38" t="s">
        <v>61</v>
      </c>
      <c r="G144" s="382">
        <v>146</v>
      </c>
      <c r="H144" s="380">
        <v>146</v>
      </c>
      <c r="I144" s="382">
        <f>H144-G144</f>
        <v>0</v>
      </c>
      <c r="J144" s="85"/>
      <c r="K144" s="380"/>
      <c r="L144" s="69"/>
      <c r="M144" s="85"/>
      <c r="N144" s="380"/>
      <c r="O144" s="381"/>
      <c r="P144" s="1837"/>
      <c r="Q144" s="253"/>
      <c r="R144" s="176"/>
      <c r="S144" s="176"/>
      <c r="T144" s="1786"/>
    </row>
    <row r="145" spans="1:21" ht="22.5" customHeight="1" x14ac:dyDescent="0.25">
      <c r="A145" s="1148"/>
      <c r="B145" s="1153"/>
      <c r="C145" s="1018" t="s">
        <v>26</v>
      </c>
      <c r="D145" s="1836" t="s">
        <v>112</v>
      </c>
      <c r="E145" s="1163"/>
      <c r="F145" s="36"/>
      <c r="G145" s="56"/>
      <c r="H145" s="127"/>
      <c r="I145" s="65"/>
      <c r="J145" s="45"/>
      <c r="K145" s="127"/>
      <c r="L145" s="56"/>
      <c r="M145" s="45"/>
      <c r="N145" s="127"/>
      <c r="O145" s="35"/>
      <c r="P145" s="1833" t="s">
        <v>138</v>
      </c>
      <c r="Q145" s="1083">
        <v>18</v>
      </c>
      <c r="R145" s="151">
        <v>18</v>
      </c>
      <c r="S145" s="151">
        <v>18</v>
      </c>
      <c r="T145" s="448"/>
    </row>
    <row r="146" spans="1:21" ht="22.5" customHeight="1" x14ac:dyDescent="0.25">
      <c r="A146" s="1148"/>
      <c r="B146" s="1153"/>
      <c r="C146" s="1013"/>
      <c r="D146" s="1836"/>
      <c r="E146" s="624"/>
      <c r="F146" s="38"/>
      <c r="G146" s="69"/>
      <c r="H146" s="380"/>
      <c r="I146" s="382"/>
      <c r="J146" s="85"/>
      <c r="K146" s="380"/>
      <c r="L146" s="69"/>
      <c r="M146" s="85"/>
      <c r="N146" s="380"/>
      <c r="O146" s="381"/>
      <c r="P146" s="1837"/>
      <c r="Q146" s="1122"/>
      <c r="R146" s="1123"/>
      <c r="S146" s="1123"/>
      <c r="T146" s="1124"/>
    </row>
    <row r="147" spans="1:21" ht="45" customHeight="1" x14ac:dyDescent="0.25">
      <c r="A147" s="1148"/>
      <c r="B147" s="1153"/>
      <c r="C147" s="1019" t="s">
        <v>30</v>
      </c>
      <c r="D147" s="1303" t="s">
        <v>370</v>
      </c>
      <c r="E147" s="1125" t="s">
        <v>246</v>
      </c>
      <c r="F147" s="292" t="s">
        <v>23</v>
      </c>
      <c r="G147" s="444">
        <v>50.2</v>
      </c>
      <c r="H147" s="444">
        <v>50.2</v>
      </c>
      <c r="I147" s="1126">
        <f>H147-G147</f>
        <v>0</v>
      </c>
      <c r="J147" s="293"/>
      <c r="K147" s="444"/>
      <c r="L147" s="445"/>
      <c r="M147" s="774"/>
      <c r="N147" s="444"/>
      <c r="O147" s="445"/>
      <c r="P147" s="620" t="s">
        <v>374</v>
      </c>
      <c r="Q147" s="1019" t="s">
        <v>366</v>
      </c>
      <c r="R147" s="324">
        <v>2</v>
      </c>
      <c r="S147" s="361">
        <v>2</v>
      </c>
      <c r="T147" s="1107"/>
    </row>
    <row r="148" spans="1:21" ht="18" customHeight="1" x14ac:dyDescent="0.25">
      <c r="A148" s="1586"/>
      <c r="B148" s="1587"/>
      <c r="C148" s="1588"/>
      <c r="D148" s="1575" t="s">
        <v>39</v>
      </c>
      <c r="E148" s="1666"/>
      <c r="F148" s="36"/>
      <c r="G148" s="56"/>
      <c r="H148" s="127"/>
      <c r="I148" s="65"/>
      <c r="J148" s="45"/>
      <c r="K148" s="127"/>
      <c r="L148" s="56"/>
      <c r="M148" s="45"/>
      <c r="N148" s="127"/>
      <c r="O148" s="35"/>
      <c r="P148" s="1629" t="s">
        <v>48</v>
      </c>
      <c r="Q148" s="1668">
        <v>7</v>
      </c>
      <c r="R148" s="1668" t="s">
        <v>215</v>
      </c>
      <c r="S148" s="1793" t="s">
        <v>216</v>
      </c>
      <c r="T148" s="1799"/>
    </row>
    <row r="149" spans="1:21" ht="13.5" customHeight="1" x14ac:dyDescent="0.25">
      <c r="A149" s="1586"/>
      <c r="B149" s="1587"/>
      <c r="C149" s="1588"/>
      <c r="D149" s="1576"/>
      <c r="E149" s="1666"/>
      <c r="F149" s="1176"/>
      <c r="G149" s="89"/>
      <c r="H149" s="1199"/>
      <c r="I149" s="66"/>
      <c r="J149" s="1205"/>
      <c r="K149" s="1199"/>
      <c r="L149" s="89"/>
      <c r="M149" s="1205"/>
      <c r="N149" s="1199"/>
      <c r="O149" s="102"/>
      <c r="P149" s="1667"/>
      <c r="Q149" s="1669"/>
      <c r="R149" s="1669"/>
      <c r="S149" s="1794"/>
      <c r="T149" s="1671"/>
    </row>
    <row r="150" spans="1:21" ht="18" customHeight="1" x14ac:dyDescent="0.25">
      <c r="A150" s="1586"/>
      <c r="B150" s="1591"/>
      <c r="C150" s="1588"/>
      <c r="D150" s="1664" t="s">
        <v>182</v>
      </c>
      <c r="E150" s="1665"/>
      <c r="F150" s="1175"/>
      <c r="G150" s="68"/>
      <c r="H150" s="1198"/>
      <c r="I150" s="68"/>
      <c r="J150" s="1204"/>
      <c r="K150" s="1198"/>
      <c r="L150" s="113"/>
      <c r="M150" s="1204"/>
      <c r="N150" s="1198"/>
      <c r="O150" s="113"/>
      <c r="P150" s="549" t="s">
        <v>119</v>
      </c>
      <c r="Q150" s="491" t="s">
        <v>291</v>
      </c>
      <c r="R150" s="259">
        <v>4</v>
      </c>
      <c r="S150" s="259">
        <v>4</v>
      </c>
      <c r="T150" s="277"/>
    </row>
    <row r="151" spans="1:21" ht="15.75" customHeight="1" x14ac:dyDescent="0.25">
      <c r="A151" s="1586"/>
      <c r="B151" s="1591"/>
      <c r="C151" s="1588"/>
      <c r="D151" s="1633"/>
      <c r="E151" s="1666"/>
      <c r="F151" s="36"/>
      <c r="G151" s="56"/>
      <c r="H151" s="127"/>
      <c r="I151" s="56"/>
      <c r="J151" s="45"/>
      <c r="K151" s="127"/>
      <c r="L151" s="35"/>
      <c r="M151" s="45"/>
      <c r="N151" s="127"/>
      <c r="O151" s="35"/>
      <c r="P151" s="547" t="s">
        <v>136</v>
      </c>
      <c r="Q151" s="474">
        <v>1</v>
      </c>
      <c r="R151" s="96">
        <v>1</v>
      </c>
      <c r="S151" s="203">
        <v>1</v>
      </c>
      <c r="T151" s="398"/>
    </row>
    <row r="152" spans="1:21" ht="25.5" customHeight="1" x14ac:dyDescent="0.25">
      <c r="A152" s="1586"/>
      <c r="B152" s="1591"/>
      <c r="C152" s="1588"/>
      <c r="D152" s="1633"/>
      <c r="E152" s="1666"/>
      <c r="F152" s="36"/>
      <c r="G152" s="56"/>
      <c r="H152" s="127"/>
      <c r="I152" s="56"/>
      <c r="J152" s="45"/>
      <c r="K152" s="127"/>
      <c r="L152" s="35"/>
      <c r="M152" s="45"/>
      <c r="N152" s="127"/>
      <c r="O152" s="35"/>
      <c r="P152" s="1207" t="s">
        <v>108</v>
      </c>
      <c r="Q152" s="205">
        <v>1</v>
      </c>
      <c r="R152" s="223">
        <v>1</v>
      </c>
      <c r="S152" s="337">
        <v>1</v>
      </c>
      <c r="T152" s="18"/>
    </row>
    <row r="153" spans="1:21" ht="15" customHeight="1" x14ac:dyDescent="0.25">
      <c r="A153" s="1148"/>
      <c r="B153" s="1153"/>
      <c r="C153" s="1150"/>
      <c r="D153" s="1166"/>
      <c r="E153" s="1170"/>
      <c r="F153" s="36"/>
      <c r="G153" s="56"/>
      <c r="H153" s="127"/>
      <c r="I153" s="56"/>
      <c r="J153" s="45"/>
      <c r="K153" s="127"/>
      <c r="L153" s="35"/>
      <c r="M153" s="45"/>
      <c r="N153" s="127"/>
      <c r="O153" s="35"/>
      <c r="P153" s="547" t="s">
        <v>162</v>
      </c>
      <c r="Q153" s="474">
        <v>1</v>
      </c>
      <c r="R153" s="96">
        <v>1</v>
      </c>
      <c r="S153" s="203">
        <v>1</v>
      </c>
      <c r="T153" s="421"/>
    </row>
    <row r="154" spans="1:21" ht="15" customHeight="1" x14ac:dyDescent="0.25">
      <c r="A154" s="1148"/>
      <c r="B154" s="1153"/>
      <c r="C154" s="1150"/>
      <c r="D154" s="1166"/>
      <c r="E154" s="624"/>
      <c r="F154" s="38"/>
      <c r="G154" s="69"/>
      <c r="H154" s="380"/>
      <c r="I154" s="69"/>
      <c r="J154" s="85"/>
      <c r="K154" s="127"/>
      <c r="L154" s="35"/>
      <c r="M154" s="45"/>
      <c r="N154" s="127"/>
      <c r="O154" s="35"/>
      <c r="P154" s="1207" t="s">
        <v>161</v>
      </c>
      <c r="Q154" s="205">
        <v>1</v>
      </c>
      <c r="R154" s="223">
        <v>1</v>
      </c>
      <c r="S154" s="223">
        <v>1</v>
      </c>
      <c r="T154" s="1185"/>
    </row>
    <row r="155" spans="1:21" ht="18.75" customHeight="1" x14ac:dyDescent="0.25">
      <c r="A155" s="1148"/>
      <c r="B155" s="1153"/>
      <c r="C155" s="1150"/>
      <c r="D155" s="1152"/>
      <c r="E155" s="1178" t="s">
        <v>246</v>
      </c>
      <c r="F155" s="36" t="s">
        <v>23</v>
      </c>
      <c r="G155" s="380">
        <v>-81.7</v>
      </c>
      <c r="H155" s="380">
        <v>-81.7</v>
      </c>
      <c r="I155" s="69"/>
      <c r="J155" s="85"/>
      <c r="K155" s="444"/>
      <c r="L155" s="445"/>
      <c r="M155" s="774"/>
      <c r="N155" s="444"/>
      <c r="O155" s="445"/>
      <c r="P155" s="1062"/>
      <c r="Q155" s="1106"/>
      <c r="R155" s="1063"/>
      <c r="S155" s="1064"/>
      <c r="T155" s="1107"/>
      <c r="U155" s="562"/>
    </row>
    <row r="156" spans="1:21" ht="19.5" customHeight="1" x14ac:dyDescent="0.25">
      <c r="A156" s="1586"/>
      <c r="B156" s="1591"/>
      <c r="C156" s="1588"/>
      <c r="D156" s="1574" t="s">
        <v>93</v>
      </c>
      <c r="E156" s="1665" t="s">
        <v>185</v>
      </c>
      <c r="F156" s="1175"/>
      <c r="G156" s="68"/>
      <c r="H156" s="1282"/>
      <c r="I156" s="68"/>
      <c r="J156" s="1285"/>
      <c r="K156" s="127"/>
      <c r="L156" s="35"/>
      <c r="M156" s="45"/>
      <c r="N156" s="127"/>
      <c r="O156" s="35"/>
      <c r="P156" s="1675" t="s">
        <v>163</v>
      </c>
      <c r="Q156" s="1172">
        <v>100</v>
      </c>
      <c r="R156" s="260"/>
      <c r="S156" s="260"/>
      <c r="T156" s="360"/>
    </row>
    <row r="157" spans="1:21" ht="20.25" customHeight="1" x14ac:dyDescent="0.25">
      <c r="A157" s="1586"/>
      <c r="B157" s="1591"/>
      <c r="C157" s="1588"/>
      <c r="D157" s="1576"/>
      <c r="E157" s="1676"/>
      <c r="F157" s="1176"/>
      <c r="G157" s="89"/>
      <c r="H157" s="1283"/>
      <c r="I157" s="89"/>
      <c r="J157" s="1286"/>
      <c r="K157" s="1283"/>
      <c r="L157" s="102"/>
      <c r="M157" s="1205"/>
      <c r="N157" s="1199"/>
      <c r="O157" s="102"/>
      <c r="P157" s="1818"/>
      <c r="Q157" s="1213"/>
      <c r="R157" s="897"/>
      <c r="S157" s="897"/>
      <c r="T157" s="999"/>
    </row>
    <row r="158" spans="1:21" ht="11.25" customHeight="1" x14ac:dyDescent="0.25">
      <c r="A158" s="1154"/>
      <c r="B158" s="1153"/>
      <c r="C158" s="123"/>
      <c r="D158" s="1574" t="s">
        <v>343</v>
      </c>
      <c r="E158" s="1181"/>
      <c r="F158" s="36"/>
      <c r="G158" s="56"/>
      <c r="H158" s="127"/>
      <c r="I158" s="56"/>
      <c r="J158" s="45"/>
      <c r="K158" s="127"/>
      <c r="L158" s="35"/>
      <c r="M158" s="1805"/>
      <c r="N158" s="1826"/>
      <c r="O158" s="113"/>
      <c r="P158" s="1675" t="s">
        <v>217</v>
      </c>
      <c r="Q158" s="306">
        <v>100</v>
      </c>
      <c r="R158" s="1186"/>
      <c r="S158" s="287"/>
      <c r="T158" s="398"/>
    </row>
    <row r="159" spans="1:21" ht="15" customHeight="1" x14ac:dyDescent="0.25">
      <c r="A159" s="1154"/>
      <c r="B159" s="1153"/>
      <c r="C159" s="123"/>
      <c r="D159" s="1576"/>
      <c r="E159" s="1181"/>
      <c r="F159" s="1176"/>
      <c r="G159" s="89"/>
      <c r="H159" s="1283"/>
      <c r="I159" s="66"/>
      <c r="J159" s="1286"/>
      <c r="K159" s="1283"/>
      <c r="L159" s="89"/>
      <c r="M159" s="1806"/>
      <c r="N159" s="1827"/>
      <c r="O159" s="102"/>
      <c r="P159" s="1667"/>
      <c r="Q159" s="219"/>
      <c r="R159" s="15"/>
      <c r="S159" s="29"/>
      <c r="T159" s="16"/>
    </row>
    <row r="160" spans="1:21" ht="16.5" customHeight="1" x14ac:dyDescent="0.25">
      <c r="A160" s="1191"/>
      <c r="B160" s="762"/>
      <c r="C160" s="761"/>
      <c r="D160" s="1589" t="s">
        <v>89</v>
      </c>
      <c r="E160" s="1665" t="s">
        <v>151</v>
      </c>
      <c r="F160" s="41"/>
      <c r="G160" s="319"/>
      <c r="H160" s="304"/>
      <c r="I160" s="305"/>
      <c r="J160" s="303"/>
      <c r="K160" s="304"/>
      <c r="L160" s="305"/>
      <c r="M160" s="303"/>
      <c r="N160" s="304"/>
      <c r="O160" s="35"/>
      <c r="P160" s="621" t="s">
        <v>164</v>
      </c>
      <c r="Q160" s="1091">
        <v>4</v>
      </c>
      <c r="R160" s="259">
        <v>7</v>
      </c>
      <c r="S160" s="259"/>
      <c r="T160" s="277"/>
    </row>
    <row r="161" spans="1:21" ht="15" customHeight="1" x14ac:dyDescent="0.25">
      <c r="A161" s="1154"/>
      <c r="B161" s="1153"/>
      <c r="C161" s="123"/>
      <c r="D161" s="1596"/>
      <c r="E161" s="1666"/>
      <c r="F161" s="36"/>
      <c r="G161" s="56"/>
      <c r="H161" s="127"/>
      <c r="I161" s="35"/>
      <c r="J161" s="45"/>
      <c r="K161" s="127"/>
      <c r="L161" s="35"/>
      <c r="M161" s="45"/>
      <c r="N161" s="127"/>
      <c r="O161" s="35"/>
      <c r="P161" s="1164" t="s">
        <v>130</v>
      </c>
      <c r="Q161" s="1172">
        <v>8</v>
      </c>
      <c r="R161" s="222">
        <v>7</v>
      </c>
      <c r="S161" s="1188"/>
      <c r="T161" s="1185"/>
    </row>
    <row r="162" spans="1:21" ht="29.25" customHeight="1" x14ac:dyDescent="0.25">
      <c r="A162" s="1154"/>
      <c r="B162" s="1153"/>
      <c r="C162" s="123"/>
      <c r="D162" s="1590"/>
      <c r="E162" s="61"/>
      <c r="F162" s="292" t="s">
        <v>61</v>
      </c>
      <c r="G162" s="444">
        <v>-43.2</v>
      </c>
      <c r="H162" s="444">
        <v>-43.2</v>
      </c>
      <c r="I162" s="445"/>
      <c r="J162" s="444">
        <v>43.2</v>
      </c>
      <c r="K162" s="444">
        <v>43.2</v>
      </c>
      <c r="L162" s="1133"/>
      <c r="M162" s="293"/>
      <c r="N162" s="444"/>
      <c r="O162" s="445"/>
      <c r="P162" s="622" t="s">
        <v>90</v>
      </c>
      <c r="Q162" s="1092" t="s">
        <v>380</v>
      </c>
      <c r="R162" s="1019">
        <v>6</v>
      </c>
      <c r="S162" s="361">
        <v>7</v>
      </c>
      <c r="T162" s="1132"/>
    </row>
    <row r="163" spans="1:21" ht="16.5" customHeight="1" x14ac:dyDescent="0.25">
      <c r="A163" s="1191"/>
      <c r="B163" s="762"/>
      <c r="C163" s="761"/>
      <c r="D163" s="1574" t="s">
        <v>168</v>
      </c>
      <c r="E163" s="391" t="s">
        <v>44</v>
      </c>
      <c r="F163" s="1175"/>
      <c r="G163" s="56"/>
      <c r="H163" s="127"/>
      <c r="I163" s="56"/>
      <c r="J163" s="45"/>
      <c r="K163" s="127"/>
      <c r="L163" s="35"/>
      <c r="M163" s="45"/>
      <c r="N163" s="127"/>
      <c r="O163" s="35"/>
      <c r="P163" s="621" t="s">
        <v>43</v>
      </c>
      <c r="Q163" s="491" t="s">
        <v>49</v>
      </c>
      <c r="R163" s="1017"/>
      <c r="S163" s="491"/>
      <c r="T163" s="1000"/>
    </row>
    <row r="164" spans="1:21" ht="13.5" customHeight="1" x14ac:dyDescent="0.25">
      <c r="A164" s="159"/>
      <c r="B164" s="762"/>
      <c r="C164" s="761"/>
      <c r="D164" s="1807"/>
      <c r="E164" s="1170"/>
      <c r="F164" s="36"/>
      <c r="G164" s="56"/>
      <c r="H164" s="127"/>
      <c r="I164" s="56"/>
      <c r="J164" s="45"/>
      <c r="K164" s="127"/>
      <c r="L164" s="35"/>
      <c r="M164" s="45"/>
      <c r="N164" s="127"/>
      <c r="O164" s="35"/>
      <c r="P164" s="1646" t="s">
        <v>239</v>
      </c>
      <c r="Q164" s="205" t="s">
        <v>253</v>
      </c>
      <c r="R164" s="1018" t="s">
        <v>253</v>
      </c>
      <c r="S164" s="205" t="s">
        <v>40</v>
      </c>
      <c r="T164" s="171"/>
    </row>
    <row r="165" spans="1:21" ht="12.75" customHeight="1" x14ac:dyDescent="0.25">
      <c r="A165" s="159"/>
      <c r="B165" s="762"/>
      <c r="C165" s="761"/>
      <c r="D165" s="1807"/>
      <c r="E165" s="1170"/>
      <c r="F165" s="36"/>
      <c r="G165" s="56"/>
      <c r="H165" s="127"/>
      <c r="I165" s="56"/>
      <c r="J165" s="45"/>
      <c r="K165" s="127"/>
      <c r="L165" s="35"/>
      <c r="M165" s="45"/>
      <c r="N165" s="127"/>
      <c r="O165" s="35"/>
      <c r="P165" s="1647"/>
      <c r="Q165" s="253"/>
      <c r="R165" s="1013"/>
      <c r="S165" s="253"/>
      <c r="T165" s="171"/>
    </row>
    <row r="166" spans="1:21" ht="15.75" customHeight="1" x14ac:dyDescent="0.25">
      <c r="A166" s="159"/>
      <c r="B166" s="762"/>
      <c r="C166" s="761"/>
      <c r="D166" s="1685" t="s">
        <v>344</v>
      </c>
      <c r="E166" s="1170"/>
      <c r="F166" s="36"/>
      <c r="G166" s="56"/>
      <c r="H166" s="127"/>
      <c r="I166" s="56"/>
      <c r="J166" s="45"/>
      <c r="K166" s="127"/>
      <c r="L166" s="35"/>
      <c r="M166" s="45"/>
      <c r="N166" s="127"/>
      <c r="O166" s="35"/>
      <c r="P166" s="1207" t="s">
        <v>169</v>
      </c>
      <c r="Q166" s="205" t="s">
        <v>49</v>
      </c>
      <c r="R166" s="205"/>
      <c r="S166" s="205"/>
      <c r="T166" s="206"/>
    </row>
    <row r="167" spans="1:21" ht="27" customHeight="1" x14ac:dyDescent="0.25">
      <c r="A167" s="159"/>
      <c r="B167" s="762"/>
      <c r="C167" s="761"/>
      <c r="D167" s="1804"/>
      <c r="E167" s="1178"/>
      <c r="F167" s="1176"/>
      <c r="G167" s="89"/>
      <c r="H167" s="1283"/>
      <c r="I167" s="89"/>
      <c r="J167" s="1286"/>
      <c r="K167" s="1283"/>
      <c r="L167" s="102"/>
      <c r="M167" s="1205"/>
      <c r="N167" s="1199"/>
      <c r="O167" s="102"/>
      <c r="P167" s="257"/>
      <c r="Q167" s="1173"/>
      <c r="R167" s="1173"/>
      <c r="S167" s="1173"/>
      <c r="T167" s="171"/>
    </row>
    <row r="168" spans="1:21" ht="15.75" customHeight="1" x14ac:dyDescent="0.25">
      <c r="A168" s="1148"/>
      <c r="B168" s="1153"/>
      <c r="C168" s="1150"/>
      <c r="D168" s="1596" t="s">
        <v>263</v>
      </c>
      <c r="E168" s="619" t="s">
        <v>266</v>
      </c>
      <c r="F168" s="36"/>
      <c r="G168" s="56"/>
      <c r="H168" s="127"/>
      <c r="I168" s="56"/>
      <c r="J168" s="45"/>
      <c r="K168" s="127"/>
      <c r="L168" s="35"/>
      <c r="M168" s="45"/>
      <c r="N168" s="127"/>
      <c r="O168" s="35"/>
      <c r="P168" s="372" t="s">
        <v>262</v>
      </c>
      <c r="Q168" s="1013">
        <v>1</v>
      </c>
      <c r="R168" s="270"/>
      <c r="S168" s="176"/>
      <c r="T168" s="155"/>
      <c r="U168" s="1182"/>
    </row>
    <row r="169" spans="1:21" ht="29.25" customHeight="1" x14ac:dyDescent="0.25">
      <c r="A169" s="1148"/>
      <c r="B169" s="1153"/>
      <c r="C169" s="1150"/>
      <c r="D169" s="1590"/>
      <c r="E169" s="1178" t="s">
        <v>202</v>
      </c>
      <c r="F169" s="1176"/>
      <c r="G169" s="89"/>
      <c r="H169" s="1283"/>
      <c r="I169" s="89"/>
      <c r="J169" s="1286"/>
      <c r="K169" s="1283"/>
      <c r="L169" s="102"/>
      <c r="M169" s="1205"/>
      <c r="N169" s="1199"/>
      <c r="O169" s="102"/>
      <c r="P169" s="1171" t="s">
        <v>265</v>
      </c>
      <c r="Q169" s="1213"/>
      <c r="R169" s="15">
        <v>4</v>
      </c>
      <c r="S169" s="29">
        <v>4</v>
      </c>
      <c r="T169" s="1185"/>
      <c r="U169" s="562"/>
    </row>
    <row r="170" spans="1:21" ht="16.5" customHeight="1" x14ac:dyDescent="0.25">
      <c r="A170" s="1191"/>
      <c r="B170" s="762"/>
      <c r="C170" s="761"/>
      <c r="D170" s="1589" t="s">
        <v>356</v>
      </c>
      <c r="E170" s="391"/>
      <c r="F170" s="1175" t="s">
        <v>23</v>
      </c>
      <c r="G170" s="127">
        <v>62.7</v>
      </c>
      <c r="H170" s="127">
        <v>62.7</v>
      </c>
      <c r="I170" s="56"/>
      <c r="J170" s="45"/>
      <c r="K170" s="127"/>
      <c r="L170" s="35"/>
      <c r="M170" s="45"/>
      <c r="N170" s="127"/>
      <c r="O170" s="35"/>
      <c r="P170" s="1581" t="s">
        <v>355</v>
      </c>
      <c r="Q170" s="1077">
        <v>1</v>
      </c>
      <c r="R170" s="1212"/>
      <c r="S170" s="1202"/>
      <c r="T170" s="1788"/>
      <c r="U170" s="562"/>
    </row>
    <row r="171" spans="1:21" ht="13.5" customHeight="1" x14ac:dyDescent="0.25">
      <c r="A171" s="159"/>
      <c r="B171" s="762"/>
      <c r="C171" s="761"/>
      <c r="D171" s="1596"/>
      <c r="E171" s="1170"/>
      <c r="F171" s="36"/>
      <c r="G171" s="56"/>
      <c r="H171" s="127"/>
      <c r="I171" s="56"/>
      <c r="J171" s="45"/>
      <c r="K171" s="127"/>
      <c r="L171" s="35"/>
      <c r="M171" s="45"/>
      <c r="N171" s="127"/>
      <c r="O171" s="35"/>
      <c r="P171" s="1584"/>
      <c r="Q171" s="1203"/>
      <c r="R171" s="1172"/>
      <c r="S171" s="1203"/>
      <c r="T171" s="1789"/>
    </row>
    <row r="172" spans="1:21" ht="27" customHeight="1" x14ac:dyDescent="0.25">
      <c r="A172" s="159"/>
      <c r="B172" s="762"/>
      <c r="C172" s="761"/>
      <c r="D172" s="1590"/>
      <c r="E172" s="1170"/>
      <c r="F172" s="36"/>
      <c r="G172" s="56"/>
      <c r="H172" s="127"/>
      <c r="I172" s="56"/>
      <c r="J172" s="45"/>
      <c r="K172" s="127"/>
      <c r="L172" s="35"/>
      <c r="M172" s="45"/>
      <c r="N172" s="1199"/>
      <c r="O172" s="102"/>
      <c r="P172" s="839"/>
      <c r="Q172" s="1173"/>
      <c r="R172" s="1173"/>
      <c r="S172" s="1213"/>
      <c r="T172" s="1790"/>
    </row>
    <row r="173" spans="1:21" ht="18" customHeight="1" thickBot="1" x14ac:dyDescent="0.3">
      <c r="A173" s="610"/>
      <c r="B173" s="611"/>
      <c r="C173" s="609"/>
      <c r="D173" s="469"/>
      <c r="E173" s="470"/>
      <c r="F173" s="51" t="s">
        <v>5</v>
      </c>
      <c r="G173" s="139">
        <f>SUM(G126:G172)</f>
        <v>7104</v>
      </c>
      <c r="H173" s="105">
        <f>SUM(H126:H172)</f>
        <v>7104</v>
      </c>
      <c r="I173" s="139">
        <f>SUM(I126:I172)</f>
        <v>0</v>
      </c>
      <c r="J173" s="103">
        <f>SUM(J126:J169)</f>
        <v>6166.4</v>
      </c>
      <c r="K173" s="105">
        <f>SUM(K126:K169)</f>
        <v>6166.4</v>
      </c>
      <c r="L173" s="105">
        <f>SUM(L126:L169)</f>
        <v>0</v>
      </c>
      <c r="M173" s="103">
        <f>SUM(M126:M169)</f>
        <v>6513.2</v>
      </c>
      <c r="N173" s="837">
        <f>SUM(N126:N169)</f>
        <v>6513.2</v>
      </c>
      <c r="O173" s="175"/>
      <c r="P173" s="471"/>
      <c r="Q173" s="1085"/>
      <c r="R173" s="108"/>
      <c r="S173" s="108"/>
      <c r="T173" s="227"/>
    </row>
    <row r="174" spans="1:21" ht="14.25" customHeight="1" thickBot="1" x14ac:dyDescent="0.3">
      <c r="A174" s="52" t="s">
        <v>4</v>
      </c>
      <c r="B174" s="138" t="s">
        <v>6</v>
      </c>
      <c r="C174" s="1648" t="s">
        <v>7</v>
      </c>
      <c r="D174" s="1649"/>
      <c r="E174" s="1649"/>
      <c r="F174" s="1649"/>
      <c r="G174" s="81">
        <f>G173</f>
        <v>7104</v>
      </c>
      <c r="H174" s="81">
        <f>H173</f>
        <v>7104</v>
      </c>
      <c r="I174" s="81">
        <f>I173</f>
        <v>0</v>
      </c>
      <c r="J174" s="170">
        <f t="shared" ref="J174:N174" si="2">J173</f>
        <v>6166.4</v>
      </c>
      <c r="K174" s="43">
        <f t="shared" si="2"/>
        <v>6166.4</v>
      </c>
      <c r="L174" s="43">
        <f t="shared" si="2"/>
        <v>0</v>
      </c>
      <c r="M174" s="170">
        <f t="shared" si="2"/>
        <v>6513.2</v>
      </c>
      <c r="N174" s="43">
        <f t="shared" si="2"/>
        <v>6513.2</v>
      </c>
      <c r="O174" s="357"/>
      <c r="P174" s="1677"/>
      <c r="Q174" s="1677"/>
      <c r="R174" s="1677"/>
      <c r="S174" s="1677"/>
      <c r="T174" s="1678"/>
    </row>
    <row r="175" spans="1:21" ht="18" customHeight="1" thickBot="1" x14ac:dyDescent="0.3">
      <c r="A175" s="42" t="s">
        <v>4</v>
      </c>
      <c r="B175" s="138" t="s">
        <v>26</v>
      </c>
      <c r="C175" s="1652" t="s">
        <v>84</v>
      </c>
      <c r="D175" s="1679"/>
      <c r="E175" s="1679"/>
      <c r="F175" s="1679"/>
      <c r="G175" s="1679"/>
      <c r="H175" s="1679"/>
      <c r="I175" s="1679"/>
      <c r="J175" s="1679"/>
      <c r="K175" s="1679"/>
      <c r="L175" s="1679"/>
      <c r="M175" s="1679"/>
      <c r="N175" s="1679"/>
      <c r="O175" s="1679"/>
      <c r="P175" s="1679"/>
      <c r="Q175" s="1679"/>
      <c r="R175" s="1679"/>
      <c r="S175" s="1679"/>
      <c r="T175" s="1680"/>
    </row>
    <row r="176" spans="1:21" ht="14.25" customHeight="1" x14ac:dyDescent="0.25">
      <c r="A176" s="750" t="s">
        <v>4</v>
      </c>
      <c r="B176" s="137" t="s">
        <v>26</v>
      </c>
      <c r="C176" s="353" t="s">
        <v>4</v>
      </c>
      <c r="D176" s="1658" t="s">
        <v>81</v>
      </c>
      <c r="E176" s="761" t="s">
        <v>152</v>
      </c>
      <c r="F176" s="107" t="s">
        <v>23</v>
      </c>
      <c r="G176" s="121">
        <f>332.3-10</f>
        <v>322.3</v>
      </c>
      <c r="H176" s="104">
        <f>332.3-10</f>
        <v>322.3</v>
      </c>
      <c r="I176" s="264"/>
      <c r="J176" s="121">
        <v>305.8</v>
      </c>
      <c r="K176" s="104">
        <v>305.8</v>
      </c>
      <c r="L176" s="264"/>
      <c r="M176" s="121">
        <v>305.8</v>
      </c>
      <c r="N176" s="104">
        <v>305.8</v>
      </c>
      <c r="O176" s="174"/>
      <c r="P176" s="258"/>
      <c r="Q176" s="1093"/>
      <c r="R176" s="125"/>
      <c r="S176" s="125"/>
      <c r="T176" s="126"/>
    </row>
    <row r="177" spans="1:21" ht="14.25" customHeight="1" x14ac:dyDescent="0.25">
      <c r="A177" s="1148"/>
      <c r="B177" s="1153"/>
      <c r="C177" s="1150"/>
      <c r="D177" s="1659"/>
      <c r="E177" s="761"/>
      <c r="F177" s="36" t="s">
        <v>76</v>
      </c>
      <c r="G177" s="45">
        <v>466.7</v>
      </c>
      <c r="H177" s="127">
        <v>466.7</v>
      </c>
      <c r="I177" s="56"/>
      <c r="J177" s="45">
        <v>370</v>
      </c>
      <c r="K177" s="127">
        <v>370</v>
      </c>
      <c r="L177" s="56"/>
      <c r="M177" s="45">
        <v>200</v>
      </c>
      <c r="N177" s="127">
        <v>200</v>
      </c>
      <c r="O177" s="35"/>
      <c r="P177" s="763"/>
      <c r="Q177" s="1172"/>
      <c r="R177" s="23"/>
      <c r="S177" s="23"/>
      <c r="T177" s="24"/>
    </row>
    <row r="178" spans="1:21" ht="14.25" customHeight="1" x14ac:dyDescent="0.25">
      <c r="A178" s="1148"/>
      <c r="B178" s="1153"/>
      <c r="C178" s="1150"/>
      <c r="D178" s="177"/>
      <c r="E178" s="761"/>
      <c r="F178" s="36" t="s">
        <v>61</v>
      </c>
      <c r="G178" s="45">
        <v>817.1</v>
      </c>
      <c r="H178" s="127">
        <v>817.1</v>
      </c>
      <c r="I178" s="56"/>
      <c r="J178" s="45">
        <v>846</v>
      </c>
      <c r="K178" s="127">
        <v>846</v>
      </c>
      <c r="L178" s="56"/>
      <c r="M178" s="45">
        <v>861.6</v>
      </c>
      <c r="N178" s="127">
        <v>861.6</v>
      </c>
      <c r="O178" s="35"/>
      <c r="P178" s="763"/>
      <c r="Q178" s="1172"/>
      <c r="R178" s="23"/>
      <c r="S178" s="23"/>
      <c r="T178" s="24"/>
    </row>
    <row r="179" spans="1:21" ht="14.25" customHeight="1" x14ac:dyDescent="0.25">
      <c r="A179" s="1148"/>
      <c r="B179" s="1153"/>
      <c r="C179" s="1150"/>
      <c r="D179" s="177"/>
      <c r="E179" s="761"/>
      <c r="F179" s="1176" t="s">
        <v>63</v>
      </c>
      <c r="G179" s="1205">
        <v>31.3</v>
      </c>
      <c r="H179" s="1199">
        <v>31.3</v>
      </c>
      <c r="I179" s="89"/>
      <c r="J179" s="1205">
        <v>31.3</v>
      </c>
      <c r="K179" s="1199">
        <v>31.3</v>
      </c>
      <c r="L179" s="89"/>
      <c r="M179" s="1205">
        <v>31.3</v>
      </c>
      <c r="N179" s="1199">
        <v>31.3</v>
      </c>
      <c r="O179" s="102"/>
      <c r="P179" s="1193"/>
      <c r="Q179" s="1173"/>
      <c r="R179" s="25"/>
      <c r="S179" s="25"/>
      <c r="T179" s="26"/>
    </row>
    <row r="180" spans="1:21" ht="15" customHeight="1" x14ac:dyDescent="0.25">
      <c r="A180" s="1148"/>
      <c r="B180" s="1153"/>
      <c r="C180" s="1150"/>
      <c r="D180" s="1589" t="s">
        <v>79</v>
      </c>
      <c r="E180" s="1599" t="s">
        <v>64</v>
      </c>
      <c r="F180" s="36"/>
      <c r="G180" s="45"/>
      <c r="H180" s="127"/>
      <c r="I180" s="35"/>
      <c r="J180" s="45"/>
      <c r="K180" s="127"/>
      <c r="L180" s="35"/>
      <c r="M180" s="45"/>
      <c r="N180" s="127"/>
      <c r="O180" s="35"/>
      <c r="P180" s="1200" t="s">
        <v>85</v>
      </c>
      <c r="Q180" s="1172">
        <v>14.5</v>
      </c>
      <c r="R180" s="23">
        <v>14.5</v>
      </c>
      <c r="S180" s="23">
        <v>14.5</v>
      </c>
      <c r="T180" s="24"/>
    </row>
    <row r="181" spans="1:21" ht="12.75" customHeight="1" x14ac:dyDescent="0.25">
      <c r="A181" s="1148"/>
      <c r="B181" s="1153"/>
      <c r="C181" s="1150"/>
      <c r="D181" s="1596"/>
      <c r="E181" s="1600"/>
      <c r="F181" s="36"/>
      <c r="G181" s="45"/>
      <c r="H181" s="127"/>
      <c r="I181" s="35"/>
      <c r="J181" s="45"/>
      <c r="K181" s="127"/>
      <c r="L181" s="35"/>
      <c r="M181" s="45"/>
      <c r="N181" s="127"/>
      <c r="O181" s="35"/>
      <c r="P181" s="1200" t="s">
        <v>35</v>
      </c>
      <c r="Q181" s="1172">
        <v>71</v>
      </c>
      <c r="R181" s="1188">
        <v>74</v>
      </c>
      <c r="S181" s="1188">
        <v>81</v>
      </c>
      <c r="T181" s="1185"/>
    </row>
    <row r="182" spans="1:21" ht="4.5" customHeight="1" x14ac:dyDescent="0.25">
      <c r="A182" s="1148"/>
      <c r="B182" s="1153"/>
      <c r="C182" s="1150"/>
      <c r="D182" s="1596"/>
      <c r="E182" s="1600"/>
      <c r="F182" s="36"/>
      <c r="G182" s="45"/>
      <c r="H182" s="127"/>
      <c r="I182" s="35"/>
      <c r="J182" s="45"/>
      <c r="K182" s="127"/>
      <c r="L182" s="35"/>
      <c r="M182" s="45"/>
      <c r="N182" s="127"/>
      <c r="O182" s="35"/>
      <c r="P182" s="1200"/>
      <c r="Q182" s="1172"/>
      <c r="R182" s="23"/>
      <c r="S182" s="23"/>
      <c r="T182" s="24"/>
    </row>
    <row r="183" spans="1:21" ht="26.25" customHeight="1" x14ac:dyDescent="0.25">
      <c r="A183" s="1148"/>
      <c r="B183" s="1153"/>
      <c r="C183" s="1150"/>
      <c r="D183" s="1596"/>
      <c r="E183" s="1681"/>
      <c r="F183" s="36"/>
      <c r="G183" s="45"/>
      <c r="H183" s="127"/>
      <c r="I183" s="35"/>
      <c r="J183" s="45"/>
      <c r="K183" s="127"/>
      <c r="L183" s="35"/>
      <c r="M183" s="45"/>
      <c r="N183" s="127"/>
      <c r="O183" s="35"/>
      <c r="P183" s="792" t="s">
        <v>267</v>
      </c>
      <c r="Q183" s="474">
        <v>7</v>
      </c>
      <c r="R183" s="96"/>
      <c r="S183" s="96"/>
      <c r="T183" s="18"/>
    </row>
    <row r="184" spans="1:21" ht="16.5" customHeight="1" x14ac:dyDescent="0.25">
      <c r="A184" s="1148"/>
      <c r="B184" s="1153"/>
      <c r="C184" s="1150"/>
      <c r="D184" s="1596"/>
      <c r="E184" s="1861"/>
      <c r="F184" s="36"/>
      <c r="G184" s="45"/>
      <c r="H184" s="127"/>
      <c r="I184" s="35"/>
      <c r="J184" s="45"/>
      <c r="K184" s="127"/>
      <c r="L184" s="35"/>
      <c r="M184" s="45"/>
      <c r="N184" s="127"/>
      <c r="O184" s="35"/>
      <c r="P184" s="793" t="s">
        <v>181</v>
      </c>
      <c r="Q184" s="474">
        <v>60</v>
      </c>
      <c r="R184" s="96">
        <v>60</v>
      </c>
      <c r="S184" s="96">
        <v>60</v>
      </c>
      <c r="T184" s="277"/>
    </row>
    <row r="185" spans="1:21" ht="26.25" customHeight="1" x14ac:dyDescent="0.25">
      <c r="A185" s="1148"/>
      <c r="B185" s="1153"/>
      <c r="C185" s="1150"/>
      <c r="D185" s="1596"/>
      <c r="E185" s="1181"/>
      <c r="F185" s="36"/>
      <c r="G185" s="45"/>
      <c r="H185" s="127"/>
      <c r="I185" s="35"/>
      <c r="J185" s="45"/>
      <c r="K185" s="127"/>
      <c r="L185" s="35"/>
      <c r="M185" s="45"/>
      <c r="N185" s="127"/>
      <c r="O185" s="35"/>
      <c r="P185" s="792" t="s">
        <v>188</v>
      </c>
      <c r="Q185" s="111">
        <v>100</v>
      </c>
      <c r="R185" s="313"/>
      <c r="S185" s="313"/>
      <c r="T185" s="442"/>
      <c r="U185" s="399"/>
    </row>
    <row r="186" spans="1:21" ht="16.5" customHeight="1" x14ac:dyDescent="0.25">
      <c r="A186" s="1148"/>
      <c r="B186" s="1153"/>
      <c r="C186" s="1150"/>
      <c r="D186" s="1596"/>
      <c r="E186" s="1181"/>
      <c r="F186" s="36"/>
      <c r="G186" s="45"/>
      <c r="H186" s="127"/>
      <c r="I186" s="35"/>
      <c r="J186" s="45"/>
      <c r="K186" s="127"/>
      <c r="L186" s="35"/>
      <c r="M186" s="45"/>
      <c r="N186" s="127"/>
      <c r="O186" s="35"/>
      <c r="P186" s="792" t="s">
        <v>218</v>
      </c>
      <c r="Q186" s="111">
        <v>6</v>
      </c>
      <c r="R186" s="313"/>
      <c r="S186" s="313"/>
      <c r="T186" s="442"/>
      <c r="U186" s="399"/>
    </row>
    <row r="187" spans="1:21" ht="13.5" customHeight="1" x14ac:dyDescent="0.25">
      <c r="A187" s="1148"/>
      <c r="B187" s="1153"/>
      <c r="C187" s="1150"/>
      <c r="D187" s="1596"/>
      <c r="E187" s="1181"/>
      <c r="F187" s="1176"/>
      <c r="G187" s="1205"/>
      <c r="H187" s="1199"/>
      <c r="I187" s="102"/>
      <c r="J187" s="1205"/>
      <c r="K187" s="1199"/>
      <c r="L187" s="102"/>
      <c r="M187" s="389"/>
      <c r="N187" s="388"/>
      <c r="O187" s="770"/>
      <c r="P187" s="794" t="s">
        <v>219</v>
      </c>
      <c r="Q187" s="1094">
        <v>3</v>
      </c>
      <c r="R187" s="626"/>
      <c r="S187" s="626"/>
      <c r="T187" s="1321"/>
      <c r="U187" s="399"/>
    </row>
    <row r="188" spans="1:21" ht="15" customHeight="1" x14ac:dyDescent="0.25">
      <c r="A188" s="1148"/>
      <c r="B188" s="1153"/>
      <c r="C188" s="1150"/>
      <c r="D188" s="1151" t="s">
        <v>57</v>
      </c>
      <c r="E188" s="158"/>
      <c r="F188" s="36"/>
      <c r="G188" s="45"/>
      <c r="H188" s="127"/>
      <c r="I188" s="35"/>
      <c r="J188" s="45"/>
      <c r="K188" s="127"/>
      <c r="L188" s="35"/>
      <c r="M188" s="45"/>
      <c r="N188" s="127"/>
      <c r="O188" s="35"/>
      <c r="P188" s="1200" t="s">
        <v>68</v>
      </c>
      <c r="Q188" s="1203">
        <v>1</v>
      </c>
      <c r="R188" s="1188">
        <v>1</v>
      </c>
      <c r="S188" s="1188">
        <v>1</v>
      </c>
      <c r="T188" s="1185"/>
      <c r="U188" s="399"/>
    </row>
    <row r="189" spans="1:21" ht="16.5" customHeight="1" x14ac:dyDescent="0.25">
      <c r="A189" s="1148"/>
      <c r="B189" s="1153"/>
      <c r="C189" s="1150"/>
      <c r="D189" s="1152"/>
      <c r="E189" s="80"/>
      <c r="F189" s="1176"/>
      <c r="G189" s="1205"/>
      <c r="H189" s="1199"/>
      <c r="I189" s="89"/>
      <c r="J189" s="1205"/>
      <c r="K189" s="1199"/>
      <c r="L189" s="89"/>
      <c r="M189" s="1205"/>
      <c r="N189" s="1199"/>
      <c r="O189" s="102"/>
      <c r="P189" s="794"/>
      <c r="Q189" s="1213"/>
      <c r="R189" s="29"/>
      <c r="S189" s="29"/>
      <c r="T189" s="16"/>
    </row>
    <row r="190" spans="1:21" ht="13.5" customHeight="1" x14ac:dyDescent="0.25">
      <c r="A190" s="1148"/>
      <c r="B190" s="1153"/>
      <c r="C190" s="1150"/>
      <c r="D190" s="1617" t="s">
        <v>87</v>
      </c>
      <c r="E190" s="291"/>
      <c r="F190" s="1175"/>
      <c r="G190" s="1204"/>
      <c r="H190" s="1198"/>
      <c r="I190" s="67"/>
      <c r="J190" s="1204"/>
      <c r="K190" s="1198"/>
      <c r="L190" s="67"/>
      <c r="M190" s="1204"/>
      <c r="N190" s="1198"/>
      <c r="O190" s="113"/>
      <c r="P190" s="1800" t="s">
        <v>141</v>
      </c>
      <c r="Q190" s="1802">
        <v>14</v>
      </c>
      <c r="R190" s="1699">
        <v>14</v>
      </c>
      <c r="S190" s="1699">
        <v>14</v>
      </c>
      <c r="T190" s="1692"/>
    </row>
    <row r="191" spans="1:21" ht="10.5" customHeight="1" x14ac:dyDescent="0.25">
      <c r="A191" s="1148"/>
      <c r="B191" s="1153"/>
      <c r="C191" s="1150"/>
      <c r="D191" s="1695"/>
      <c r="E191" s="241"/>
      <c r="F191" s="36"/>
      <c r="G191" s="45"/>
      <c r="H191" s="127"/>
      <c r="I191" s="35"/>
      <c r="J191" s="45"/>
      <c r="K191" s="127"/>
      <c r="L191" s="35"/>
      <c r="M191" s="45"/>
      <c r="N191" s="127"/>
      <c r="O191" s="35"/>
      <c r="P191" s="1801"/>
      <c r="Q191" s="1803"/>
      <c r="R191" s="1700"/>
      <c r="S191" s="1700"/>
      <c r="T191" s="1692"/>
    </row>
    <row r="192" spans="1:21" ht="13.5" customHeight="1" x14ac:dyDescent="0.25">
      <c r="A192" s="1148"/>
      <c r="B192" s="1153"/>
      <c r="C192" s="1150"/>
      <c r="D192" s="1618"/>
      <c r="E192" s="242"/>
      <c r="F192" s="1176"/>
      <c r="G192" s="1205"/>
      <c r="H192" s="1199"/>
      <c r="I192" s="89"/>
      <c r="J192" s="1205"/>
      <c r="K192" s="1199"/>
      <c r="L192" s="89"/>
      <c r="M192" s="1205"/>
      <c r="N192" s="1199"/>
      <c r="O192" s="102"/>
      <c r="P192" s="794"/>
      <c r="Q192" s="1213"/>
      <c r="R192" s="29"/>
      <c r="S192" s="29"/>
      <c r="T192" s="1185"/>
    </row>
    <row r="193" spans="1:20" ht="18.75" customHeight="1" x14ac:dyDescent="0.25">
      <c r="A193" s="1154"/>
      <c r="B193" s="1153"/>
      <c r="C193" s="123"/>
      <c r="D193" s="1633" t="s">
        <v>107</v>
      </c>
      <c r="E193" s="1209" t="s">
        <v>44</v>
      </c>
      <c r="F193" s="36"/>
      <c r="G193" s="45"/>
      <c r="H193" s="127"/>
      <c r="I193" s="56"/>
      <c r="J193" s="45"/>
      <c r="K193" s="127"/>
      <c r="L193" s="56"/>
      <c r="M193" s="45"/>
      <c r="N193" s="127"/>
      <c r="O193" s="35"/>
      <c r="P193" s="1801" t="s">
        <v>96</v>
      </c>
      <c r="Q193" s="1095">
        <v>15</v>
      </c>
      <c r="R193" s="112">
        <v>15</v>
      </c>
      <c r="S193" s="112">
        <v>15</v>
      </c>
      <c r="T193" s="210"/>
    </row>
    <row r="194" spans="1:20" ht="13.5" customHeight="1" x14ac:dyDescent="0.25">
      <c r="A194" s="1154"/>
      <c r="B194" s="1153"/>
      <c r="C194" s="55"/>
      <c r="D194" s="1688"/>
      <c r="E194" s="62"/>
      <c r="F194" s="1176"/>
      <c r="G194" s="1205"/>
      <c r="H194" s="1199"/>
      <c r="I194" s="66"/>
      <c r="J194" s="1205"/>
      <c r="K194" s="1199"/>
      <c r="L194" s="66"/>
      <c r="M194" s="1205"/>
      <c r="N194" s="1199"/>
      <c r="O194" s="102"/>
      <c r="P194" s="1830"/>
      <c r="Q194" s="1096"/>
      <c r="R194" s="435"/>
      <c r="S194" s="435"/>
      <c r="T194" s="290"/>
    </row>
    <row r="195" spans="1:20" ht="13.5" customHeight="1" x14ac:dyDescent="0.25">
      <c r="A195" s="1148"/>
      <c r="B195" s="1153"/>
      <c r="C195" s="1150"/>
      <c r="D195" s="1574" t="s">
        <v>80</v>
      </c>
      <c r="E195" s="1169"/>
      <c r="F195" s="1175"/>
      <c r="G195" s="1204"/>
      <c r="H195" s="1198"/>
      <c r="I195" s="68"/>
      <c r="J195" s="1204"/>
      <c r="K195" s="1198"/>
      <c r="L195" s="68"/>
      <c r="M195" s="1204"/>
      <c r="N195" s="1198"/>
      <c r="O195" s="113"/>
      <c r="P195" s="1201" t="s">
        <v>99</v>
      </c>
      <c r="Q195" s="1010">
        <v>172</v>
      </c>
      <c r="R195" s="354">
        <v>172</v>
      </c>
      <c r="S195" s="354">
        <v>172</v>
      </c>
      <c r="T195" s="160"/>
    </row>
    <row r="196" spans="1:20" ht="12" customHeight="1" x14ac:dyDescent="0.25">
      <c r="A196" s="1154"/>
      <c r="B196" s="1153"/>
      <c r="C196" s="585"/>
      <c r="D196" s="1804"/>
      <c r="E196" s="1178"/>
      <c r="F196" s="1176"/>
      <c r="G196" s="1205"/>
      <c r="H196" s="1199"/>
      <c r="I196" s="89"/>
      <c r="J196" s="1205"/>
      <c r="K196" s="1199"/>
      <c r="L196" s="89"/>
      <c r="M196" s="1205"/>
      <c r="N196" s="1199"/>
      <c r="O196" s="102"/>
      <c r="P196" s="794"/>
      <c r="Q196" s="1012"/>
      <c r="R196" s="95"/>
      <c r="S196" s="95"/>
      <c r="T196" s="19"/>
    </row>
    <row r="197" spans="1:20" ht="21.75" customHeight="1" x14ac:dyDescent="0.25">
      <c r="A197" s="1154"/>
      <c r="B197" s="1153"/>
      <c r="C197" s="123"/>
      <c r="D197" s="1633" t="s">
        <v>346</v>
      </c>
      <c r="E197" s="1170"/>
      <c r="F197" s="36"/>
      <c r="G197" s="45"/>
      <c r="H197" s="127"/>
      <c r="I197" s="56"/>
      <c r="J197" s="45"/>
      <c r="K197" s="127"/>
      <c r="L197" s="56"/>
      <c r="M197" s="45"/>
      <c r="N197" s="127"/>
      <c r="O197" s="35"/>
      <c r="P197" s="1675" t="s">
        <v>326</v>
      </c>
      <c r="Q197" s="1095">
        <v>30</v>
      </c>
      <c r="R197" s="112"/>
      <c r="S197" s="112"/>
      <c r="T197" s="117"/>
    </row>
    <row r="198" spans="1:20" ht="12.75" customHeight="1" x14ac:dyDescent="0.25">
      <c r="A198" s="1154"/>
      <c r="B198" s="1153"/>
      <c r="C198" s="55"/>
      <c r="D198" s="1688"/>
      <c r="E198" s="296"/>
      <c r="F198" s="1176"/>
      <c r="G198" s="1205"/>
      <c r="H198" s="1199"/>
      <c r="I198" s="66"/>
      <c r="J198" s="1205"/>
      <c r="K198" s="1199"/>
      <c r="L198" s="66"/>
      <c r="M198" s="1205"/>
      <c r="N198" s="1199"/>
      <c r="O198" s="102"/>
      <c r="P198" s="1667"/>
      <c r="Q198" s="1097"/>
      <c r="R198" s="435"/>
      <c r="S198" s="435"/>
      <c r="T198" s="117"/>
    </row>
    <row r="199" spans="1:20" ht="24.75" customHeight="1" x14ac:dyDescent="0.25">
      <c r="A199" s="1154"/>
      <c r="B199" s="1153"/>
      <c r="C199" s="123"/>
      <c r="D199" s="1633" t="s">
        <v>289</v>
      </c>
      <c r="E199" s="1209"/>
      <c r="F199" s="36"/>
      <c r="G199" s="45"/>
      <c r="H199" s="127"/>
      <c r="I199" s="56"/>
      <c r="J199" s="45"/>
      <c r="K199" s="127"/>
      <c r="L199" s="56"/>
      <c r="M199" s="45"/>
      <c r="N199" s="127"/>
      <c r="O199" s="35"/>
      <c r="P199" s="1214" t="s">
        <v>220</v>
      </c>
      <c r="Q199" s="1095"/>
      <c r="R199" s="112">
        <v>10</v>
      </c>
      <c r="S199" s="112">
        <v>10</v>
      </c>
      <c r="T199" s="210"/>
    </row>
    <row r="200" spans="1:20" ht="12.75" customHeight="1" x14ac:dyDescent="0.25">
      <c r="A200" s="1154"/>
      <c r="B200" s="1153"/>
      <c r="C200" s="55"/>
      <c r="D200" s="1688"/>
      <c r="E200" s="62"/>
      <c r="F200" s="1176"/>
      <c r="G200" s="1205"/>
      <c r="H200" s="1199"/>
      <c r="I200" s="66"/>
      <c r="J200" s="1205"/>
      <c r="K200" s="1199"/>
      <c r="L200" s="66"/>
      <c r="M200" s="1205"/>
      <c r="N200" s="1199"/>
      <c r="O200" s="102"/>
      <c r="P200" s="795"/>
      <c r="Q200" s="1097"/>
      <c r="R200" s="435"/>
      <c r="S200" s="435"/>
      <c r="T200" s="117"/>
    </row>
    <row r="201" spans="1:20" ht="14.25" customHeight="1" x14ac:dyDescent="0.25">
      <c r="A201" s="1586"/>
      <c r="B201" s="1587"/>
      <c r="C201" s="1687"/>
      <c r="D201" s="1664" t="s">
        <v>183</v>
      </c>
      <c r="E201" s="1689" t="s">
        <v>152</v>
      </c>
      <c r="F201" s="33"/>
      <c r="G201" s="127"/>
      <c r="H201" s="127"/>
      <c r="I201" s="1112"/>
      <c r="J201" s="45"/>
      <c r="K201" s="127"/>
      <c r="L201" s="56"/>
      <c r="M201" s="45"/>
      <c r="N201" s="127"/>
      <c r="O201" s="35"/>
      <c r="P201" s="1214" t="s">
        <v>60</v>
      </c>
      <c r="Q201" s="1098">
        <v>18</v>
      </c>
      <c r="R201" s="287">
        <v>18</v>
      </c>
      <c r="S201" s="287">
        <v>18</v>
      </c>
      <c r="T201" s="1775"/>
    </row>
    <row r="202" spans="1:20" ht="39.75" customHeight="1" x14ac:dyDescent="0.25">
      <c r="A202" s="1586"/>
      <c r="B202" s="1587"/>
      <c r="C202" s="1687"/>
      <c r="D202" s="1688"/>
      <c r="E202" s="1690"/>
      <c r="F202" s="40"/>
      <c r="G202" s="86"/>
      <c r="H202" s="94"/>
      <c r="I202" s="70"/>
      <c r="J202" s="86"/>
      <c r="K202" s="94"/>
      <c r="L202" s="190"/>
      <c r="M202" s="86"/>
      <c r="N202" s="94"/>
      <c r="O202" s="190"/>
      <c r="P202" s="795" t="s">
        <v>69</v>
      </c>
      <c r="Q202" s="219">
        <v>7</v>
      </c>
      <c r="R202" s="29">
        <v>7</v>
      </c>
      <c r="S202" s="29">
        <v>7</v>
      </c>
      <c r="T202" s="1776"/>
    </row>
    <row r="203" spans="1:20" ht="15" customHeight="1" thickBot="1" x14ac:dyDescent="0.3">
      <c r="A203" s="610"/>
      <c r="B203" s="611"/>
      <c r="C203" s="609"/>
      <c r="D203" s="469"/>
      <c r="E203" s="470"/>
      <c r="F203" s="51" t="s">
        <v>5</v>
      </c>
      <c r="G203" s="139">
        <f>SUM(G176:G202)</f>
        <v>1637.4</v>
      </c>
      <c r="H203" s="105">
        <f>SUM(H176:H202)</f>
        <v>1637.4</v>
      </c>
      <c r="I203" s="1326">
        <f>SUM(I176:I202)</f>
        <v>0</v>
      </c>
      <c r="J203" s="139">
        <f t="shared" ref="J203:N203" si="3">SUM(J176:J202)</f>
        <v>1553.1</v>
      </c>
      <c r="K203" s="105">
        <f t="shared" si="3"/>
        <v>1553.1</v>
      </c>
      <c r="L203" s="120"/>
      <c r="M203" s="103">
        <f t="shared" si="3"/>
        <v>1398.7</v>
      </c>
      <c r="N203" s="105">
        <f t="shared" si="3"/>
        <v>1398.7</v>
      </c>
      <c r="O203" s="175"/>
      <c r="P203" s="471"/>
      <c r="Q203" s="1085"/>
      <c r="R203" s="108"/>
      <c r="S203" s="108"/>
      <c r="T203" s="227"/>
    </row>
    <row r="204" spans="1:20" ht="16.5" customHeight="1" x14ac:dyDescent="0.25">
      <c r="A204" s="748" t="s">
        <v>4</v>
      </c>
      <c r="B204" s="749" t="s">
        <v>26</v>
      </c>
      <c r="C204" s="747" t="s">
        <v>6</v>
      </c>
      <c r="D204" s="1707" t="s">
        <v>261</v>
      </c>
      <c r="E204" s="1709"/>
      <c r="F204" s="107" t="s">
        <v>23</v>
      </c>
      <c r="G204" s="121">
        <f>8.1-4.3+2.1+3.6</f>
        <v>9.5</v>
      </c>
      <c r="H204" s="104">
        <f>8.1-4.3+2.1+3.6</f>
        <v>9.5</v>
      </c>
      <c r="I204" s="122"/>
      <c r="J204" s="121">
        <f>577.5+4.4+3.6</f>
        <v>585.5</v>
      </c>
      <c r="K204" s="104">
        <f>577.5+4.4+3.6</f>
        <v>585.5</v>
      </c>
      <c r="L204" s="174"/>
      <c r="M204" s="121">
        <f>1478.9+1.4+3.6</f>
        <v>1483.9</v>
      </c>
      <c r="N204" s="104">
        <f>1478.9+1.4+3.6</f>
        <v>1483.9</v>
      </c>
      <c r="O204" s="174"/>
      <c r="P204" s="240"/>
      <c r="Q204" s="1099"/>
      <c r="R204" s="125"/>
      <c r="S204" s="125"/>
      <c r="T204" s="126"/>
    </row>
    <row r="205" spans="1:20" ht="16.5" customHeight="1" x14ac:dyDescent="0.25">
      <c r="A205" s="1191"/>
      <c r="B205" s="1192"/>
      <c r="C205" s="1183"/>
      <c r="D205" s="1708"/>
      <c r="E205" s="1710"/>
      <c r="F205" s="36" t="s">
        <v>53</v>
      </c>
      <c r="G205" s="45">
        <v>233.3</v>
      </c>
      <c r="H205" s="127">
        <v>233.3</v>
      </c>
      <c r="I205" s="56"/>
      <c r="J205" s="45">
        <v>0</v>
      </c>
      <c r="K205" s="127">
        <v>0</v>
      </c>
      <c r="L205" s="35"/>
      <c r="M205" s="56">
        <v>0</v>
      </c>
      <c r="N205" s="127">
        <v>0</v>
      </c>
      <c r="O205" s="56"/>
      <c r="P205" s="712"/>
      <c r="Q205" s="904"/>
      <c r="R205" s="23"/>
      <c r="S205" s="23"/>
      <c r="T205" s="24"/>
    </row>
    <row r="206" spans="1:20" ht="16.5" customHeight="1" x14ac:dyDescent="0.25">
      <c r="A206" s="1191"/>
      <c r="B206" s="1192"/>
      <c r="C206" s="1183"/>
      <c r="D206" s="1708"/>
      <c r="E206" s="1710"/>
      <c r="F206" s="36" t="s">
        <v>61</v>
      </c>
      <c r="G206" s="45">
        <f>447.2+17.9</f>
        <v>465.1</v>
      </c>
      <c r="H206" s="127">
        <f>447.2+17.9</f>
        <v>465.1</v>
      </c>
      <c r="I206" s="56"/>
      <c r="J206" s="45">
        <f>22+17.9</f>
        <v>39.9</v>
      </c>
      <c r="K206" s="127">
        <f>22+17.9</f>
        <v>39.9</v>
      </c>
      <c r="L206" s="35"/>
      <c r="M206" s="56">
        <f>22+17.9</f>
        <v>39.9</v>
      </c>
      <c r="N206" s="127">
        <f>22+17.9</f>
        <v>39.9</v>
      </c>
      <c r="O206" s="56"/>
      <c r="P206" s="712"/>
      <c r="Q206" s="904"/>
      <c r="R206" s="23"/>
      <c r="S206" s="23"/>
      <c r="T206" s="24"/>
    </row>
    <row r="207" spans="1:20" ht="16.5" customHeight="1" x14ac:dyDescent="0.25">
      <c r="A207" s="1191"/>
      <c r="B207" s="1192"/>
      <c r="C207" s="1183"/>
      <c r="D207" s="1708"/>
      <c r="E207" s="1710"/>
      <c r="F207" s="36" t="s">
        <v>63</v>
      </c>
      <c r="G207" s="45">
        <v>155.30000000000001</v>
      </c>
      <c r="H207" s="127">
        <v>155.30000000000001</v>
      </c>
      <c r="I207" s="56"/>
      <c r="J207" s="45"/>
      <c r="K207" s="127"/>
      <c r="L207" s="35"/>
      <c r="M207" s="56"/>
      <c r="N207" s="127"/>
      <c r="O207" s="56"/>
      <c r="P207" s="712"/>
      <c r="Q207" s="904"/>
      <c r="R207" s="23"/>
      <c r="S207" s="23"/>
      <c r="T207" s="24"/>
    </row>
    <row r="208" spans="1:20" ht="16.5" customHeight="1" x14ac:dyDescent="0.25">
      <c r="A208" s="1191"/>
      <c r="B208" s="1192"/>
      <c r="C208" s="1183"/>
      <c r="D208" s="1708"/>
      <c r="E208" s="1710"/>
      <c r="F208" s="36" t="s">
        <v>306</v>
      </c>
      <c r="G208" s="45">
        <v>4.3</v>
      </c>
      <c r="H208" s="127">
        <v>4.3</v>
      </c>
      <c r="I208" s="56"/>
      <c r="J208" s="45"/>
      <c r="K208" s="127"/>
      <c r="L208" s="35"/>
      <c r="M208" s="56"/>
      <c r="N208" s="127"/>
      <c r="O208" s="56"/>
      <c r="P208" s="712"/>
      <c r="Q208" s="904"/>
      <c r="R208" s="23"/>
      <c r="S208" s="23"/>
      <c r="T208" s="24"/>
    </row>
    <row r="209" spans="1:20" ht="16.5" customHeight="1" x14ac:dyDescent="0.25">
      <c r="A209" s="1191"/>
      <c r="B209" s="1192"/>
      <c r="C209" s="1183"/>
      <c r="D209" s="1708"/>
      <c r="E209" s="1710"/>
      <c r="F209" s="36" t="s">
        <v>41</v>
      </c>
      <c r="G209" s="45">
        <f>997+11.4</f>
        <v>1008.4</v>
      </c>
      <c r="H209" s="127">
        <f>997+11.4</f>
        <v>1008.4</v>
      </c>
      <c r="I209" s="56"/>
      <c r="J209" s="45">
        <f>67.3+24.9</f>
        <v>92.2</v>
      </c>
      <c r="K209" s="127">
        <f>67.3+24.9</f>
        <v>92.2</v>
      </c>
      <c r="L209" s="35"/>
      <c r="M209" s="56">
        <v>8.3000000000000007</v>
      </c>
      <c r="N209" s="127">
        <v>8.3000000000000007</v>
      </c>
      <c r="O209" s="56"/>
      <c r="P209" s="712"/>
      <c r="Q209" s="904"/>
      <c r="R209" s="23"/>
      <c r="S209" s="23"/>
      <c r="T209" s="24"/>
    </row>
    <row r="210" spans="1:20" ht="15" customHeight="1" x14ac:dyDescent="0.25">
      <c r="A210" s="1705"/>
      <c r="B210" s="1706"/>
      <c r="C210" s="1687"/>
      <c r="D210" s="1664" t="s">
        <v>361</v>
      </c>
      <c r="E210" s="59" t="s">
        <v>282</v>
      </c>
      <c r="F210" s="1175"/>
      <c r="G210" s="1204"/>
      <c r="H210" s="1198"/>
      <c r="I210" s="68"/>
      <c r="J210" s="1204"/>
      <c r="K210" s="1198"/>
      <c r="L210" s="113"/>
      <c r="M210" s="68"/>
      <c r="N210" s="1198"/>
      <c r="O210" s="68"/>
      <c r="P210" s="1701" t="s">
        <v>128</v>
      </c>
      <c r="Q210" s="1202">
        <v>1</v>
      </c>
      <c r="R210" s="1187"/>
      <c r="S210" s="1187"/>
      <c r="T210" s="1184"/>
    </row>
    <row r="211" spans="1:20" ht="14.25" customHeight="1" x14ac:dyDescent="0.25">
      <c r="A211" s="1705"/>
      <c r="B211" s="1706"/>
      <c r="C211" s="1687"/>
      <c r="D211" s="1633"/>
      <c r="E211" s="390" t="s">
        <v>152</v>
      </c>
      <c r="F211" s="36"/>
      <c r="G211" s="45"/>
      <c r="H211" s="127"/>
      <c r="I211" s="56"/>
      <c r="J211" s="45"/>
      <c r="K211" s="127"/>
      <c r="L211" s="35"/>
      <c r="M211" s="56"/>
      <c r="N211" s="127"/>
      <c r="O211" s="56"/>
      <c r="P211" s="1787"/>
      <c r="Q211" s="1100"/>
      <c r="R211" s="1188"/>
      <c r="S211" s="1188"/>
      <c r="T211" s="1185"/>
    </row>
    <row r="212" spans="1:20" ht="25.5" customHeight="1" x14ac:dyDescent="0.25">
      <c r="A212" s="1705"/>
      <c r="B212" s="1706"/>
      <c r="C212" s="1687"/>
      <c r="D212" s="1711"/>
      <c r="E212" s="1165" t="s">
        <v>294</v>
      </c>
      <c r="F212" s="1176"/>
      <c r="G212" s="1205"/>
      <c r="H212" s="1199"/>
      <c r="I212" s="89"/>
      <c r="J212" s="1205"/>
      <c r="K212" s="1199"/>
      <c r="L212" s="102"/>
      <c r="M212" s="89"/>
      <c r="N212" s="1199"/>
      <c r="O212" s="89"/>
      <c r="P212" s="14" t="s">
        <v>242</v>
      </c>
      <c r="Q212" s="1213">
        <v>100</v>
      </c>
      <c r="R212" s="29"/>
      <c r="S212" s="29"/>
      <c r="T212" s="16"/>
    </row>
    <row r="213" spans="1:20" ht="24.75" customHeight="1" x14ac:dyDescent="0.25">
      <c r="A213" s="1191"/>
      <c r="B213" s="1192"/>
      <c r="C213" s="1183"/>
      <c r="D213" s="1703" t="s">
        <v>275</v>
      </c>
      <c r="E213" s="629" t="s">
        <v>282</v>
      </c>
      <c r="F213" s="36"/>
      <c r="G213" s="45"/>
      <c r="H213" s="127"/>
      <c r="I213" s="56"/>
      <c r="J213" s="45"/>
      <c r="K213" s="127"/>
      <c r="L213" s="35"/>
      <c r="M213" s="56"/>
      <c r="N213" s="127"/>
      <c r="O213" s="56"/>
      <c r="P213" s="1208" t="s">
        <v>92</v>
      </c>
      <c r="Q213" s="904"/>
      <c r="R213" s="1188">
        <v>20</v>
      </c>
      <c r="S213" s="1188">
        <v>80</v>
      </c>
      <c r="T213" s="1185"/>
    </row>
    <row r="214" spans="1:20" ht="15" customHeight="1" x14ac:dyDescent="0.25">
      <c r="A214" s="1191"/>
      <c r="B214" s="1192"/>
      <c r="C214" s="1183"/>
      <c r="D214" s="1704"/>
      <c r="E214" s="630"/>
      <c r="F214" s="1176"/>
      <c r="G214" s="1205"/>
      <c r="H214" s="1199"/>
      <c r="I214" s="89"/>
      <c r="J214" s="1205"/>
      <c r="K214" s="1199"/>
      <c r="L214" s="102"/>
      <c r="M214" s="89"/>
      <c r="N214" s="1199"/>
      <c r="O214" s="89"/>
      <c r="P214" s="678"/>
      <c r="Q214" s="1173"/>
      <c r="R214" s="29"/>
      <c r="S214" s="29"/>
      <c r="T214" s="16"/>
    </row>
    <row r="215" spans="1:20" ht="24.75" customHeight="1" x14ac:dyDescent="0.25">
      <c r="A215" s="1705"/>
      <c r="B215" s="1706"/>
      <c r="C215" s="1687"/>
      <c r="D215" s="1575" t="s">
        <v>126</v>
      </c>
      <c r="E215" s="59" t="s">
        <v>283</v>
      </c>
      <c r="F215" s="36"/>
      <c r="G215" s="45"/>
      <c r="H215" s="127"/>
      <c r="I215" s="56"/>
      <c r="J215" s="45"/>
      <c r="K215" s="127"/>
      <c r="L215" s="35"/>
      <c r="M215" s="56"/>
      <c r="N215" s="127"/>
      <c r="O215" s="56"/>
      <c r="P215" s="1701" t="s">
        <v>127</v>
      </c>
      <c r="Q215" s="1101"/>
      <c r="R215" s="1188">
        <v>1</v>
      </c>
      <c r="S215" s="1188"/>
      <c r="T215" s="1185"/>
    </row>
    <row r="216" spans="1:20" ht="15" customHeight="1" x14ac:dyDescent="0.25">
      <c r="A216" s="1705"/>
      <c r="B216" s="1706"/>
      <c r="C216" s="1687"/>
      <c r="D216" s="1575"/>
      <c r="E216" s="631" t="s">
        <v>202</v>
      </c>
      <c r="F216" s="36"/>
      <c r="G216" s="45"/>
      <c r="H216" s="127"/>
      <c r="I216" s="56"/>
      <c r="J216" s="45"/>
      <c r="K216" s="127"/>
      <c r="L216" s="35"/>
      <c r="M216" s="56"/>
      <c r="N216" s="127"/>
      <c r="O216" s="56"/>
      <c r="P216" s="1787"/>
      <c r="Q216" s="1172"/>
      <c r="R216" s="1188"/>
      <c r="S216" s="1188"/>
      <c r="T216" s="1185"/>
    </row>
    <row r="217" spans="1:20" ht="16.5" customHeight="1" x14ac:dyDescent="0.25">
      <c r="A217" s="1705"/>
      <c r="B217" s="1706"/>
      <c r="C217" s="1687"/>
      <c r="D217" s="1603"/>
      <c r="E217" s="1210" t="s">
        <v>294</v>
      </c>
      <c r="F217" s="36"/>
      <c r="G217" s="45"/>
      <c r="H217" s="127"/>
      <c r="I217" s="56"/>
      <c r="J217" s="45"/>
      <c r="K217" s="127"/>
      <c r="L217" s="35"/>
      <c r="M217" s="74"/>
      <c r="N217" s="1199"/>
      <c r="O217" s="89"/>
      <c r="P217" s="14" t="s">
        <v>113</v>
      </c>
      <c r="Q217" s="1213">
        <v>1</v>
      </c>
      <c r="R217" s="29"/>
      <c r="S217" s="29"/>
      <c r="T217" s="16"/>
    </row>
    <row r="218" spans="1:20" ht="18" customHeight="1" x14ac:dyDescent="0.25">
      <c r="A218" s="1586"/>
      <c r="B218" s="1587"/>
      <c r="C218" s="1687"/>
      <c r="D218" s="1574" t="s">
        <v>197</v>
      </c>
      <c r="E218" s="1712" t="s">
        <v>298</v>
      </c>
      <c r="F218" s="1175"/>
      <c r="G218" s="1282"/>
      <c r="H218" s="1282"/>
      <c r="I218" s="201"/>
      <c r="J218" s="67"/>
      <c r="K218" s="1282"/>
      <c r="L218" s="113"/>
      <c r="M218" s="127"/>
      <c r="N218" s="127"/>
      <c r="O218" s="1112"/>
      <c r="P218" s="1297" t="s">
        <v>207</v>
      </c>
      <c r="Q218" s="1293" t="s">
        <v>49</v>
      </c>
      <c r="R218" s="1294"/>
      <c r="S218" s="1294" t="s">
        <v>49</v>
      </c>
      <c r="T218" s="1788"/>
    </row>
    <row r="219" spans="1:20" ht="18" customHeight="1" x14ac:dyDescent="0.25">
      <c r="A219" s="1586"/>
      <c r="B219" s="1587"/>
      <c r="C219" s="1687"/>
      <c r="D219" s="1575"/>
      <c r="E219" s="1713"/>
      <c r="F219" s="36"/>
      <c r="G219" s="127"/>
      <c r="H219" s="127"/>
      <c r="I219" s="56"/>
      <c r="J219" s="73"/>
      <c r="K219" s="127"/>
      <c r="L219" s="35"/>
      <c r="M219" s="127"/>
      <c r="N219" s="127"/>
      <c r="O219" s="1112"/>
      <c r="P219" s="1208"/>
      <c r="Q219" s="1294"/>
      <c r="R219" s="1294"/>
      <c r="S219" s="1294"/>
      <c r="T219" s="1789"/>
    </row>
    <row r="220" spans="1:20" ht="18" customHeight="1" x14ac:dyDescent="0.25">
      <c r="A220" s="1586"/>
      <c r="B220" s="1587"/>
      <c r="C220" s="1687"/>
      <c r="D220" s="1623"/>
      <c r="E220" s="1714"/>
      <c r="F220" s="1176"/>
      <c r="G220" s="1286"/>
      <c r="H220" s="1283"/>
      <c r="I220" s="89"/>
      <c r="J220" s="1286"/>
      <c r="K220" s="1283"/>
      <c r="L220" s="102"/>
      <c r="M220" s="89"/>
      <c r="N220" s="1283"/>
      <c r="O220" s="89"/>
      <c r="P220" s="14"/>
      <c r="Q220" s="1295"/>
      <c r="R220" s="1296"/>
      <c r="S220" s="1296"/>
      <c r="T220" s="1790"/>
    </row>
    <row r="221" spans="1:20" ht="14.25" customHeight="1" x14ac:dyDescent="0.25">
      <c r="A221" s="1586"/>
      <c r="B221" s="1587"/>
      <c r="C221" s="1687"/>
      <c r="D221" s="1574" t="s">
        <v>347</v>
      </c>
      <c r="E221" s="1712" t="s">
        <v>298</v>
      </c>
      <c r="F221" s="36"/>
      <c r="G221" s="1204"/>
      <c r="H221" s="1198"/>
      <c r="I221" s="68"/>
      <c r="J221" s="1204"/>
      <c r="K221" s="1198"/>
      <c r="L221" s="113"/>
      <c r="M221" s="68"/>
      <c r="N221" s="1198"/>
      <c r="O221" s="56"/>
      <c r="P221" s="1208" t="s">
        <v>200</v>
      </c>
      <c r="Q221" s="1194"/>
      <c r="R221" s="1212" t="s">
        <v>49</v>
      </c>
      <c r="S221" s="1212"/>
      <c r="T221" s="204"/>
    </row>
    <row r="222" spans="1:20" ht="13.5" customHeight="1" x14ac:dyDescent="0.25">
      <c r="A222" s="1586"/>
      <c r="B222" s="1587"/>
      <c r="C222" s="1687"/>
      <c r="D222" s="1575"/>
      <c r="E222" s="1713"/>
      <c r="F222" s="36"/>
      <c r="G222" s="45"/>
      <c r="H222" s="127"/>
      <c r="I222" s="56"/>
      <c r="J222" s="45"/>
      <c r="K222" s="127"/>
      <c r="L222" s="35"/>
      <c r="M222" s="56"/>
      <c r="N222" s="127"/>
      <c r="O222" s="56"/>
      <c r="P222" s="1208"/>
      <c r="Q222" s="1172"/>
      <c r="R222" s="1172"/>
      <c r="S222" s="1172"/>
      <c r="T222" s="171"/>
    </row>
    <row r="223" spans="1:20" ht="14.25" customHeight="1" x14ac:dyDescent="0.25">
      <c r="A223" s="1586"/>
      <c r="B223" s="1587"/>
      <c r="C223" s="1687"/>
      <c r="D223" s="1576"/>
      <c r="E223" s="1714"/>
      <c r="F223" s="1176"/>
      <c r="G223" s="1205"/>
      <c r="H223" s="1199"/>
      <c r="I223" s="89"/>
      <c r="J223" s="1205"/>
      <c r="K223" s="1199"/>
      <c r="L223" s="102"/>
      <c r="M223" s="89"/>
      <c r="N223" s="1199"/>
      <c r="O223" s="89"/>
      <c r="P223" s="14"/>
      <c r="Q223" s="1173"/>
      <c r="R223" s="29"/>
      <c r="S223" s="29"/>
      <c r="T223" s="16"/>
    </row>
    <row r="224" spans="1:20" ht="29.25" customHeight="1" x14ac:dyDescent="0.25">
      <c r="A224" s="1586"/>
      <c r="B224" s="1587"/>
      <c r="C224" s="1687"/>
      <c r="D224" s="1574" t="s">
        <v>139</v>
      </c>
      <c r="E224" s="1665" t="s">
        <v>299</v>
      </c>
      <c r="F224" s="1175"/>
      <c r="G224" s="1282"/>
      <c r="H224" s="1282"/>
      <c r="I224" s="68"/>
      <c r="J224" s="72"/>
      <c r="K224" s="1282"/>
      <c r="L224" s="113"/>
      <c r="M224" s="1282"/>
      <c r="N224" s="1282"/>
      <c r="O224" s="68"/>
      <c r="P224" s="490" t="s">
        <v>149</v>
      </c>
      <c r="Q224" s="491">
        <v>8</v>
      </c>
      <c r="R224" s="473">
        <v>8</v>
      </c>
      <c r="S224" s="259">
        <v>8</v>
      </c>
      <c r="T224" s="1777"/>
    </row>
    <row r="225" spans="1:20" ht="75" customHeight="1" x14ac:dyDescent="0.25">
      <c r="A225" s="1586"/>
      <c r="B225" s="1587"/>
      <c r="C225" s="1687"/>
      <c r="D225" s="1576"/>
      <c r="E225" s="1676"/>
      <c r="F225" s="1176"/>
      <c r="G225" s="1286"/>
      <c r="H225" s="1283"/>
      <c r="I225" s="89"/>
      <c r="J225" s="1286"/>
      <c r="K225" s="1283"/>
      <c r="L225" s="102"/>
      <c r="M225" s="89"/>
      <c r="N225" s="1283"/>
      <c r="O225" s="89"/>
      <c r="P225" s="14" t="s">
        <v>348</v>
      </c>
      <c r="Q225" s="1291" t="s">
        <v>40</v>
      </c>
      <c r="R225" s="15">
        <v>6</v>
      </c>
      <c r="S225" s="29">
        <v>6</v>
      </c>
      <c r="T225" s="1860"/>
    </row>
    <row r="226" spans="1:20" ht="14.25" customHeight="1" x14ac:dyDescent="0.25">
      <c r="A226" s="1586"/>
      <c r="B226" s="1587"/>
      <c r="C226" s="1687"/>
      <c r="D226" s="1574" t="s">
        <v>364</v>
      </c>
      <c r="E226" s="1730" t="s">
        <v>202</v>
      </c>
      <c r="F226" s="1175" t="s">
        <v>23</v>
      </c>
      <c r="G226" s="1282"/>
      <c r="H226" s="1282"/>
      <c r="I226" s="68"/>
      <c r="J226" s="72"/>
      <c r="K226" s="1282"/>
      <c r="L226" s="113"/>
      <c r="M226" s="1282"/>
      <c r="N226" s="1282"/>
      <c r="O226" s="68"/>
      <c r="P226" s="1581" t="s">
        <v>365</v>
      </c>
      <c r="Q226" s="1290">
        <v>3</v>
      </c>
      <c r="R226" s="1289">
        <v>3</v>
      </c>
      <c r="S226" s="1289">
        <v>3</v>
      </c>
      <c r="T226" s="1777"/>
    </row>
    <row r="227" spans="1:20" ht="54" customHeight="1" x14ac:dyDescent="0.25">
      <c r="A227" s="1586"/>
      <c r="B227" s="1587"/>
      <c r="C227" s="1687"/>
      <c r="D227" s="1576"/>
      <c r="E227" s="1601"/>
      <c r="F227" s="1176"/>
      <c r="G227" s="1286"/>
      <c r="H227" s="1283"/>
      <c r="I227" s="89"/>
      <c r="J227" s="1286"/>
      <c r="K227" s="1283"/>
      <c r="L227" s="102"/>
      <c r="M227" s="89"/>
      <c r="N227" s="1283"/>
      <c r="O227" s="89"/>
      <c r="P227" s="1619"/>
      <c r="Q227" s="1136"/>
      <c r="R227" s="15"/>
      <c r="S227" s="29"/>
      <c r="T227" s="1778"/>
    </row>
    <row r="228" spans="1:20" ht="18" customHeight="1" thickBot="1" x14ac:dyDescent="0.3">
      <c r="A228" s="610"/>
      <c r="B228" s="611"/>
      <c r="C228" s="609"/>
      <c r="D228" s="469"/>
      <c r="E228" s="470"/>
      <c r="F228" s="79" t="s">
        <v>5</v>
      </c>
      <c r="G228" s="139">
        <f>SUM(G204:G227)</f>
        <v>1875.9</v>
      </c>
      <c r="H228" s="105">
        <f t="shared" ref="H228:M228" si="4">SUM(H204:H227)</f>
        <v>1875.9</v>
      </c>
      <c r="I228" s="139">
        <f t="shared" si="4"/>
        <v>0</v>
      </c>
      <c r="J228" s="103">
        <f t="shared" si="4"/>
        <v>717.6</v>
      </c>
      <c r="K228" s="105">
        <f t="shared" si="4"/>
        <v>717.6</v>
      </c>
      <c r="L228" s="120">
        <f t="shared" si="4"/>
        <v>0</v>
      </c>
      <c r="M228" s="139">
        <f t="shared" si="4"/>
        <v>1532.1</v>
      </c>
      <c r="N228" s="105">
        <f>SUM(N204:N227)</f>
        <v>1532.1</v>
      </c>
      <c r="O228" s="139">
        <f>SUM(O204:O227)</f>
        <v>0</v>
      </c>
      <c r="P228" s="1142"/>
      <c r="Q228" s="1085"/>
      <c r="R228" s="108"/>
      <c r="S228" s="108"/>
      <c r="T228" s="227"/>
    </row>
    <row r="229" spans="1:20" ht="14.25" customHeight="1" thickBot="1" x14ac:dyDescent="0.3">
      <c r="A229" s="52" t="s">
        <v>4</v>
      </c>
      <c r="B229" s="43" t="s">
        <v>26</v>
      </c>
      <c r="C229" s="1649" t="s">
        <v>7</v>
      </c>
      <c r="D229" s="1649"/>
      <c r="E229" s="1649"/>
      <c r="F229" s="1718"/>
      <c r="G229" s="263">
        <f t="shared" ref="G229:O229" si="5">G228+G203</f>
        <v>3513.3</v>
      </c>
      <c r="H229" s="746">
        <f t="shared" si="5"/>
        <v>3513.3</v>
      </c>
      <c r="I229" s="1143">
        <f t="shared" si="5"/>
        <v>0</v>
      </c>
      <c r="J229" s="263">
        <f t="shared" si="5"/>
        <v>2270.6999999999998</v>
      </c>
      <c r="K229" s="746">
        <f t="shared" si="5"/>
        <v>2270.6999999999998</v>
      </c>
      <c r="L229" s="1144">
        <f t="shared" si="5"/>
        <v>0</v>
      </c>
      <c r="M229" s="614">
        <f t="shared" si="5"/>
        <v>2930.8</v>
      </c>
      <c r="N229" s="43">
        <f t="shared" si="5"/>
        <v>2930.8</v>
      </c>
      <c r="O229" s="614">
        <f t="shared" si="5"/>
        <v>0</v>
      </c>
      <c r="P229" s="1719"/>
      <c r="Q229" s="1677"/>
      <c r="R229" s="1677"/>
      <c r="S229" s="1677"/>
      <c r="T229" s="1678"/>
    </row>
    <row r="230" spans="1:20" ht="14.25" customHeight="1" thickBot="1" x14ac:dyDescent="0.3">
      <c r="A230" s="52" t="s">
        <v>4</v>
      </c>
      <c r="B230" s="1720" t="s">
        <v>8</v>
      </c>
      <c r="C230" s="1721"/>
      <c r="D230" s="1721"/>
      <c r="E230" s="1721"/>
      <c r="F230" s="1722"/>
      <c r="G230" s="39">
        <f t="shared" ref="G230:O230" si="6">G229+G174+G124</f>
        <v>33375.599999999999</v>
      </c>
      <c r="H230" s="796">
        <f t="shared" si="6"/>
        <v>33375.599999999999</v>
      </c>
      <c r="I230" s="1138">
        <f t="shared" si="6"/>
        <v>0</v>
      </c>
      <c r="J230" s="39">
        <f t="shared" si="6"/>
        <v>34018.199999999997</v>
      </c>
      <c r="K230" s="796">
        <f t="shared" si="6"/>
        <v>34018.199999999997</v>
      </c>
      <c r="L230" s="1145">
        <f t="shared" si="6"/>
        <v>0</v>
      </c>
      <c r="M230" s="1140">
        <f t="shared" si="6"/>
        <v>32756.3</v>
      </c>
      <c r="N230" s="796">
        <f t="shared" si="6"/>
        <v>32756.3</v>
      </c>
      <c r="O230" s="1138">
        <f t="shared" si="6"/>
        <v>0</v>
      </c>
      <c r="P230" s="1819"/>
      <c r="Q230" s="1723"/>
      <c r="R230" s="1723"/>
      <c r="S230" s="1723"/>
      <c r="T230" s="1724"/>
    </row>
    <row r="231" spans="1:20" ht="14.25" customHeight="1" thickBot="1" x14ac:dyDescent="0.3">
      <c r="A231" s="57" t="s">
        <v>32</v>
      </c>
      <c r="B231" s="1725" t="s">
        <v>51</v>
      </c>
      <c r="C231" s="1726"/>
      <c r="D231" s="1726"/>
      <c r="E231" s="1726"/>
      <c r="F231" s="1727"/>
      <c r="G231" s="265">
        <f>SUM(G230)</f>
        <v>33375.599999999999</v>
      </c>
      <c r="H231" s="266">
        <f>SUM(H230)</f>
        <v>33375.599999999999</v>
      </c>
      <c r="I231" s="1139">
        <f>SUM(I230)</f>
        <v>0</v>
      </c>
      <c r="J231" s="265">
        <f t="shared" ref="J231:O231" si="7">SUM(J230)</f>
        <v>34018.199999999997</v>
      </c>
      <c r="K231" s="266">
        <f t="shared" si="7"/>
        <v>34018.199999999997</v>
      </c>
      <c r="L231" s="819">
        <f t="shared" si="7"/>
        <v>0</v>
      </c>
      <c r="M231" s="1141">
        <f t="shared" si="7"/>
        <v>32756.3</v>
      </c>
      <c r="N231" s="266">
        <f t="shared" si="7"/>
        <v>32756.3</v>
      </c>
      <c r="O231" s="1139">
        <f t="shared" si="7"/>
        <v>0</v>
      </c>
      <c r="P231" s="1820"/>
      <c r="Q231" s="1728"/>
      <c r="R231" s="1728"/>
      <c r="S231" s="1728"/>
      <c r="T231" s="1729"/>
    </row>
    <row r="232" spans="1:20" ht="14.25" customHeight="1" x14ac:dyDescent="0.25">
      <c r="A232" s="1761"/>
      <c r="B232" s="1761"/>
      <c r="C232" s="1761"/>
      <c r="D232" s="1761"/>
      <c r="E232" s="1761"/>
      <c r="F232" s="1761"/>
      <c r="G232" s="1761"/>
      <c r="H232" s="1761"/>
      <c r="I232" s="1761"/>
      <c r="J232" s="1761"/>
      <c r="K232" s="764"/>
      <c r="L232" s="764"/>
      <c r="M232" s="378"/>
      <c r="N232" s="378"/>
      <c r="O232" s="378"/>
      <c r="P232" s="58"/>
      <c r="Q232" s="1098"/>
      <c r="R232" s="58"/>
      <c r="S232" s="58"/>
      <c r="T232" s="58"/>
    </row>
    <row r="233" spans="1:20" s="4" customFormat="1" ht="12" customHeight="1" x14ac:dyDescent="0.25">
      <c r="A233" s="300"/>
      <c r="B233" s="898"/>
      <c r="C233" s="898"/>
      <c r="D233" s="898"/>
      <c r="E233" s="899"/>
      <c r="F233" s="898"/>
      <c r="G233" s="898"/>
      <c r="H233" s="898"/>
      <c r="I233" s="898"/>
      <c r="J233" s="898"/>
      <c r="K233" s="898"/>
      <c r="L233" s="898"/>
      <c r="M233" s="898"/>
      <c r="N233" s="898"/>
      <c r="O233" s="898"/>
      <c r="P233" s="898"/>
      <c r="Q233" s="1103"/>
      <c r="R233" s="300"/>
      <c r="S233" s="300"/>
      <c r="T233" s="300"/>
    </row>
    <row r="234" spans="1:20" s="5" customFormat="1" ht="15" customHeight="1" thickBot="1" x14ac:dyDescent="0.3">
      <c r="A234" s="1762" t="s">
        <v>12</v>
      </c>
      <c r="B234" s="1762"/>
      <c r="C234" s="1762"/>
      <c r="D234" s="1762"/>
      <c r="E234" s="1762"/>
      <c r="F234" s="1762"/>
      <c r="G234" s="90"/>
      <c r="H234" s="90"/>
      <c r="I234" s="90"/>
      <c r="J234" s="90"/>
      <c r="K234" s="90"/>
      <c r="L234" s="90"/>
      <c r="M234" s="90"/>
      <c r="N234" s="90"/>
      <c r="O234" s="90"/>
      <c r="P234" s="58"/>
      <c r="Q234" s="1098"/>
      <c r="R234" s="58"/>
      <c r="S234" s="58"/>
      <c r="T234" s="58"/>
    </row>
    <row r="235" spans="1:20" ht="92.25" customHeight="1" thickBot="1" x14ac:dyDescent="0.3">
      <c r="A235" s="1763" t="s">
        <v>9</v>
      </c>
      <c r="B235" s="1764"/>
      <c r="C235" s="1764"/>
      <c r="D235" s="1764"/>
      <c r="E235" s="1764"/>
      <c r="F235" s="1765"/>
      <c r="G235" s="274" t="s">
        <v>212</v>
      </c>
      <c r="H235" s="797" t="s">
        <v>350</v>
      </c>
      <c r="I235" s="818" t="s">
        <v>144</v>
      </c>
      <c r="J235" s="900" t="s">
        <v>147</v>
      </c>
      <c r="K235" s="901" t="s">
        <v>352</v>
      </c>
      <c r="L235" s="902" t="s">
        <v>144</v>
      </c>
      <c r="M235" s="900" t="s">
        <v>213</v>
      </c>
      <c r="N235" s="901" t="s">
        <v>353</v>
      </c>
      <c r="O235" s="903" t="s">
        <v>144</v>
      </c>
      <c r="P235" s="10"/>
      <c r="R235" s="10"/>
      <c r="S235" s="10"/>
      <c r="T235" s="10"/>
    </row>
    <row r="236" spans="1:20" ht="14.25" customHeight="1" x14ac:dyDescent="0.25">
      <c r="A236" s="1766" t="s">
        <v>13</v>
      </c>
      <c r="B236" s="1767"/>
      <c r="C236" s="1767"/>
      <c r="D236" s="1767"/>
      <c r="E236" s="1767"/>
      <c r="F236" s="1768"/>
      <c r="G236" s="275">
        <f>G237+G242+G244+G245+G246+G247</f>
        <v>29720.1</v>
      </c>
      <c r="H236" s="368">
        <f t="shared" ref="H236:O236" si="8">H237+H245+H246+H247+H244</f>
        <v>29720.1</v>
      </c>
      <c r="I236" s="368">
        <f t="shared" si="8"/>
        <v>0</v>
      </c>
      <c r="J236" s="275">
        <f>J237+J245+J246+J247+J244</f>
        <v>26827.4</v>
      </c>
      <c r="K236" s="368">
        <f t="shared" si="8"/>
        <v>26827.4</v>
      </c>
      <c r="L236" s="368">
        <f t="shared" si="8"/>
        <v>0</v>
      </c>
      <c r="M236" s="275">
        <f t="shared" si="8"/>
        <v>19333.3</v>
      </c>
      <c r="N236" s="368">
        <f t="shared" si="8"/>
        <v>19333.3</v>
      </c>
      <c r="O236" s="812">
        <f t="shared" si="8"/>
        <v>0</v>
      </c>
      <c r="P236" s="10"/>
      <c r="R236" s="10"/>
      <c r="S236" s="10"/>
      <c r="T236" s="10"/>
    </row>
    <row r="237" spans="1:20" ht="14.25" customHeight="1" x14ac:dyDescent="0.25">
      <c r="A237" s="1769" t="s">
        <v>70</v>
      </c>
      <c r="B237" s="1770"/>
      <c r="C237" s="1770"/>
      <c r="D237" s="1770"/>
      <c r="E237" s="1770"/>
      <c r="F237" s="1771"/>
      <c r="G237" s="276">
        <f>G238+G239+G240+G243+G241</f>
        <v>18183</v>
      </c>
      <c r="H237" s="267">
        <f>SUM(H238:H243)</f>
        <v>24353.1</v>
      </c>
      <c r="I237" s="267">
        <f>SUM(I238:I243)</f>
        <v>0</v>
      </c>
      <c r="J237" s="276">
        <f>SUM(J238:J243)</f>
        <v>26796.1</v>
      </c>
      <c r="K237" s="267">
        <f t="shared" ref="K237:O237" si="9">SUM(K238:K243)</f>
        <v>26796.1</v>
      </c>
      <c r="L237" s="267">
        <f t="shared" si="9"/>
        <v>0</v>
      </c>
      <c r="M237" s="276">
        <f t="shared" si="9"/>
        <v>19302</v>
      </c>
      <c r="N237" s="267">
        <f t="shared" si="9"/>
        <v>19302</v>
      </c>
      <c r="O237" s="813">
        <f t="shared" si="9"/>
        <v>0</v>
      </c>
      <c r="P237" s="10"/>
      <c r="R237" s="10"/>
      <c r="S237" s="10"/>
      <c r="T237" s="10"/>
    </row>
    <row r="238" spans="1:20" ht="14.25" customHeight="1" x14ac:dyDescent="0.25">
      <c r="A238" s="1715" t="s">
        <v>18</v>
      </c>
      <c r="B238" s="1716"/>
      <c r="C238" s="1716"/>
      <c r="D238" s="1716"/>
      <c r="E238" s="1716"/>
      <c r="F238" s="1717"/>
      <c r="G238" s="1205">
        <f>SUMIF(F13:F231,"SB",G13:G231)</f>
        <v>8476.1</v>
      </c>
      <c r="H238" s="1199">
        <f>SUMIF(F13:F231,"SB",H13:H231)</f>
        <v>8476.1</v>
      </c>
      <c r="I238" s="1199">
        <f>SUMIF(F13:F231,"SB",I13:I231)</f>
        <v>0</v>
      </c>
      <c r="J238" s="1205">
        <f>SUMIF(F13:F231,"SB",J13:J231)</f>
        <v>15077.2</v>
      </c>
      <c r="K238" s="1199">
        <f>SUMIF(F13:F231,"SB",K13:K231)</f>
        <v>15077.2</v>
      </c>
      <c r="L238" s="1199">
        <f>SUMIF(F13:F231,"SB",L13:L231)</f>
        <v>0</v>
      </c>
      <c r="M238" s="1205">
        <f>SUMIF(F13:F231,"SB",M13:M231)</f>
        <v>12032.6</v>
      </c>
      <c r="N238" s="1199">
        <f>SUMIF(F13:F231,"SB",N13:N231)</f>
        <v>12032.6</v>
      </c>
      <c r="O238" s="26">
        <f>SUMIF(F13:F231,"SB",O13:O231)</f>
        <v>0</v>
      </c>
      <c r="P238" s="30"/>
      <c r="R238" s="10"/>
      <c r="S238" s="10"/>
      <c r="T238" s="10"/>
    </row>
    <row r="239" spans="1:20" ht="14.25" customHeight="1" x14ac:dyDescent="0.25">
      <c r="A239" s="1731" t="s">
        <v>62</v>
      </c>
      <c r="B239" s="1732"/>
      <c r="C239" s="1732"/>
      <c r="D239" s="1732"/>
      <c r="E239" s="1732"/>
      <c r="F239" s="1733"/>
      <c r="G239" s="1205">
        <f>SUMIF(F13:F231,"SB(VR)",G13:G231)</f>
        <v>1900</v>
      </c>
      <c r="H239" s="1199">
        <f>SUMIF(F13:F231,"SB(VR)",H13:H231)</f>
        <v>1900</v>
      </c>
      <c r="I239" s="1199">
        <f>SUMIF(F13:F231,"SB(VR)",I13:I231)</f>
        <v>0</v>
      </c>
      <c r="J239" s="1205">
        <f>SUMIF(F13:F231,"SB(VR)",J13:J231)</f>
        <v>1279.0999999999999</v>
      </c>
      <c r="K239" s="1199">
        <f>SUMIF(F13:F231,"SB(VR)",K13:K231)</f>
        <v>1279.0999999999999</v>
      </c>
      <c r="L239" s="1199">
        <f>SUMIF(F13:F231,"SB(VR)",L13:L231)</f>
        <v>0</v>
      </c>
      <c r="M239" s="1205">
        <f>SUMIF(F13:F231,"SB(VR)",M13:M231)</f>
        <v>1501.5</v>
      </c>
      <c r="N239" s="1199">
        <f>SUMIF(F13:F231,"SB(VR)",N13:N231)</f>
        <v>1501.5</v>
      </c>
      <c r="O239" s="26">
        <f>SUMIF(F13:F231,"SB(VR)",O13:O231)</f>
        <v>0</v>
      </c>
      <c r="P239" s="10"/>
      <c r="R239" s="10"/>
      <c r="S239" s="10"/>
      <c r="T239" s="10"/>
    </row>
    <row r="240" spans="1:20" ht="29.25" customHeight="1" x14ac:dyDescent="0.25">
      <c r="A240" s="1750" t="s">
        <v>110</v>
      </c>
      <c r="B240" s="1751"/>
      <c r="C240" s="1751"/>
      <c r="D240" s="1751"/>
      <c r="E240" s="1751"/>
      <c r="F240" s="1752"/>
      <c r="G240" s="86">
        <f>SUMIF(F13:F229,"SB(ES)",G13:G229)</f>
        <v>2802.6</v>
      </c>
      <c r="H240" s="94">
        <f>SUMIF(F13:F229,"SB(ES)",H13:H229)</f>
        <v>2802.6</v>
      </c>
      <c r="I240" s="851">
        <f>SUMIF(F13:F229,"SB(ES)",I13:I229)</f>
        <v>0</v>
      </c>
      <c r="J240" s="86">
        <f>SUMIF(F13:F229,"SB(ES)",J13:J229)</f>
        <v>136.5</v>
      </c>
      <c r="K240" s="94">
        <f>SUMIF(F13:F229,"SB(ES)",K13:K229)</f>
        <v>136.5</v>
      </c>
      <c r="L240" s="851">
        <f>SUMIF(F13:F229,"SB(ES)",L13:L229)</f>
        <v>0</v>
      </c>
      <c r="M240" s="86">
        <f>SUMIF(F13:F229,"SB(ES)",M13:M229)</f>
        <v>0</v>
      </c>
      <c r="N240" s="94">
        <f>SUMIF(F13:F229,"SB(ES)",N13:N229)</f>
        <v>0</v>
      </c>
      <c r="O240" s="190">
        <f>SUMIF(F13:F229,"SB(ES)",O13:O229)</f>
        <v>0</v>
      </c>
      <c r="P240" s="10"/>
      <c r="R240" s="10"/>
      <c r="S240" s="10"/>
      <c r="T240" s="30"/>
    </row>
    <row r="241" spans="1:21" ht="14.25" customHeight="1" x14ac:dyDescent="0.25">
      <c r="A241" s="1750" t="s">
        <v>159</v>
      </c>
      <c r="B241" s="1751"/>
      <c r="C241" s="1751"/>
      <c r="D241" s="1751"/>
      <c r="E241" s="1751"/>
      <c r="F241" s="1752"/>
      <c r="G241" s="86">
        <f>SUMIF(F13:F229,"SB(VB)",G13:G229)</f>
        <v>5000</v>
      </c>
      <c r="H241" s="94">
        <f>SUMIF(F13:F229,"SB(VB)",H13:H229)</f>
        <v>5000</v>
      </c>
      <c r="I241" s="851">
        <f>SUMIF(F13:F229,"SB(VB)",I13:I229)</f>
        <v>0</v>
      </c>
      <c r="J241" s="86">
        <f>SUMIF(F13:F229,"SB(VB)",J13:J229)</f>
        <v>5000</v>
      </c>
      <c r="K241" s="94">
        <f>SUMIF(F13:F229,"SB(VB)",K13:K229)</f>
        <v>5000</v>
      </c>
      <c r="L241" s="851">
        <f>SUMIF(F13:F229,"SB(VB)",L13:L229)</f>
        <v>0</v>
      </c>
      <c r="M241" s="86">
        <f>SUMIF(F13:F229,"SB(VB)",M13:M229)</f>
        <v>0</v>
      </c>
      <c r="N241" s="94">
        <f>SUMIF(F13:F229,"SB(VB)",N13:N229)</f>
        <v>0</v>
      </c>
      <c r="O241" s="190">
        <f>SUMIF(F13:F229,"SB(VB)",O13:O229)</f>
        <v>0</v>
      </c>
      <c r="P241" s="10"/>
      <c r="R241" s="10"/>
      <c r="S241" s="10"/>
      <c r="T241" s="10"/>
    </row>
    <row r="242" spans="1:21" ht="28.5" customHeight="1" x14ac:dyDescent="0.25">
      <c r="A242" s="1518" t="s">
        <v>184</v>
      </c>
      <c r="B242" s="1756"/>
      <c r="C242" s="1756"/>
      <c r="D242" s="1756"/>
      <c r="E242" s="1756"/>
      <c r="F242" s="1757"/>
      <c r="G242" s="86">
        <f>SUMIF(F13:F231,"SB(KPP)",G13:G231)</f>
        <v>6170.1</v>
      </c>
      <c r="H242" s="94">
        <f>SUMIF(F13:F231,"SB(KPP)",H13:H231)</f>
        <v>6170.1</v>
      </c>
      <c r="I242" s="70">
        <f>SUMIF(F13:F231,"SB(KPP)",I13:I231)</f>
        <v>0</v>
      </c>
      <c r="J242" s="86">
        <f>SUMIF(F13:F231,"SB(KPP)",J13:J231)</f>
        <v>5303.3</v>
      </c>
      <c r="K242" s="850">
        <f>SUMIF(F13:F231,"SB(KPP)",K13:K231)</f>
        <v>5303.3</v>
      </c>
      <c r="L242" s="70">
        <f>SUMIF(F13:F231,"SB(KPP)",L13:L231)</f>
        <v>0</v>
      </c>
      <c r="M242" s="86">
        <f>SUMIF(F13:F231,"SB(KPP)",M13:M231)</f>
        <v>5767.9</v>
      </c>
      <c r="N242" s="94">
        <f>SUMIF(F13:F231,"SB(KPP)",N13:N231)</f>
        <v>5767.9</v>
      </c>
      <c r="O242" s="190">
        <f>SUMIF(F13:F231,"SB(KPP)",O13:O231)</f>
        <v>0</v>
      </c>
      <c r="P242" s="10"/>
      <c r="R242" s="10"/>
      <c r="S242" s="10"/>
      <c r="T242" s="10"/>
    </row>
    <row r="243" spans="1:21" ht="28.5" customHeight="1" x14ac:dyDescent="0.25">
      <c r="A243" s="1518" t="s">
        <v>307</v>
      </c>
      <c r="B243" s="1828"/>
      <c r="C243" s="1828"/>
      <c r="D243" s="1828"/>
      <c r="E243" s="1828"/>
      <c r="F243" s="1829"/>
      <c r="G243" s="86">
        <f>SUMIF(F14:F232,"SB(ESA)",G14:G232)</f>
        <v>4.3</v>
      </c>
      <c r="H243" s="850">
        <f>SUMIF(F14:F232,"SB(ESA)",H14:H232)</f>
        <v>4.3</v>
      </c>
      <c r="I243" s="851">
        <f>SUMIF(F14:F232,"SB(ESA)",I14:I232)</f>
        <v>0</v>
      </c>
      <c r="J243" s="86">
        <f>SUMIF(F14:F232,"SB(ESA)",J14:J232)</f>
        <v>0</v>
      </c>
      <c r="K243" s="94">
        <f>SUMIF(F14:F232,"SB(ESA)",K14:K232)</f>
        <v>0</v>
      </c>
      <c r="L243" s="851">
        <f>SUMIF(F14:F232,"SB(ESA)",L14:L232)</f>
        <v>0</v>
      </c>
      <c r="M243" s="86">
        <f>SUMIF(F14:F232,"SB(ESA)",M14:M232)</f>
        <v>0</v>
      </c>
      <c r="N243" s="94">
        <f>SUMIF(F14:F232,"SB(ESA)",N14:N232)</f>
        <v>0</v>
      </c>
      <c r="O243" s="190">
        <f>SUMIF(F14:F232,"SB(ESA)",O14:O232)</f>
        <v>0</v>
      </c>
      <c r="P243" s="10"/>
      <c r="R243" s="10"/>
      <c r="S243" s="10"/>
      <c r="T243" s="10"/>
    </row>
    <row r="244" spans="1:21" ht="15.75" customHeight="1" x14ac:dyDescent="0.25">
      <c r="A244" s="1741" t="s">
        <v>359</v>
      </c>
      <c r="B244" s="1758"/>
      <c r="C244" s="1758"/>
      <c r="D244" s="1758"/>
      <c r="E244" s="1758"/>
      <c r="F244" s="1759"/>
      <c r="G244" s="366">
        <f>SUMIF(F11:F231,"KPP",G11:G231)</f>
        <v>0</v>
      </c>
      <c r="H244" s="369">
        <f>SUMIF(F11:F231,"KPP",H11:H231)</f>
        <v>0</v>
      </c>
      <c r="I244" s="852">
        <f>SUMIF(F11:F231,"KPP",I11:I231)</f>
        <v>0</v>
      </c>
      <c r="J244" s="366">
        <f>SUMIF(F11:F231,"KPP",J11:J231)</f>
        <v>0</v>
      </c>
      <c r="K244" s="369">
        <f>SUMIF(F11:F231,"KPP",K11:K231)</f>
        <v>0</v>
      </c>
      <c r="L244" s="369">
        <f>SUMIF(F11:F231,"KPP",L11:L231)</f>
        <v>0</v>
      </c>
      <c r="M244" s="366">
        <f>SUMIF(F11:F231,"KPP",M11:M231)</f>
        <v>0</v>
      </c>
      <c r="N244" s="369">
        <f>SUMIF(F11:F231,"KPP",N11:N231)</f>
        <v>0</v>
      </c>
      <c r="O244" s="815">
        <f>SUMIF(F11:F231,"SB(KPP)",O11:O231)</f>
        <v>0</v>
      </c>
      <c r="P244" s="10"/>
      <c r="R244" s="10"/>
      <c r="S244" s="10"/>
      <c r="T244" s="10"/>
    </row>
    <row r="245" spans="1:21" ht="14.25" customHeight="1" x14ac:dyDescent="0.25">
      <c r="A245" s="1760" t="s">
        <v>73</v>
      </c>
      <c r="B245" s="1742"/>
      <c r="C245" s="1742"/>
      <c r="D245" s="1742"/>
      <c r="E245" s="1742"/>
      <c r="F245" s="1743"/>
      <c r="G245" s="366">
        <f>SUMIF(F13:F230,"SB(VRL)",G13:G230)</f>
        <v>270.89999999999998</v>
      </c>
      <c r="H245" s="369">
        <f>SUMIF(F13:F230,"SB(VRL)",H13:H230)</f>
        <v>270.89999999999998</v>
      </c>
      <c r="I245" s="853">
        <f>SUMIF(F13:F230,"SB(VRL)",I13:I230)</f>
        <v>0</v>
      </c>
      <c r="J245" s="366">
        <f>SUMIF(F13:F230,"SB(VRL)",J13:J230)</f>
        <v>31.3</v>
      </c>
      <c r="K245" s="369">
        <f>SUMIF(F13:F230,"SB(VRL)",K13:K230)</f>
        <v>31.3</v>
      </c>
      <c r="L245" s="369">
        <f>SUMIF(F13:F230,"SB(VRL)",L13:L230)</f>
        <v>0</v>
      </c>
      <c r="M245" s="366">
        <f>SUMIF(F13:F230,"SB(VRL)",M13:M230)</f>
        <v>31.3</v>
      </c>
      <c r="N245" s="369">
        <f>SUMIF(F13:F230,"SB(VRL)",N13:N230)</f>
        <v>31.3</v>
      </c>
      <c r="O245" s="815">
        <f>SUMIF(F13:F230,"SB(VRL)",O13:O230)</f>
        <v>0</v>
      </c>
      <c r="P245" s="10"/>
      <c r="R245" s="10"/>
      <c r="S245" s="10"/>
      <c r="T245" s="10"/>
    </row>
    <row r="246" spans="1:21" ht="14.25" customHeight="1" x14ac:dyDescent="0.25">
      <c r="A246" s="1741" t="s">
        <v>74</v>
      </c>
      <c r="B246" s="1742"/>
      <c r="C246" s="1742"/>
      <c r="D246" s="1742"/>
      <c r="E246" s="1742"/>
      <c r="F246" s="1743"/>
      <c r="G246" s="366">
        <f>SUMIF(F13:F231,"SB(ŽPL)",G13:G231)</f>
        <v>744.1</v>
      </c>
      <c r="H246" s="369">
        <f>SUMIF(F13:F231,"SB(ŽPL)",H13:H231)</f>
        <v>744.1</v>
      </c>
      <c r="I246" s="853">
        <f>SUMIF(F13:F231,"SB(ŽPL)",I13:I231)</f>
        <v>0</v>
      </c>
      <c r="J246" s="366">
        <f>SUMIF(F13:F231,"SB(ŽPL)",J13:J231)</f>
        <v>0</v>
      </c>
      <c r="K246" s="369">
        <f>SUMIF(F13:F231,"SB(ŽPL)",K13:K231)</f>
        <v>0</v>
      </c>
      <c r="L246" s="369">
        <f>SUMIF(F13:F231,"SB(ŽPL)",L13:L231)</f>
        <v>0</v>
      </c>
      <c r="M246" s="366">
        <f>SUMIF(F13:F231,"SB(ŽPL)",M13:M231)</f>
        <v>0</v>
      </c>
      <c r="N246" s="369">
        <f>SUMIF(F13:F231,"SB(ŽPL)",N13:N231)</f>
        <v>0</v>
      </c>
      <c r="O246" s="815">
        <f>SUMIF(F13:F231,"SB(ŽPL)",O13:O231)</f>
        <v>0</v>
      </c>
      <c r="P246" s="10"/>
      <c r="R246" s="10"/>
      <c r="S246" s="10"/>
      <c r="T246" s="10"/>
    </row>
    <row r="247" spans="1:21" ht="14.25" customHeight="1" x14ac:dyDescent="0.25">
      <c r="A247" s="1744" t="s">
        <v>116</v>
      </c>
      <c r="B247" s="1745"/>
      <c r="C247" s="1745"/>
      <c r="D247" s="1745"/>
      <c r="E247" s="1745"/>
      <c r="F247" s="1746"/>
      <c r="G247" s="366">
        <f>SUMIF(F13:F231,"SB(L)",G13:G231)</f>
        <v>4352</v>
      </c>
      <c r="H247" s="369">
        <f>SUMIF(F13:F231,"SB(L)",H13:H231)</f>
        <v>4352</v>
      </c>
      <c r="I247" s="369">
        <f>SUMIF(F13:F231,"SB(L)",I13:I231)</f>
        <v>0</v>
      </c>
      <c r="J247" s="366">
        <f>SUMIF(F13:F231,"SB(L)",J13:J231)</f>
        <v>0</v>
      </c>
      <c r="K247" s="369">
        <f>SUMIF(F13:F231,"SB(L)",K13:K231)</f>
        <v>0</v>
      </c>
      <c r="L247" s="369">
        <f>SUMIF(F13:F231,"SB(L)",L13:L231)</f>
        <v>0</v>
      </c>
      <c r="M247" s="366">
        <f>SUMIF(F13:F231,"SB(L)",M13:M231)</f>
        <v>0</v>
      </c>
      <c r="N247" s="369">
        <f>SUMIF(F13:F231,"SB(L)",N13:N231)</f>
        <v>0</v>
      </c>
      <c r="O247" s="815">
        <f>SUMIF(G13:G231,"SB(L)",O13:O231)</f>
        <v>0</v>
      </c>
      <c r="P247" s="10"/>
      <c r="R247" s="10"/>
      <c r="S247" s="10"/>
      <c r="T247" s="10"/>
    </row>
    <row r="248" spans="1:21" ht="14.25" customHeight="1" x14ac:dyDescent="0.25">
      <c r="A248" s="1747" t="s">
        <v>14</v>
      </c>
      <c r="B248" s="1748"/>
      <c r="C248" s="1748"/>
      <c r="D248" s="1748"/>
      <c r="E248" s="1748"/>
      <c r="F248" s="1749"/>
      <c r="G248" s="298">
        <f>G250+G251+G252+G249</f>
        <v>3655.5</v>
      </c>
      <c r="H248" s="299">
        <f>H250+H251+H252+H249</f>
        <v>3655.5</v>
      </c>
      <c r="I248" s="299">
        <f>I250+I251+I252+I249</f>
        <v>0</v>
      </c>
      <c r="J248" s="298">
        <f t="shared" ref="J248:O248" si="10">J250+J251+J252+J249</f>
        <v>7190.8</v>
      </c>
      <c r="K248" s="299">
        <f t="shared" si="10"/>
        <v>7190.8</v>
      </c>
      <c r="L248" s="299">
        <f t="shared" si="10"/>
        <v>0</v>
      </c>
      <c r="M248" s="298">
        <f t="shared" si="10"/>
        <v>13423</v>
      </c>
      <c r="N248" s="299">
        <f t="shared" si="10"/>
        <v>13423</v>
      </c>
      <c r="O248" s="816">
        <f t="shared" si="10"/>
        <v>0</v>
      </c>
      <c r="P248" s="10"/>
      <c r="R248" s="10"/>
      <c r="S248" s="10"/>
      <c r="T248" s="10"/>
    </row>
    <row r="249" spans="1:21" ht="14.25" customHeight="1" x14ac:dyDescent="0.25">
      <c r="A249" s="1750" t="s">
        <v>19</v>
      </c>
      <c r="B249" s="1751"/>
      <c r="C249" s="1751"/>
      <c r="D249" s="1751"/>
      <c r="E249" s="1751"/>
      <c r="F249" s="1752"/>
      <c r="G249" s="86">
        <f>SUMIF(F13:F231,"ES",G13:G231)</f>
        <v>1008.4</v>
      </c>
      <c r="H249" s="94">
        <f>SUMIF(F13:F231,"ES",H13:H231)</f>
        <v>1008.4</v>
      </c>
      <c r="I249" s="94">
        <f>SUMIF(F13:F231,"ES",I13:I231)</f>
        <v>0</v>
      </c>
      <c r="J249" s="86">
        <f>SUMIF(F13:F231,"ES",J13:J231)</f>
        <v>1426.6</v>
      </c>
      <c r="K249" s="94">
        <f>SUMIF(F13:F231,"ES",K13:K231)</f>
        <v>1426.6</v>
      </c>
      <c r="L249" s="94">
        <f>SUMIF(F13:F231,"ES",L13:L231)</f>
        <v>0</v>
      </c>
      <c r="M249" s="86">
        <f>SUMIF(F13:F231,"ES",M13:M231)</f>
        <v>1347.9</v>
      </c>
      <c r="N249" s="94">
        <f>SUMIF(F13:F231,"ES",N13:N231)</f>
        <v>1347.9</v>
      </c>
      <c r="O249" s="814">
        <f>SUMIF(F13:F231,"ES",O13:O231)</f>
        <v>0</v>
      </c>
      <c r="P249" s="10"/>
      <c r="R249" s="10"/>
      <c r="S249" s="10"/>
      <c r="T249" s="10"/>
    </row>
    <row r="250" spans="1:21" ht="14.25" customHeight="1" x14ac:dyDescent="0.25">
      <c r="A250" s="1753" t="s">
        <v>20</v>
      </c>
      <c r="B250" s="1754"/>
      <c r="C250" s="1754"/>
      <c r="D250" s="1754"/>
      <c r="E250" s="1754"/>
      <c r="F250" s="1755"/>
      <c r="G250" s="86">
        <f>SUMIF(F13:F231,"KVJUD",G13:G231)</f>
        <v>1542</v>
      </c>
      <c r="H250" s="94">
        <f>SUMIF(F13:F231,"KVJUD",H13:H231)</f>
        <v>1542</v>
      </c>
      <c r="I250" s="94">
        <f>SUMIF(F13:F231,"KVJUD",I13:I231)</f>
        <v>0</v>
      </c>
      <c r="J250" s="86">
        <f>SUMIF(F13:F231,"KVJUD",J13:J231)</f>
        <v>0</v>
      </c>
      <c r="K250" s="94">
        <f>SUMIF(F13:F231,"KVJUD",K13:K231)</f>
        <v>0</v>
      </c>
      <c r="L250" s="94">
        <f>SUMIF(F13:F231,"KVJUD",L13:L231)</f>
        <v>0</v>
      </c>
      <c r="M250" s="86">
        <f>SUMIF(F13:F231,"KVJUD",M13:M231)</f>
        <v>0</v>
      </c>
      <c r="N250" s="94">
        <f>SUMIF(F13:F231,"KVJUD",N13:N231)</f>
        <v>0</v>
      </c>
      <c r="O250" s="814">
        <f>SUMIF(G13:G231,"KVJUD",O13:O231)</f>
        <v>0</v>
      </c>
      <c r="P250" s="30"/>
      <c r="Q250" s="1105"/>
      <c r="R250" s="30"/>
      <c r="S250" s="30"/>
      <c r="T250" s="30"/>
    </row>
    <row r="251" spans="1:21" ht="14.25" customHeight="1" x14ac:dyDescent="0.25">
      <c r="A251" s="1731" t="s">
        <v>21</v>
      </c>
      <c r="B251" s="1732"/>
      <c r="C251" s="1732"/>
      <c r="D251" s="1732"/>
      <c r="E251" s="1732"/>
      <c r="F251" s="1733"/>
      <c r="G251" s="86">
        <f>SUMIF(F13:F231,"LRVB",G13:G231)</f>
        <v>1000</v>
      </c>
      <c r="H251" s="94">
        <f>SUMIF(F13:F231,"LRVB",H13:H231)</f>
        <v>1000</v>
      </c>
      <c r="I251" s="94">
        <f>SUMIF(F13:F231,"LRVB",I13:I231)</f>
        <v>0</v>
      </c>
      <c r="J251" s="86">
        <f>SUMIF(F13:F231,"LRVB",J13:J231)</f>
        <v>5650</v>
      </c>
      <c r="K251" s="94">
        <f>SUMIF(F13:F231,"LRVB",K13:K231)</f>
        <v>5650</v>
      </c>
      <c r="L251" s="94">
        <f>SUMIF(F13:F231,"LRVB",L13:L231)</f>
        <v>0</v>
      </c>
      <c r="M251" s="86">
        <f>SUMIF(F13:F231,"LRVB",M13:M231)</f>
        <v>12015.1</v>
      </c>
      <c r="N251" s="94">
        <f>SUMIF(F13:F231,"LRVB",N13:N231)</f>
        <v>12015.1</v>
      </c>
      <c r="O251" s="814">
        <f>SUMIF(F13:F231,"LRVB",O13:O231)</f>
        <v>0</v>
      </c>
      <c r="P251" s="30"/>
      <c r="Q251" s="1105"/>
      <c r="R251" s="30"/>
      <c r="S251" s="30"/>
      <c r="T251" s="30"/>
    </row>
    <row r="252" spans="1:21" ht="14.25" customHeight="1" x14ac:dyDescent="0.25">
      <c r="A252" s="1734" t="s">
        <v>22</v>
      </c>
      <c r="B252" s="1735"/>
      <c r="C252" s="1735"/>
      <c r="D252" s="1735"/>
      <c r="E252" s="1735"/>
      <c r="F252" s="1736"/>
      <c r="G252" s="86">
        <f>SUMIF(F13:F231,"Kt",G13:G231)</f>
        <v>105.1</v>
      </c>
      <c r="H252" s="94">
        <f>SUMIF(F13:F231,"Kt",H13:H231)</f>
        <v>105.1</v>
      </c>
      <c r="I252" s="94">
        <f>SUMIF(F13:F231,"Kt",I13:I231)</f>
        <v>0</v>
      </c>
      <c r="J252" s="86">
        <f>SUMIF(F13:F231,"Kt",J13:J231)</f>
        <v>114.2</v>
      </c>
      <c r="K252" s="94">
        <f>SUMIF(F13:F231,"Kt",K13:K231)</f>
        <v>114.2</v>
      </c>
      <c r="L252" s="94">
        <f>SUMIF(F13:F231,"Kt",L13:L231)</f>
        <v>0</v>
      </c>
      <c r="M252" s="86">
        <f>SUMIF(F13:F231,"Kt",M13:M231)</f>
        <v>60</v>
      </c>
      <c r="N252" s="94">
        <f>SUMIF(F13:F231,"Kt",N13:N231)</f>
        <v>60</v>
      </c>
      <c r="O252" s="814">
        <f>SUMIF(F13:F231,"Kt",O13:O231)</f>
        <v>0</v>
      </c>
      <c r="P252" s="30"/>
      <c r="Q252" s="1105"/>
      <c r="R252" s="30"/>
      <c r="S252" s="30"/>
      <c r="T252" s="30"/>
    </row>
    <row r="253" spans="1:21" ht="14.25" customHeight="1" thickBot="1" x14ac:dyDescent="0.3">
      <c r="A253" s="1737" t="s">
        <v>15</v>
      </c>
      <c r="B253" s="1738"/>
      <c r="C253" s="1738"/>
      <c r="D253" s="1738"/>
      <c r="E253" s="1738"/>
      <c r="F253" s="1739"/>
      <c r="G253" s="367">
        <f t="shared" ref="G253:O253" si="11">SUM(G236,G248)</f>
        <v>33375.599999999999</v>
      </c>
      <c r="H253" s="370">
        <f t="shared" si="11"/>
        <v>33375.599999999999</v>
      </c>
      <c r="I253" s="370">
        <f t="shared" si="11"/>
        <v>0</v>
      </c>
      <c r="J253" s="367">
        <f t="shared" si="11"/>
        <v>34018.199999999997</v>
      </c>
      <c r="K253" s="370">
        <f t="shared" si="11"/>
        <v>34018.199999999997</v>
      </c>
      <c r="L253" s="370">
        <f t="shared" si="11"/>
        <v>0</v>
      </c>
      <c r="M253" s="367">
        <f t="shared" si="11"/>
        <v>32756.3</v>
      </c>
      <c r="N253" s="370">
        <f t="shared" si="11"/>
        <v>32756.3</v>
      </c>
      <c r="O253" s="817">
        <f t="shared" si="11"/>
        <v>0</v>
      </c>
      <c r="P253" s="30"/>
      <c r="Q253" s="1105"/>
      <c r="R253" s="30"/>
      <c r="S253" s="30"/>
      <c r="T253" s="30"/>
    </row>
    <row r="254" spans="1:21" x14ac:dyDescent="0.25">
      <c r="F254" s="268"/>
      <c r="G254" s="269"/>
      <c r="H254" s="269"/>
      <c r="I254" s="269"/>
      <c r="J254" s="269"/>
      <c r="K254" s="269"/>
      <c r="L254" s="269"/>
      <c r="M254" s="269"/>
      <c r="N254" s="269"/>
      <c r="O254" s="269"/>
      <c r="P254" s="4"/>
    </row>
    <row r="256" spans="1:21" s="2" customFormat="1" x14ac:dyDescent="0.25">
      <c r="E256" s="738"/>
      <c r="F256" s="739"/>
      <c r="G256" s="740"/>
      <c r="H256" s="740"/>
      <c r="I256" s="740"/>
      <c r="J256" s="740"/>
      <c r="K256" s="740"/>
      <c r="L256" s="740"/>
      <c r="M256" s="740"/>
      <c r="N256" s="740"/>
      <c r="O256" s="30"/>
      <c r="Q256" s="1104"/>
      <c r="U256" s="1"/>
    </row>
    <row r="257" spans="5:21" s="2" customFormat="1" x14ac:dyDescent="0.25">
      <c r="E257" s="755"/>
      <c r="F257" s="3"/>
      <c r="G257" s="10"/>
      <c r="H257" s="10"/>
      <c r="I257" s="10"/>
      <c r="J257" s="10"/>
      <c r="K257" s="10"/>
      <c r="L257" s="10"/>
      <c r="M257" s="10"/>
      <c r="N257" s="10"/>
      <c r="O257" s="10"/>
      <c r="Q257" s="1104"/>
      <c r="U257" s="1"/>
    </row>
    <row r="258" spans="5:21" s="2" customFormat="1" x14ac:dyDescent="0.25">
      <c r="E258" s="755"/>
      <c r="F258" s="3"/>
      <c r="P258" s="10"/>
      <c r="Q258" s="1104"/>
      <c r="U258" s="1"/>
    </row>
    <row r="259" spans="5:21" s="2" customFormat="1" x14ac:dyDescent="0.25">
      <c r="E259" s="755"/>
      <c r="F259" s="3"/>
      <c r="M259" s="10"/>
      <c r="N259" s="10"/>
      <c r="O259" s="10"/>
      <c r="Q259" s="1104"/>
      <c r="U259" s="1"/>
    </row>
    <row r="261" spans="5:21" s="2" customFormat="1" x14ac:dyDescent="0.25">
      <c r="E261" s="755"/>
      <c r="F261" s="3"/>
      <c r="P261" s="10"/>
      <c r="Q261" s="1104"/>
      <c r="U261" s="1"/>
    </row>
    <row r="264" spans="5:21" s="2" customFormat="1" x14ac:dyDescent="0.25">
      <c r="E264" s="755"/>
      <c r="F264" s="3"/>
      <c r="P264" s="10"/>
      <c r="Q264" s="1104"/>
      <c r="U264" s="1"/>
    </row>
    <row r="267" spans="5:21" s="2" customFormat="1" x14ac:dyDescent="0.25">
      <c r="E267" s="755"/>
      <c r="F267" s="3"/>
      <c r="P267" s="10"/>
      <c r="Q267" s="1104"/>
      <c r="U267" s="1"/>
    </row>
  </sheetData>
  <mergeCells count="256">
    <mergeCell ref="A2:T2"/>
    <mergeCell ref="A3:T3"/>
    <mergeCell ref="A4:T4"/>
    <mergeCell ref="P5:T5"/>
    <mergeCell ref="A6:A8"/>
    <mergeCell ref="B6:B8"/>
    <mergeCell ref="C6:C8"/>
    <mergeCell ref="D6:D8"/>
    <mergeCell ref="E6:E8"/>
    <mergeCell ref="F6:F8"/>
    <mergeCell ref="M6:M8"/>
    <mergeCell ref="N6:N8"/>
    <mergeCell ref="O6:O8"/>
    <mergeCell ref="P6:S6"/>
    <mergeCell ref="P7:P8"/>
    <mergeCell ref="Q7:S7"/>
    <mergeCell ref="G6:G8"/>
    <mergeCell ref="H6:H8"/>
    <mergeCell ref="I6:I8"/>
    <mergeCell ref="J6:J8"/>
    <mergeCell ref="K6:K8"/>
    <mergeCell ref="L6:L8"/>
    <mergeCell ref="A9:T9"/>
    <mergeCell ref="A10:T10"/>
    <mergeCell ref="B11:T11"/>
    <mergeCell ref="C12:T12"/>
    <mergeCell ref="D13:D16"/>
    <mergeCell ref="D26:D28"/>
    <mergeCell ref="E26:E28"/>
    <mergeCell ref="T26:T30"/>
    <mergeCell ref="P27:P28"/>
    <mergeCell ref="D37:D39"/>
    <mergeCell ref="P37:P39"/>
    <mergeCell ref="T37:T39"/>
    <mergeCell ref="A40:A41"/>
    <mergeCell ref="B40:B41"/>
    <mergeCell ref="C40:C41"/>
    <mergeCell ref="D40:D41"/>
    <mergeCell ref="A31:A36"/>
    <mergeCell ref="B31:B36"/>
    <mergeCell ref="C31:C36"/>
    <mergeCell ref="D31:D34"/>
    <mergeCell ref="P31:P32"/>
    <mergeCell ref="T31:T36"/>
    <mergeCell ref="P47:P48"/>
    <mergeCell ref="A49:A51"/>
    <mergeCell ref="B49:B51"/>
    <mergeCell ref="D49:D51"/>
    <mergeCell ref="P49:P50"/>
    <mergeCell ref="E50:E51"/>
    <mergeCell ref="C42:C46"/>
    <mergeCell ref="D42:D44"/>
    <mergeCell ref="E43:E44"/>
    <mergeCell ref="D45:D46"/>
    <mergeCell ref="E45:E46"/>
    <mergeCell ref="A47:A48"/>
    <mergeCell ref="B47:B48"/>
    <mergeCell ref="C47:C51"/>
    <mergeCell ref="D47:D48"/>
    <mergeCell ref="D58:D60"/>
    <mergeCell ref="T58:T60"/>
    <mergeCell ref="D61:D62"/>
    <mergeCell ref="P63:P64"/>
    <mergeCell ref="D65:D66"/>
    <mergeCell ref="T65:T66"/>
    <mergeCell ref="D52:D54"/>
    <mergeCell ref="P52:P53"/>
    <mergeCell ref="T52:T54"/>
    <mergeCell ref="D55:D56"/>
    <mergeCell ref="E55:E56"/>
    <mergeCell ref="P55:P56"/>
    <mergeCell ref="U71:U72"/>
    <mergeCell ref="A73:A76"/>
    <mergeCell ref="B73:B76"/>
    <mergeCell ref="C73:C76"/>
    <mergeCell ref="D73:D76"/>
    <mergeCell ref="E73:E76"/>
    <mergeCell ref="D67:D68"/>
    <mergeCell ref="E67:E68"/>
    <mergeCell ref="A69:A70"/>
    <mergeCell ref="B69:B70"/>
    <mergeCell ref="D69:D70"/>
    <mergeCell ref="E69:E70"/>
    <mergeCell ref="P75:P76"/>
    <mergeCell ref="D77:D78"/>
    <mergeCell ref="E77:E78"/>
    <mergeCell ref="D79:D80"/>
    <mergeCell ref="E79:E80"/>
    <mergeCell ref="D81:D82"/>
    <mergeCell ref="E81:E82"/>
    <mergeCell ref="P81:P82"/>
    <mergeCell ref="P69:P70"/>
    <mergeCell ref="D71:D72"/>
    <mergeCell ref="E71:E72"/>
    <mergeCell ref="P71:P72"/>
    <mergeCell ref="T104:T106"/>
    <mergeCell ref="D83:D85"/>
    <mergeCell ref="P83:P85"/>
    <mergeCell ref="C87:C94"/>
    <mergeCell ref="C95:C97"/>
    <mergeCell ref="D98:D101"/>
    <mergeCell ref="A102:A103"/>
    <mergeCell ref="B102:B103"/>
    <mergeCell ref="C102:C103"/>
    <mergeCell ref="D102:D103"/>
    <mergeCell ref="P102:P103"/>
    <mergeCell ref="D107:D108"/>
    <mergeCell ref="P107:P108"/>
    <mergeCell ref="D109:D110"/>
    <mergeCell ref="D111:D112"/>
    <mergeCell ref="D113:D114"/>
    <mergeCell ref="E116:E118"/>
    <mergeCell ref="P116:P117"/>
    <mergeCell ref="A104:A106"/>
    <mergeCell ref="B104:B106"/>
    <mergeCell ref="C104:C106"/>
    <mergeCell ref="D104:D106"/>
    <mergeCell ref="E104:E106"/>
    <mergeCell ref="D131:D132"/>
    <mergeCell ref="D133:D134"/>
    <mergeCell ref="D137:D139"/>
    <mergeCell ref="P137:P139"/>
    <mergeCell ref="T137:T139"/>
    <mergeCell ref="D119:D120"/>
    <mergeCell ref="D121:D122"/>
    <mergeCell ref="C124:F124"/>
    <mergeCell ref="C125:T125"/>
    <mergeCell ref="D126:D129"/>
    <mergeCell ref="E126:E128"/>
    <mergeCell ref="S148:S149"/>
    <mergeCell ref="T148:T149"/>
    <mergeCell ref="A150:A152"/>
    <mergeCell ref="B150:B152"/>
    <mergeCell ref="C150:C152"/>
    <mergeCell ref="D150:D152"/>
    <mergeCell ref="E150:E152"/>
    <mergeCell ref="D142:D144"/>
    <mergeCell ref="P142:P144"/>
    <mergeCell ref="T142:T144"/>
    <mergeCell ref="D145:D146"/>
    <mergeCell ref="P145:P146"/>
    <mergeCell ref="A148:A149"/>
    <mergeCell ref="B148:B149"/>
    <mergeCell ref="C148:C149"/>
    <mergeCell ref="D148:D149"/>
    <mergeCell ref="E148:E149"/>
    <mergeCell ref="A156:A157"/>
    <mergeCell ref="B156:B157"/>
    <mergeCell ref="C156:C157"/>
    <mergeCell ref="D156:D157"/>
    <mergeCell ref="E156:E157"/>
    <mergeCell ref="P156:P157"/>
    <mergeCell ref="P148:P149"/>
    <mergeCell ref="Q148:Q149"/>
    <mergeCell ref="R148:R149"/>
    <mergeCell ref="D163:D165"/>
    <mergeCell ref="P164:P165"/>
    <mergeCell ref="D166:D167"/>
    <mergeCell ref="D168:D169"/>
    <mergeCell ref="D170:D172"/>
    <mergeCell ref="P170:P171"/>
    <mergeCell ref="D158:D159"/>
    <mergeCell ref="M158:M159"/>
    <mergeCell ref="N158:N159"/>
    <mergeCell ref="P158:P159"/>
    <mergeCell ref="D160:D162"/>
    <mergeCell ref="E160:E161"/>
    <mergeCell ref="D190:D192"/>
    <mergeCell ref="P190:P191"/>
    <mergeCell ref="Q190:Q191"/>
    <mergeCell ref="R190:R191"/>
    <mergeCell ref="S190:S191"/>
    <mergeCell ref="T190:T191"/>
    <mergeCell ref="T170:T172"/>
    <mergeCell ref="C174:F174"/>
    <mergeCell ref="P174:T174"/>
    <mergeCell ref="C175:T175"/>
    <mergeCell ref="D176:D177"/>
    <mergeCell ref="D180:D187"/>
    <mergeCell ref="E180:E184"/>
    <mergeCell ref="A201:A202"/>
    <mergeCell ref="B201:B202"/>
    <mergeCell ref="C201:C202"/>
    <mergeCell ref="D201:D202"/>
    <mergeCell ref="E201:E202"/>
    <mergeCell ref="T201:T202"/>
    <mergeCell ref="D193:D194"/>
    <mergeCell ref="P193:P194"/>
    <mergeCell ref="D195:D196"/>
    <mergeCell ref="D197:D198"/>
    <mergeCell ref="P197:P198"/>
    <mergeCell ref="D199:D200"/>
    <mergeCell ref="P210:P211"/>
    <mergeCell ref="D213:D214"/>
    <mergeCell ref="A215:A217"/>
    <mergeCell ref="B215:B217"/>
    <mergeCell ref="C215:C217"/>
    <mergeCell ref="D215:D217"/>
    <mergeCell ref="P215:P216"/>
    <mergeCell ref="D204:D209"/>
    <mergeCell ref="E204:E209"/>
    <mergeCell ref="A210:A212"/>
    <mergeCell ref="B210:B212"/>
    <mergeCell ref="C210:C212"/>
    <mergeCell ref="D210:D212"/>
    <mergeCell ref="A224:A225"/>
    <mergeCell ref="B224:B225"/>
    <mergeCell ref="C224:C225"/>
    <mergeCell ref="D224:D225"/>
    <mergeCell ref="E224:E225"/>
    <mergeCell ref="T224:T225"/>
    <mergeCell ref="A218:A220"/>
    <mergeCell ref="B218:B220"/>
    <mergeCell ref="C218:C220"/>
    <mergeCell ref="D218:D220"/>
    <mergeCell ref="E218:E220"/>
    <mergeCell ref="A221:A223"/>
    <mergeCell ref="B221:B223"/>
    <mergeCell ref="C221:C223"/>
    <mergeCell ref="D221:D223"/>
    <mergeCell ref="E221:E223"/>
    <mergeCell ref="T218:T220"/>
    <mergeCell ref="T226:T227"/>
    <mergeCell ref="C229:F229"/>
    <mergeCell ref="P229:T229"/>
    <mergeCell ref="B230:F230"/>
    <mergeCell ref="P230:T230"/>
    <mergeCell ref="B231:F231"/>
    <mergeCell ref="P231:T231"/>
    <mergeCell ref="A226:A227"/>
    <mergeCell ref="B226:B227"/>
    <mergeCell ref="C226:C227"/>
    <mergeCell ref="D226:D227"/>
    <mergeCell ref="E226:E227"/>
    <mergeCell ref="P226:P227"/>
    <mergeCell ref="A239:F239"/>
    <mergeCell ref="A240:F240"/>
    <mergeCell ref="A241:F241"/>
    <mergeCell ref="A242:F242"/>
    <mergeCell ref="A243:F243"/>
    <mergeCell ref="A244:F244"/>
    <mergeCell ref="A232:J232"/>
    <mergeCell ref="A234:F234"/>
    <mergeCell ref="A235:F235"/>
    <mergeCell ref="A236:F236"/>
    <mergeCell ref="A237:F237"/>
    <mergeCell ref="A238:F238"/>
    <mergeCell ref="A251:F251"/>
    <mergeCell ref="A252:F252"/>
    <mergeCell ref="A253:F253"/>
    <mergeCell ref="A245:F245"/>
    <mergeCell ref="A246:F246"/>
    <mergeCell ref="A247:F247"/>
    <mergeCell ref="A248:F248"/>
    <mergeCell ref="A249:F249"/>
    <mergeCell ref="A250:F250"/>
  </mergeCells>
  <pageMargins left="0.82677165354330717" right="0.23622047244094491" top="0.74803149606299213" bottom="0.74803149606299213" header="0.31496062992125984" footer="0.31496062992125984"/>
  <pageSetup paperSize="9" scale="49" orientation="landscape" r:id="rId1"/>
  <rowBreaks count="4" manualBreakCount="4">
    <brk id="92" max="19" man="1"/>
    <brk id="139" max="19" man="1"/>
    <brk id="174" max="19" man="1"/>
    <brk id="231"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6"/>
  <sheetViews>
    <sheetView topLeftCell="A127" zoomScaleNormal="100" zoomScaleSheetLayoutView="100" workbookViewId="0">
      <selection activeCell="O247" sqref="O247"/>
    </sheetView>
  </sheetViews>
  <sheetFormatPr defaultColWidth="9.1796875" defaultRowHeight="13" x14ac:dyDescent="0.25"/>
  <cols>
    <col min="1" max="3" width="2.7265625" style="2" customWidth="1"/>
    <col min="4" max="4" width="3.1796875" style="542" customWidth="1"/>
    <col min="5" max="5" width="39.54296875" style="2" customWidth="1"/>
    <col min="6" max="6" width="4.453125" style="755" customWidth="1"/>
    <col min="7" max="7" width="10.7265625" style="8" customWidth="1"/>
    <col min="8" max="8" width="8.81640625" style="3" customWidth="1"/>
    <col min="9" max="11" width="9" style="2" customWidth="1"/>
    <col min="12" max="12" width="39.81640625" style="2" customWidth="1"/>
    <col min="13" max="14" width="4.7265625" style="2" customWidth="1"/>
    <col min="15" max="15" width="5.26953125" style="2" customWidth="1"/>
    <col min="16" max="16" width="21.7265625" style="1" customWidth="1"/>
    <col min="17" max="16384" width="9.1796875" style="1"/>
  </cols>
  <sheetData>
    <row r="1" spans="1:15" s="91" customFormat="1" ht="15.75" customHeight="1" x14ac:dyDescent="0.35">
      <c r="D1" s="538"/>
      <c r="F1" s="532"/>
      <c r="L1" s="1976" t="s">
        <v>88</v>
      </c>
      <c r="M1" s="1977"/>
      <c r="N1" s="1977"/>
      <c r="O1" s="1977"/>
    </row>
    <row r="2" spans="1:15" s="22" customFormat="1" ht="14" x14ac:dyDescent="0.25">
      <c r="A2" s="1521" t="s">
        <v>214</v>
      </c>
      <c r="B2" s="1521"/>
      <c r="C2" s="1521"/>
      <c r="D2" s="1521"/>
      <c r="E2" s="1521"/>
      <c r="F2" s="1521"/>
      <c r="G2" s="1521"/>
      <c r="H2" s="1521"/>
      <c r="I2" s="1521"/>
      <c r="J2" s="1521"/>
      <c r="K2" s="1521"/>
      <c r="L2" s="1521"/>
      <c r="M2" s="1521"/>
      <c r="N2" s="1521"/>
      <c r="O2" s="1521"/>
    </row>
    <row r="3" spans="1:15" ht="15.75" customHeight="1" x14ac:dyDescent="0.25">
      <c r="A3" s="1522" t="s">
        <v>27</v>
      </c>
      <c r="B3" s="1522"/>
      <c r="C3" s="1522"/>
      <c r="D3" s="1522"/>
      <c r="E3" s="1522"/>
      <c r="F3" s="1522"/>
      <c r="G3" s="1522"/>
      <c r="H3" s="1522"/>
      <c r="I3" s="1522"/>
      <c r="J3" s="1522"/>
      <c r="K3" s="1522"/>
      <c r="L3" s="1522"/>
      <c r="M3" s="1522"/>
      <c r="N3" s="1522"/>
      <c r="O3" s="1522"/>
    </row>
    <row r="4" spans="1:15" ht="15" customHeight="1" x14ac:dyDescent="0.25">
      <c r="A4" s="1523" t="s">
        <v>16</v>
      </c>
      <c r="B4" s="1523"/>
      <c r="C4" s="1523"/>
      <c r="D4" s="1523"/>
      <c r="E4" s="1523"/>
      <c r="F4" s="1523"/>
      <c r="G4" s="1523"/>
      <c r="H4" s="1523"/>
      <c r="I4" s="1523"/>
      <c r="J4" s="1523"/>
      <c r="K4" s="1523"/>
      <c r="L4" s="1523"/>
      <c r="M4" s="1523"/>
      <c r="N4" s="1523"/>
      <c r="O4" s="1523"/>
    </row>
    <row r="5" spans="1:15" ht="15" customHeight="1" thickBot="1" x14ac:dyDescent="0.3">
      <c r="A5" s="11"/>
      <c r="B5" s="11"/>
      <c r="C5" s="11"/>
      <c r="D5" s="539"/>
      <c r="E5" s="11"/>
      <c r="F5" s="533"/>
      <c r="G5" s="12"/>
      <c r="H5" s="132"/>
      <c r="I5" s="11"/>
      <c r="J5" s="11"/>
      <c r="K5" s="11"/>
      <c r="L5" s="1524" t="s">
        <v>83</v>
      </c>
      <c r="M5" s="1524"/>
      <c r="N5" s="1524"/>
      <c r="O5" s="1525"/>
    </row>
    <row r="6" spans="1:15" s="22" customFormat="1" ht="30" customHeight="1" x14ac:dyDescent="0.25">
      <c r="A6" s="1526" t="s">
        <v>17</v>
      </c>
      <c r="B6" s="1529" t="s">
        <v>0</v>
      </c>
      <c r="C6" s="1529" t="s">
        <v>1</v>
      </c>
      <c r="D6" s="1978" t="s">
        <v>25</v>
      </c>
      <c r="E6" s="1532" t="s">
        <v>11</v>
      </c>
      <c r="F6" s="1565" t="s">
        <v>2</v>
      </c>
      <c r="G6" s="1981" t="s">
        <v>55</v>
      </c>
      <c r="H6" s="1568" t="s">
        <v>3</v>
      </c>
      <c r="I6" s="1549" t="s">
        <v>212</v>
      </c>
      <c r="J6" s="1549" t="s">
        <v>147</v>
      </c>
      <c r="K6" s="1549" t="s">
        <v>213</v>
      </c>
      <c r="L6" s="1552" t="s">
        <v>10</v>
      </c>
      <c r="M6" s="1553"/>
      <c r="N6" s="1553"/>
      <c r="O6" s="1554"/>
    </row>
    <row r="7" spans="1:15" s="22" customFormat="1" ht="18.75" customHeight="1" x14ac:dyDescent="0.25">
      <c r="A7" s="1527"/>
      <c r="B7" s="1530"/>
      <c r="C7" s="1530"/>
      <c r="D7" s="1979"/>
      <c r="E7" s="1533"/>
      <c r="F7" s="1566"/>
      <c r="G7" s="1982"/>
      <c r="H7" s="1569"/>
      <c r="I7" s="1550"/>
      <c r="J7" s="1550"/>
      <c r="K7" s="1550"/>
      <c r="L7" s="1555" t="s">
        <v>11</v>
      </c>
      <c r="M7" s="1557" t="s">
        <v>72</v>
      </c>
      <c r="N7" s="1557"/>
      <c r="O7" s="1558"/>
    </row>
    <row r="8" spans="1:15" s="22" customFormat="1" ht="66" customHeight="1" thickBot="1" x14ac:dyDescent="0.3">
      <c r="A8" s="1528"/>
      <c r="B8" s="1531"/>
      <c r="C8" s="1531"/>
      <c r="D8" s="1980"/>
      <c r="E8" s="1534"/>
      <c r="F8" s="1567"/>
      <c r="G8" s="1983"/>
      <c r="H8" s="1570"/>
      <c r="I8" s="1551"/>
      <c r="J8" s="1551"/>
      <c r="K8" s="1551"/>
      <c r="L8" s="1556"/>
      <c r="M8" s="92" t="s">
        <v>114</v>
      </c>
      <c r="N8" s="92" t="s">
        <v>148</v>
      </c>
      <c r="O8" s="93" t="s">
        <v>211</v>
      </c>
    </row>
    <row r="9" spans="1:15" s="7" customFormat="1" ht="14.25" customHeight="1" x14ac:dyDescent="0.25">
      <c r="A9" s="1559" t="s">
        <v>54</v>
      </c>
      <c r="B9" s="1560"/>
      <c r="C9" s="1560"/>
      <c r="D9" s="1560"/>
      <c r="E9" s="1560"/>
      <c r="F9" s="1560"/>
      <c r="G9" s="1560"/>
      <c r="H9" s="1560"/>
      <c r="I9" s="1560"/>
      <c r="J9" s="1560"/>
      <c r="K9" s="1560"/>
      <c r="L9" s="1560"/>
      <c r="M9" s="1560"/>
      <c r="N9" s="1560"/>
      <c r="O9" s="1561"/>
    </row>
    <row r="10" spans="1:15" s="7" customFormat="1" ht="14.25" customHeight="1" x14ac:dyDescent="0.25">
      <c r="A10" s="1562" t="s">
        <v>24</v>
      </c>
      <c r="B10" s="1563"/>
      <c r="C10" s="1563"/>
      <c r="D10" s="1563"/>
      <c r="E10" s="1563"/>
      <c r="F10" s="1563"/>
      <c r="G10" s="1563"/>
      <c r="H10" s="1563"/>
      <c r="I10" s="1563"/>
      <c r="J10" s="1563"/>
      <c r="K10" s="1563"/>
      <c r="L10" s="1563"/>
      <c r="M10" s="1563"/>
      <c r="N10" s="1563"/>
      <c r="O10" s="1564"/>
    </row>
    <row r="11" spans="1:15" ht="16.5" customHeight="1" x14ac:dyDescent="0.25">
      <c r="A11" s="13" t="s">
        <v>4</v>
      </c>
      <c r="B11" s="1535" t="s">
        <v>28</v>
      </c>
      <c r="C11" s="1536"/>
      <c r="D11" s="1536"/>
      <c r="E11" s="1536"/>
      <c r="F11" s="1536"/>
      <c r="G11" s="1536"/>
      <c r="H11" s="1536"/>
      <c r="I11" s="1536"/>
      <c r="J11" s="1536"/>
      <c r="K11" s="1536"/>
      <c r="L11" s="1536"/>
      <c r="M11" s="1536"/>
      <c r="N11" s="1536"/>
      <c r="O11" s="1537"/>
    </row>
    <row r="12" spans="1:15" ht="15" customHeight="1" x14ac:dyDescent="0.25">
      <c r="A12" s="131" t="s">
        <v>4</v>
      </c>
      <c r="B12" s="9" t="s">
        <v>4</v>
      </c>
      <c r="C12" s="1538" t="s">
        <v>273</v>
      </c>
      <c r="D12" s="1539"/>
      <c r="E12" s="1539"/>
      <c r="F12" s="1539"/>
      <c r="G12" s="1539"/>
      <c r="H12" s="1539"/>
      <c r="I12" s="1539"/>
      <c r="J12" s="1539"/>
      <c r="K12" s="1539"/>
      <c r="L12" s="1539"/>
      <c r="M12" s="1539"/>
      <c r="N12" s="1539"/>
      <c r="O12" s="1540"/>
    </row>
    <row r="13" spans="1:15" ht="13.5" customHeight="1" x14ac:dyDescent="0.25">
      <c r="A13" s="934" t="s">
        <v>4</v>
      </c>
      <c r="B13" s="935" t="s">
        <v>4</v>
      </c>
      <c r="C13" s="979" t="s">
        <v>4</v>
      </c>
      <c r="D13" s="978"/>
      <c r="E13" s="1541" t="s">
        <v>232</v>
      </c>
      <c r="F13" s="478" t="s">
        <v>44</v>
      </c>
      <c r="G13" s="475"/>
      <c r="H13" s="147"/>
      <c r="I13" s="953"/>
      <c r="J13" s="953"/>
      <c r="K13" s="953"/>
      <c r="L13" s="161"/>
      <c r="M13" s="415"/>
      <c r="N13" s="416"/>
      <c r="O13" s="479"/>
    </row>
    <row r="14" spans="1:15" ht="13.5" customHeight="1" x14ac:dyDescent="0.25">
      <c r="A14" s="934"/>
      <c r="B14" s="762"/>
      <c r="C14" s="979"/>
      <c r="D14" s="928"/>
      <c r="E14" s="1807"/>
      <c r="F14" s="478" t="s">
        <v>246</v>
      </c>
      <c r="G14" s="476"/>
      <c r="H14" s="822"/>
      <c r="I14" s="954"/>
      <c r="J14" s="954"/>
      <c r="K14" s="954"/>
      <c r="L14" s="484"/>
      <c r="M14" s="486"/>
      <c r="N14" s="485"/>
      <c r="O14" s="821"/>
    </row>
    <row r="15" spans="1:15" ht="13.5" customHeight="1" x14ac:dyDescent="0.25">
      <c r="A15" s="926"/>
      <c r="B15" s="956"/>
      <c r="C15" s="977"/>
      <c r="D15" s="522" t="s">
        <v>4</v>
      </c>
      <c r="E15" s="1908" t="s">
        <v>94</v>
      </c>
      <c r="F15" s="1924" t="s">
        <v>247</v>
      </c>
      <c r="G15" s="1882" t="s">
        <v>279</v>
      </c>
      <c r="H15" s="823" t="s">
        <v>23</v>
      </c>
      <c r="I15" s="36">
        <v>99.7</v>
      </c>
      <c r="J15" s="36"/>
      <c r="K15" s="36"/>
      <c r="L15" s="405" t="s">
        <v>43</v>
      </c>
      <c r="M15" s="944">
        <v>1</v>
      </c>
      <c r="N15" s="946"/>
      <c r="O15" s="940"/>
    </row>
    <row r="16" spans="1:15" ht="13.5" customHeight="1" x14ac:dyDescent="0.25">
      <c r="A16" s="926"/>
      <c r="B16" s="956"/>
      <c r="C16" s="977"/>
      <c r="D16" s="523"/>
      <c r="E16" s="1909"/>
      <c r="F16" s="1925"/>
      <c r="G16" s="1898"/>
      <c r="H16" s="165" t="s">
        <v>76</v>
      </c>
      <c r="I16" s="36"/>
      <c r="J16" s="36">
        <v>1350</v>
      </c>
      <c r="K16" s="36">
        <v>2700</v>
      </c>
      <c r="L16" s="1903" t="s">
        <v>153</v>
      </c>
      <c r="M16" s="946">
        <v>15</v>
      </c>
      <c r="N16" s="946">
        <v>45</v>
      </c>
      <c r="O16" s="940">
        <v>85</v>
      </c>
    </row>
    <row r="17" spans="1:16" ht="13.5" customHeight="1" x14ac:dyDescent="0.25">
      <c r="A17" s="926"/>
      <c r="B17" s="956"/>
      <c r="C17" s="977"/>
      <c r="D17" s="523"/>
      <c r="E17" s="1909"/>
      <c r="F17" s="1925"/>
      <c r="G17" s="1898"/>
      <c r="H17" s="165" t="s">
        <v>53</v>
      </c>
      <c r="I17" s="36">
        <v>450.3</v>
      </c>
      <c r="J17" s="36"/>
      <c r="K17" s="36"/>
      <c r="L17" s="1903"/>
      <c r="M17" s="946"/>
      <c r="N17" s="946"/>
      <c r="O17" s="940"/>
    </row>
    <row r="18" spans="1:16" ht="13.5" customHeight="1" x14ac:dyDescent="0.25">
      <c r="A18" s="926"/>
      <c r="B18" s="956"/>
      <c r="C18" s="977"/>
      <c r="D18" s="523"/>
      <c r="E18" s="1909"/>
      <c r="F18" s="1925"/>
      <c r="G18" s="1912"/>
      <c r="H18" s="165" t="s">
        <v>308</v>
      </c>
      <c r="I18" s="36">
        <v>5000</v>
      </c>
      <c r="J18" s="36">
        <v>5000</v>
      </c>
      <c r="K18" s="36"/>
      <c r="L18" s="1903"/>
      <c r="M18" s="946"/>
      <c r="N18" s="946"/>
      <c r="O18" s="940"/>
    </row>
    <row r="19" spans="1:16" ht="13.5" customHeight="1" x14ac:dyDescent="0.25">
      <c r="A19" s="926"/>
      <c r="B19" s="956"/>
      <c r="C19" s="977"/>
      <c r="D19" s="523"/>
      <c r="E19" s="1909"/>
      <c r="F19" s="1925"/>
      <c r="G19" s="1912"/>
      <c r="H19" s="517" t="s">
        <v>45</v>
      </c>
      <c r="I19" s="36">
        <f>495+47</f>
        <v>542</v>
      </c>
      <c r="J19" s="36"/>
      <c r="K19" s="36"/>
      <c r="L19" s="1903"/>
      <c r="M19" s="946"/>
      <c r="N19" s="946"/>
      <c r="O19" s="940"/>
    </row>
    <row r="20" spans="1:16" ht="13.5" customHeight="1" x14ac:dyDescent="0.25">
      <c r="A20" s="926"/>
      <c r="B20" s="956"/>
      <c r="C20" s="977"/>
      <c r="D20" s="523"/>
      <c r="E20" s="1909"/>
      <c r="F20" s="1925"/>
      <c r="G20" s="1912"/>
      <c r="H20" s="45" t="s">
        <v>157</v>
      </c>
      <c r="I20" s="36"/>
      <c r="J20" s="36">
        <v>3650</v>
      </c>
      <c r="K20" s="36">
        <v>12000</v>
      </c>
      <c r="L20" s="1904"/>
      <c r="M20" s="944"/>
      <c r="N20" s="946"/>
      <c r="O20" s="940"/>
    </row>
    <row r="21" spans="1:16" ht="27" customHeight="1" x14ac:dyDescent="0.25">
      <c r="A21" s="926"/>
      <c r="B21" s="956"/>
      <c r="C21" s="977"/>
      <c r="D21" s="523"/>
      <c r="E21" s="961" t="s">
        <v>248</v>
      </c>
      <c r="F21" s="521"/>
      <c r="G21" s="1912"/>
      <c r="H21" s="303" t="s">
        <v>23</v>
      </c>
      <c r="I21" s="41">
        <f>413.2+17.9</f>
        <v>431.1</v>
      </c>
      <c r="J21" s="41">
        <f>1100</f>
        <v>1100</v>
      </c>
      <c r="K21" s="41"/>
      <c r="L21" s="960" t="s">
        <v>302</v>
      </c>
      <c r="M21" s="222">
        <v>50</v>
      </c>
      <c r="N21" s="223">
        <v>100</v>
      </c>
      <c r="O21" s="115"/>
      <c r="P21" s="843"/>
    </row>
    <row r="22" spans="1:16" ht="27" customHeight="1" x14ac:dyDescent="0.25">
      <c r="A22" s="926"/>
      <c r="B22" s="956"/>
      <c r="C22" s="977"/>
      <c r="D22" s="523"/>
      <c r="E22" s="920"/>
      <c r="F22" s="521"/>
      <c r="G22" s="64"/>
      <c r="H22" s="85" t="s">
        <v>76</v>
      </c>
      <c r="I22" s="38">
        <f>500-413.2</f>
        <v>86.8</v>
      </c>
      <c r="J22" s="38"/>
      <c r="K22" s="38"/>
      <c r="L22" s="346" t="s">
        <v>236</v>
      </c>
      <c r="M22" s="270">
        <v>100</v>
      </c>
      <c r="N22" s="176"/>
      <c r="O22" s="277"/>
    </row>
    <row r="23" spans="1:16" ht="46.5" customHeight="1" x14ac:dyDescent="0.25">
      <c r="A23" s="926"/>
      <c r="B23" s="956"/>
      <c r="C23" s="977"/>
      <c r="D23" s="523"/>
      <c r="E23" s="962"/>
      <c r="F23" s="521"/>
      <c r="G23" s="64"/>
      <c r="H23" s="45" t="s">
        <v>157</v>
      </c>
      <c r="I23" s="36">
        <v>1000</v>
      </c>
      <c r="J23" s="831">
        <f>2700-700</f>
        <v>2000</v>
      </c>
      <c r="K23" s="218">
        <f>1000-1000</f>
        <v>0</v>
      </c>
      <c r="L23" s="989" t="s">
        <v>237</v>
      </c>
      <c r="M23" s="944"/>
      <c r="N23" s="946"/>
      <c r="O23" s="940"/>
    </row>
    <row r="24" spans="1:16" ht="15" customHeight="1" x14ac:dyDescent="0.25">
      <c r="A24" s="1586"/>
      <c r="B24" s="1591"/>
      <c r="C24" s="1935"/>
      <c r="D24" s="1927" t="s">
        <v>6</v>
      </c>
      <c r="E24" s="1913" t="s">
        <v>172</v>
      </c>
      <c r="F24" s="507" t="s">
        <v>246</v>
      </c>
      <c r="G24" s="1915" t="s">
        <v>280</v>
      </c>
      <c r="H24" s="970" t="s">
        <v>76</v>
      </c>
      <c r="I24" s="835">
        <f>950.9+100</f>
        <v>1050.9000000000001</v>
      </c>
      <c r="J24" s="528">
        <v>311.89999999999998</v>
      </c>
      <c r="K24" s="953"/>
      <c r="L24" s="1581"/>
      <c r="M24" s="943"/>
      <c r="N24" s="945"/>
      <c r="O24" s="939"/>
    </row>
    <row r="25" spans="1:16" ht="15" customHeight="1" x14ac:dyDescent="0.25">
      <c r="A25" s="1586"/>
      <c r="B25" s="1591"/>
      <c r="C25" s="1935"/>
      <c r="D25" s="1687"/>
      <c r="E25" s="1914"/>
      <c r="F25" s="512"/>
      <c r="G25" s="1916"/>
      <c r="H25" s="45" t="s">
        <v>23</v>
      </c>
      <c r="I25" s="37"/>
      <c r="J25" s="1216">
        <f>876.7-200</f>
        <v>676.7</v>
      </c>
      <c r="K25" s="37"/>
      <c r="L25" s="1582"/>
      <c r="M25" s="946"/>
      <c r="N25" s="946"/>
      <c r="O25" s="940"/>
    </row>
    <row r="26" spans="1:16" ht="15" customHeight="1" x14ac:dyDescent="0.25">
      <c r="A26" s="1586"/>
      <c r="B26" s="1591"/>
      <c r="C26" s="1935"/>
      <c r="D26" s="1687"/>
      <c r="E26" s="1914"/>
      <c r="F26" s="512"/>
      <c r="G26" s="1916"/>
      <c r="H26" s="45" t="s">
        <v>146</v>
      </c>
      <c r="I26" s="218">
        <f>1003.7+339.6</f>
        <v>1343.3</v>
      </c>
      <c r="J26" s="1217">
        <f>430.2-339.6</f>
        <v>90.6</v>
      </c>
      <c r="K26" s="36"/>
      <c r="L26" s="968"/>
      <c r="M26" s="946"/>
      <c r="N26" s="946"/>
      <c r="O26" s="940"/>
    </row>
    <row r="27" spans="1:16" ht="15" customHeight="1" x14ac:dyDescent="0.25">
      <c r="A27" s="1586"/>
      <c r="B27" s="1591"/>
      <c r="C27" s="1935"/>
      <c r="D27" s="1687"/>
      <c r="E27" s="990"/>
      <c r="F27" s="512"/>
      <c r="G27" s="1916"/>
      <c r="H27" s="516" t="s">
        <v>45</v>
      </c>
      <c r="I27" s="36">
        <v>500</v>
      </c>
      <c r="J27" s="529"/>
      <c r="K27" s="36"/>
      <c r="L27" s="968"/>
      <c r="M27" s="946"/>
      <c r="N27" s="946"/>
      <c r="O27" s="940"/>
    </row>
    <row r="28" spans="1:16" ht="15" customHeight="1" x14ac:dyDescent="0.25">
      <c r="A28" s="1586"/>
      <c r="B28" s="1591"/>
      <c r="C28" s="1935"/>
      <c r="D28" s="1687"/>
      <c r="E28" s="990"/>
      <c r="F28" s="512"/>
      <c r="G28" s="1916"/>
      <c r="H28" s="45" t="s">
        <v>42</v>
      </c>
      <c r="I28" s="36">
        <v>27.7</v>
      </c>
      <c r="J28" s="529">
        <v>74.2</v>
      </c>
      <c r="K28" s="36"/>
      <c r="L28" s="968"/>
      <c r="M28" s="946"/>
      <c r="N28" s="946"/>
      <c r="O28" s="940"/>
    </row>
    <row r="29" spans="1:16" ht="15" customHeight="1" x14ac:dyDescent="0.25">
      <c r="A29" s="1586"/>
      <c r="B29" s="1591"/>
      <c r="C29" s="1935"/>
      <c r="D29" s="1687"/>
      <c r="E29" s="990"/>
      <c r="F29" s="512"/>
      <c r="G29" s="1916"/>
      <c r="H29" s="45" t="s">
        <v>23</v>
      </c>
      <c r="I29" s="36">
        <v>400</v>
      </c>
      <c r="J29" s="529"/>
      <c r="K29" s="36"/>
      <c r="L29" s="968"/>
      <c r="M29" s="946"/>
      <c r="N29" s="946"/>
      <c r="O29" s="940"/>
    </row>
    <row r="30" spans="1:16" ht="15" customHeight="1" x14ac:dyDescent="0.25">
      <c r="A30" s="1586"/>
      <c r="B30" s="1591"/>
      <c r="C30" s="1935"/>
      <c r="D30" s="1687"/>
      <c r="E30" s="990"/>
      <c r="F30" s="512"/>
      <c r="G30" s="1916"/>
      <c r="H30" s="45" t="s">
        <v>53</v>
      </c>
      <c r="I30" s="218">
        <f>560.2+100</f>
        <v>660.2</v>
      </c>
      <c r="J30" s="36"/>
      <c r="K30" s="36"/>
      <c r="L30" s="968"/>
      <c r="M30" s="946"/>
      <c r="N30" s="946"/>
      <c r="O30" s="940"/>
    </row>
    <row r="31" spans="1:16" ht="25.5" customHeight="1" x14ac:dyDescent="0.25">
      <c r="A31" s="1586"/>
      <c r="B31" s="1591"/>
      <c r="C31" s="1935"/>
      <c r="D31" s="1687"/>
      <c r="E31" s="525" t="s">
        <v>106</v>
      </c>
      <c r="F31" s="526"/>
      <c r="G31" s="1916"/>
      <c r="H31" s="78"/>
      <c r="I31" s="34"/>
      <c r="J31" s="34"/>
      <c r="K31" s="34"/>
      <c r="L31" s="47" t="s">
        <v>122</v>
      </c>
      <c r="M31" s="96">
        <v>100</v>
      </c>
      <c r="N31" s="96"/>
      <c r="O31" s="18"/>
    </row>
    <row r="32" spans="1:16" ht="27" customHeight="1" x14ac:dyDescent="0.25">
      <c r="A32" s="1586"/>
      <c r="B32" s="1591"/>
      <c r="C32" s="1935"/>
      <c r="D32" s="1687"/>
      <c r="E32" s="524" t="s">
        <v>91</v>
      </c>
      <c r="F32" s="510"/>
      <c r="G32" s="145"/>
      <c r="H32" s="971"/>
      <c r="I32" s="954"/>
      <c r="J32" s="954"/>
      <c r="K32" s="954"/>
      <c r="L32" s="965" t="s">
        <v>123</v>
      </c>
      <c r="M32" s="1008">
        <v>75</v>
      </c>
      <c r="N32" s="29">
        <v>100</v>
      </c>
      <c r="O32" s="16"/>
    </row>
    <row r="33" spans="1:16" ht="18" customHeight="1" x14ac:dyDescent="0.25">
      <c r="A33" s="926"/>
      <c r="B33" s="956"/>
      <c r="C33" s="977"/>
      <c r="D33" s="978" t="s">
        <v>26</v>
      </c>
      <c r="E33" s="1543" t="s">
        <v>133</v>
      </c>
      <c r="F33" s="390"/>
      <c r="G33" s="1882" t="s">
        <v>279</v>
      </c>
      <c r="H33" s="45" t="s">
        <v>23</v>
      </c>
      <c r="I33" s="36">
        <v>99</v>
      </c>
      <c r="J33" s="218">
        <f>200.7-200.7</f>
        <v>0</v>
      </c>
      <c r="K33" s="36"/>
      <c r="L33" s="1629" t="s">
        <v>137</v>
      </c>
      <c r="M33" s="1219">
        <v>95</v>
      </c>
      <c r="N33" s="432">
        <v>100</v>
      </c>
      <c r="O33" s="284"/>
    </row>
    <row r="34" spans="1:16" ht="18" customHeight="1" x14ac:dyDescent="0.25">
      <c r="A34" s="926"/>
      <c r="B34" s="956"/>
      <c r="C34" s="977"/>
      <c r="D34" s="928"/>
      <c r="E34" s="1544"/>
      <c r="F34" s="390"/>
      <c r="G34" s="1885"/>
      <c r="H34" s="45" t="s">
        <v>53</v>
      </c>
      <c r="I34" s="218">
        <f>143.7+194.4</f>
        <v>338.1</v>
      </c>
      <c r="J34" s="36"/>
      <c r="K34" s="36"/>
      <c r="L34" s="1629"/>
      <c r="M34" s="530"/>
      <c r="N34" s="403"/>
      <c r="O34" s="531"/>
    </row>
    <row r="35" spans="1:16" ht="18" customHeight="1" x14ac:dyDescent="0.25">
      <c r="A35" s="926"/>
      <c r="B35" s="956"/>
      <c r="C35" s="977"/>
      <c r="D35" s="928"/>
      <c r="E35" s="1544"/>
      <c r="F35" s="390"/>
      <c r="G35" s="1885"/>
      <c r="H35" s="45" t="s">
        <v>75</v>
      </c>
      <c r="I35" s="36">
        <v>115.4</v>
      </c>
      <c r="J35" s="36"/>
      <c r="K35" s="36"/>
      <c r="L35" s="1629"/>
      <c r="M35" s="530"/>
      <c r="N35" s="403"/>
      <c r="O35" s="531"/>
    </row>
    <row r="36" spans="1:16" ht="19.5" customHeight="1" x14ac:dyDescent="0.25">
      <c r="A36" s="926"/>
      <c r="B36" s="956"/>
      <c r="C36" s="977"/>
      <c r="D36" s="980"/>
      <c r="E36" s="1583"/>
      <c r="F36" s="272"/>
      <c r="G36" s="1917"/>
      <c r="H36" s="971" t="s">
        <v>76</v>
      </c>
      <c r="I36" s="286">
        <f>928.8+369.9</f>
        <v>1298.7</v>
      </c>
      <c r="J36" s="286">
        <f>564.2-363.6</f>
        <v>200.6</v>
      </c>
      <c r="K36" s="954"/>
      <c r="L36" s="1896"/>
      <c r="M36" s="248"/>
      <c r="N36" s="95"/>
      <c r="O36" s="19"/>
    </row>
    <row r="37" spans="1:16" ht="15.75" customHeight="1" x14ac:dyDescent="0.25">
      <c r="A37" s="1586"/>
      <c r="B37" s="1587"/>
      <c r="C37" s="1935"/>
      <c r="D37" s="1927" t="s">
        <v>30</v>
      </c>
      <c r="E37" s="1913" t="s">
        <v>132</v>
      </c>
      <c r="F37" s="507" t="s">
        <v>246</v>
      </c>
      <c r="G37" s="1918"/>
      <c r="H37" s="970" t="s">
        <v>23</v>
      </c>
      <c r="I37" s="835">
        <f>47-25.8</f>
        <v>21.2</v>
      </c>
      <c r="J37" s="953"/>
      <c r="K37" s="953"/>
      <c r="L37" s="923" t="s">
        <v>115</v>
      </c>
      <c r="M37" s="254">
        <v>100</v>
      </c>
      <c r="N37" s="254"/>
      <c r="O37" s="210"/>
    </row>
    <row r="38" spans="1:16" ht="15" customHeight="1" x14ac:dyDescent="0.25">
      <c r="A38" s="1586"/>
      <c r="B38" s="1587"/>
      <c r="C38" s="1935"/>
      <c r="D38" s="1687"/>
      <c r="E38" s="1922"/>
      <c r="F38" s="512"/>
      <c r="G38" s="1918"/>
      <c r="H38" s="45" t="s">
        <v>76</v>
      </c>
      <c r="I38" s="218">
        <f>221+279.9</f>
        <v>500.9</v>
      </c>
      <c r="J38" s="36"/>
      <c r="K38" s="36"/>
      <c r="L38" s="923"/>
      <c r="M38" s="112"/>
      <c r="N38" s="112"/>
      <c r="O38" s="117"/>
    </row>
    <row r="39" spans="1:16" ht="15" customHeight="1" x14ac:dyDescent="0.25">
      <c r="A39" s="1586"/>
      <c r="B39" s="1587"/>
      <c r="C39" s="1935"/>
      <c r="D39" s="1687"/>
      <c r="E39" s="1922"/>
      <c r="F39" s="512"/>
      <c r="G39" s="1918"/>
      <c r="H39" s="516" t="s">
        <v>45</v>
      </c>
      <c r="I39" s="36"/>
      <c r="J39" s="36"/>
      <c r="K39" s="36"/>
      <c r="L39" s="923"/>
      <c r="M39" s="112"/>
      <c r="N39" s="112"/>
      <c r="O39" s="117"/>
    </row>
    <row r="40" spans="1:16" ht="15" customHeight="1" x14ac:dyDescent="0.25">
      <c r="A40" s="1586"/>
      <c r="B40" s="1587"/>
      <c r="C40" s="1935"/>
      <c r="D40" s="1687"/>
      <c r="E40" s="1922"/>
      <c r="F40" s="512"/>
      <c r="G40" s="1918"/>
      <c r="H40" s="45" t="s">
        <v>75</v>
      </c>
      <c r="I40" s="36"/>
      <c r="J40" s="36"/>
      <c r="K40" s="36"/>
      <c r="L40" s="923"/>
      <c r="M40" s="112"/>
      <c r="N40" s="112"/>
      <c r="O40" s="117"/>
    </row>
    <row r="41" spans="1:16" ht="16.5" customHeight="1" x14ac:dyDescent="0.25">
      <c r="A41" s="1586"/>
      <c r="B41" s="1587"/>
      <c r="C41" s="1935"/>
      <c r="D41" s="1928"/>
      <c r="E41" s="1923"/>
      <c r="F41" s="518"/>
      <c r="G41" s="1918"/>
      <c r="H41" s="71" t="s">
        <v>53</v>
      </c>
      <c r="I41" s="954">
        <f>165+207.3</f>
        <v>372.3</v>
      </c>
      <c r="J41" s="954"/>
      <c r="K41" s="954"/>
      <c r="L41" s="199"/>
      <c r="M41" s="255"/>
      <c r="N41" s="255"/>
      <c r="O41" s="148"/>
    </row>
    <row r="42" spans="1:16" ht="38.25" customHeight="1" x14ac:dyDescent="0.25">
      <c r="A42" s="934"/>
      <c r="B42" s="935"/>
      <c r="C42" s="1988" t="s">
        <v>210</v>
      </c>
      <c r="D42" s="978" t="s">
        <v>31</v>
      </c>
      <c r="E42" s="1906" t="s">
        <v>140</v>
      </c>
      <c r="F42" s="587" t="s">
        <v>246</v>
      </c>
      <c r="G42" s="1882" t="s">
        <v>280</v>
      </c>
      <c r="H42" s="970" t="s">
        <v>23</v>
      </c>
      <c r="I42" s="835">
        <f>10-7</f>
        <v>3</v>
      </c>
      <c r="J42" s="835">
        <f>235.8+7</f>
        <v>242.8</v>
      </c>
      <c r="K42" s="953">
        <v>235.8</v>
      </c>
      <c r="L42" s="756" t="s">
        <v>240</v>
      </c>
      <c r="M42" s="417" t="s">
        <v>49</v>
      </c>
      <c r="N42" s="957"/>
      <c r="O42" s="204"/>
    </row>
    <row r="43" spans="1:16" ht="26.25" customHeight="1" x14ac:dyDescent="0.25">
      <c r="A43" s="934"/>
      <c r="B43" s="935"/>
      <c r="C43" s="1989"/>
      <c r="D43" s="928"/>
      <c r="E43" s="1907"/>
      <c r="F43" s="1920" t="s">
        <v>258</v>
      </c>
      <c r="G43" s="1885"/>
      <c r="H43" s="45" t="s">
        <v>53</v>
      </c>
      <c r="I43" s="36">
        <v>59.2</v>
      </c>
      <c r="J43" s="36"/>
      <c r="K43" s="36"/>
      <c r="L43" s="492" t="s">
        <v>241</v>
      </c>
      <c r="M43" s="387" t="s">
        <v>49</v>
      </c>
      <c r="N43" s="474"/>
      <c r="O43" s="371"/>
    </row>
    <row r="44" spans="1:16" ht="28.5" customHeight="1" x14ac:dyDescent="0.25">
      <c r="A44" s="934"/>
      <c r="B44" s="762"/>
      <c r="C44" s="1989"/>
      <c r="D44" s="980"/>
      <c r="E44" s="1919"/>
      <c r="F44" s="1921"/>
      <c r="G44" s="1885"/>
      <c r="H44" s="85" t="s">
        <v>41</v>
      </c>
      <c r="I44" s="555">
        <f>40-40</f>
        <v>0</v>
      </c>
      <c r="J44" s="555">
        <f>1044.4+40</f>
        <v>1084.4000000000001</v>
      </c>
      <c r="K44" s="38">
        <v>1044.4000000000001</v>
      </c>
      <c r="L44" s="414" t="s">
        <v>155</v>
      </c>
      <c r="M44" s="307"/>
      <c r="N44" s="253" t="s">
        <v>205</v>
      </c>
      <c r="O44" s="226" t="s">
        <v>206</v>
      </c>
    </row>
    <row r="45" spans="1:16" ht="15" customHeight="1" x14ac:dyDescent="0.25">
      <c r="A45" s="926"/>
      <c r="B45" s="956"/>
      <c r="C45" s="1989"/>
      <c r="D45" s="928" t="s">
        <v>32</v>
      </c>
      <c r="E45" s="1907" t="s">
        <v>209</v>
      </c>
      <c r="F45" s="1929" t="s">
        <v>246</v>
      </c>
      <c r="G45" s="1885"/>
      <c r="H45" s="45" t="s">
        <v>23</v>
      </c>
      <c r="I45" s="36"/>
      <c r="J45" s="36">
        <v>432</v>
      </c>
      <c r="K45" s="36">
        <v>432</v>
      </c>
      <c r="L45" s="402" t="s">
        <v>103</v>
      </c>
      <c r="M45" s="536"/>
      <c r="N45" s="537" t="s">
        <v>205</v>
      </c>
      <c r="O45" s="527" t="s">
        <v>206</v>
      </c>
    </row>
    <row r="46" spans="1:16" ht="14.25" customHeight="1" x14ac:dyDescent="0.25">
      <c r="A46" s="926"/>
      <c r="B46" s="956"/>
      <c r="C46" s="1990"/>
      <c r="D46" s="980"/>
      <c r="E46" s="1907"/>
      <c r="F46" s="1930"/>
      <c r="G46" s="1883"/>
      <c r="H46" s="971" t="s">
        <v>41</v>
      </c>
      <c r="I46" s="954"/>
      <c r="J46" s="954">
        <v>250</v>
      </c>
      <c r="K46" s="954">
        <v>250</v>
      </c>
      <c r="L46" s="404"/>
      <c r="M46" s="400"/>
      <c r="N46" s="401"/>
      <c r="O46" s="437"/>
    </row>
    <row r="47" spans="1:16" ht="15" customHeight="1" x14ac:dyDescent="0.25">
      <c r="A47" s="1598"/>
      <c r="B47" s="1587"/>
      <c r="C47" s="1974" t="s">
        <v>260</v>
      </c>
      <c r="D47" s="1927" t="s">
        <v>33</v>
      </c>
      <c r="E47" s="1908" t="s">
        <v>52</v>
      </c>
      <c r="F47" s="507" t="s">
        <v>246</v>
      </c>
      <c r="G47" s="996"/>
      <c r="H47" s="970" t="s">
        <v>23</v>
      </c>
      <c r="I47" s="835">
        <f>182.4-17.9</f>
        <v>164.5</v>
      </c>
      <c r="J47" s="835">
        <f>2259.9+300-300+230.8</f>
        <v>2490.6999999999998</v>
      </c>
      <c r="K47" s="953">
        <v>300</v>
      </c>
      <c r="L47" s="1581" t="s">
        <v>104</v>
      </c>
      <c r="M47" s="997" t="s">
        <v>375</v>
      </c>
      <c r="N47" s="354">
        <v>90</v>
      </c>
      <c r="O47" s="351">
        <v>100</v>
      </c>
      <c r="P47" s="843"/>
    </row>
    <row r="48" spans="1:16" ht="17.25" customHeight="1" x14ac:dyDescent="0.25">
      <c r="A48" s="1598"/>
      <c r="B48" s="1587"/>
      <c r="C48" s="1975"/>
      <c r="D48" s="1687"/>
      <c r="E48" s="1909"/>
      <c r="F48" s="508"/>
      <c r="G48" s="998"/>
      <c r="H48" s="45" t="s">
        <v>23</v>
      </c>
      <c r="I48" s="36">
        <f>494.8-154.8</f>
        <v>340</v>
      </c>
      <c r="J48" s="36"/>
      <c r="K48" s="36"/>
      <c r="L48" s="1584"/>
      <c r="M48" s="249"/>
      <c r="N48" s="192"/>
      <c r="O48" s="160"/>
    </row>
    <row r="49" spans="1:15" ht="12" customHeight="1" x14ac:dyDescent="0.25">
      <c r="A49" s="1598"/>
      <c r="B49" s="1587"/>
      <c r="C49" s="1975"/>
      <c r="D49" s="1687"/>
      <c r="E49" s="1909"/>
      <c r="F49" s="511"/>
      <c r="G49" s="976"/>
      <c r="H49" s="45" t="s">
        <v>53</v>
      </c>
      <c r="I49" s="36">
        <v>46.8</v>
      </c>
      <c r="J49" s="36"/>
      <c r="K49" s="36"/>
      <c r="L49" s="1582"/>
      <c r="M49" s="249"/>
      <c r="N49" s="192"/>
      <c r="O49" s="160"/>
    </row>
    <row r="50" spans="1:15" ht="17.25" customHeight="1" x14ac:dyDescent="0.25">
      <c r="A50" s="1598"/>
      <c r="B50" s="1587"/>
      <c r="C50" s="1975"/>
      <c r="D50" s="1928"/>
      <c r="E50" s="1909"/>
      <c r="F50" s="511"/>
      <c r="G50" s="976"/>
      <c r="H50" s="971" t="s">
        <v>76</v>
      </c>
      <c r="I50" s="954">
        <v>200</v>
      </c>
      <c r="J50" s="954">
        <v>200</v>
      </c>
      <c r="K50" s="954"/>
      <c r="L50" s="134"/>
      <c r="M50" s="248"/>
      <c r="N50" s="95"/>
      <c r="O50" s="19"/>
    </row>
    <row r="51" spans="1:15" ht="14.25" customHeight="1" x14ac:dyDescent="0.25">
      <c r="A51" s="1598"/>
      <c r="B51" s="1587"/>
      <c r="C51" s="1975"/>
      <c r="D51" s="761" t="s">
        <v>125</v>
      </c>
      <c r="E51" s="1906" t="s">
        <v>131</v>
      </c>
      <c r="F51" s="546" t="s">
        <v>246</v>
      </c>
      <c r="G51" s="1885" t="s">
        <v>279</v>
      </c>
      <c r="H51" s="970" t="s">
        <v>76</v>
      </c>
      <c r="I51" s="835">
        <v>486.4</v>
      </c>
      <c r="J51" s="835">
        <f>213.6+400</f>
        <v>613.6</v>
      </c>
      <c r="K51" s="953">
        <v>400</v>
      </c>
      <c r="L51" s="1592" t="s">
        <v>120</v>
      </c>
      <c r="M51" s="325">
        <v>40</v>
      </c>
      <c r="N51" s="392">
        <v>100</v>
      </c>
      <c r="O51" s="326"/>
    </row>
    <row r="52" spans="1:15" ht="15.75" customHeight="1" x14ac:dyDescent="0.25">
      <c r="A52" s="1598"/>
      <c r="B52" s="1587"/>
      <c r="C52" s="1975"/>
      <c r="D52" s="761"/>
      <c r="E52" s="1907"/>
      <c r="F52" s="588"/>
      <c r="G52" s="1885"/>
      <c r="H52" s="45" t="s">
        <v>23</v>
      </c>
      <c r="I52" s="36"/>
      <c r="J52" s="218">
        <f>700-300</f>
        <v>400</v>
      </c>
      <c r="K52" s="36">
        <v>1000</v>
      </c>
      <c r="L52" s="1897"/>
      <c r="M52" s="246"/>
      <c r="N52" s="355"/>
      <c r="O52" s="301"/>
    </row>
    <row r="53" spans="1:15" ht="51" customHeight="1" x14ac:dyDescent="0.25">
      <c r="A53" s="1598"/>
      <c r="B53" s="1587"/>
      <c r="C53" s="1975"/>
      <c r="D53" s="987"/>
      <c r="E53" s="992"/>
      <c r="F53" s="846"/>
      <c r="G53" s="1885"/>
      <c r="H53" s="27" t="s">
        <v>75</v>
      </c>
      <c r="I53" s="954">
        <v>300</v>
      </c>
      <c r="J53" s="954"/>
      <c r="K53" s="954"/>
      <c r="L53" s="409" t="s">
        <v>121</v>
      </c>
      <c r="M53" s="376"/>
      <c r="N53" s="376"/>
      <c r="O53" s="377" t="s">
        <v>154</v>
      </c>
    </row>
    <row r="54" spans="1:15" ht="15" customHeight="1" x14ac:dyDescent="0.25">
      <c r="A54" s="926"/>
      <c r="B54" s="956"/>
      <c r="C54" s="198"/>
      <c r="D54" s="1687" t="s">
        <v>259</v>
      </c>
      <c r="E54" s="1922" t="s">
        <v>234</v>
      </c>
      <c r="F54" s="508" t="s">
        <v>246</v>
      </c>
      <c r="G54" s="1942"/>
      <c r="H54" s="45" t="s">
        <v>76</v>
      </c>
      <c r="I54" s="218">
        <f>332.8+50</f>
        <v>382.8</v>
      </c>
      <c r="J54" s="36">
        <v>113.5</v>
      </c>
      <c r="K54" s="36"/>
      <c r="L54" s="923" t="s">
        <v>43</v>
      </c>
      <c r="M54" s="352"/>
      <c r="N54" s="945"/>
      <c r="O54" s="939"/>
    </row>
    <row r="55" spans="1:15" ht="13.5" customHeight="1" x14ac:dyDescent="0.25">
      <c r="A55" s="926"/>
      <c r="B55" s="956"/>
      <c r="C55" s="198"/>
      <c r="D55" s="1687"/>
      <c r="E55" s="1922"/>
      <c r="F55" s="509"/>
      <c r="G55" s="1898"/>
      <c r="H55" s="45" t="s">
        <v>53</v>
      </c>
      <c r="I55" s="36"/>
      <c r="J55" s="36"/>
      <c r="K55" s="36"/>
      <c r="L55" s="923" t="s">
        <v>103</v>
      </c>
      <c r="M55" s="751">
        <v>90</v>
      </c>
      <c r="N55" s="946">
        <v>10</v>
      </c>
      <c r="O55" s="940"/>
    </row>
    <row r="56" spans="1:15" ht="12.75" customHeight="1" x14ac:dyDescent="0.25">
      <c r="A56" s="926"/>
      <c r="B56" s="956"/>
      <c r="C56" s="198"/>
      <c r="D56" s="1687"/>
      <c r="E56" s="1922"/>
      <c r="F56" s="509"/>
      <c r="G56" s="1898"/>
      <c r="H56" s="45" t="s">
        <v>23</v>
      </c>
      <c r="I56" s="36">
        <v>241.1</v>
      </c>
      <c r="J56" s="218">
        <f>429-406.3</f>
        <v>22.7</v>
      </c>
      <c r="K56" s="36"/>
      <c r="L56" s="923"/>
      <c r="M56" s="751"/>
      <c r="N56" s="946"/>
      <c r="O56" s="940"/>
    </row>
    <row r="57" spans="1:15" ht="12.75" customHeight="1" x14ac:dyDescent="0.25">
      <c r="A57" s="926"/>
      <c r="B57" s="956"/>
      <c r="C57" s="198"/>
      <c r="D57" s="1687"/>
      <c r="E57" s="1922"/>
      <c r="F57" s="509"/>
      <c r="G57" s="1898"/>
      <c r="H57" s="228" t="s">
        <v>146</v>
      </c>
      <c r="I57" s="218">
        <f>251.6+1207.7</f>
        <v>1459.3</v>
      </c>
      <c r="J57" s="218">
        <f>912.9-867</f>
        <v>45.9</v>
      </c>
      <c r="K57" s="36"/>
      <c r="L57" s="923"/>
      <c r="M57" s="751"/>
      <c r="N57" s="946"/>
      <c r="O57" s="940"/>
    </row>
    <row r="58" spans="1:15" ht="12.75" customHeight="1" x14ac:dyDescent="0.25">
      <c r="A58" s="926"/>
      <c r="B58" s="956"/>
      <c r="C58" s="198"/>
      <c r="D58" s="1687"/>
      <c r="E58" s="1922"/>
      <c r="F58" s="509"/>
      <c r="G58" s="1898"/>
      <c r="H58" s="45" t="s">
        <v>45</v>
      </c>
      <c r="I58" s="36">
        <v>500</v>
      </c>
      <c r="J58" s="36"/>
      <c r="K58" s="36"/>
      <c r="L58" s="923"/>
      <c r="M58" s="751"/>
      <c r="N58" s="946"/>
      <c r="O58" s="940"/>
    </row>
    <row r="59" spans="1:15" ht="15.75" customHeight="1" x14ac:dyDescent="0.25">
      <c r="A59" s="926"/>
      <c r="B59" s="956"/>
      <c r="C59" s="564"/>
      <c r="D59" s="1928"/>
      <c r="E59" s="1941"/>
      <c r="F59" s="510"/>
      <c r="G59" s="1943"/>
      <c r="H59" s="71" t="s">
        <v>42</v>
      </c>
      <c r="I59" s="954"/>
      <c r="J59" s="954">
        <v>40</v>
      </c>
      <c r="K59" s="954"/>
      <c r="L59" s="922"/>
      <c r="M59" s="149"/>
      <c r="N59" s="29"/>
      <c r="O59" s="16"/>
    </row>
    <row r="60" spans="1:15" ht="15" customHeight="1" x14ac:dyDescent="0.25">
      <c r="A60" s="926"/>
      <c r="B60" s="927"/>
      <c r="C60" s="183"/>
      <c r="D60" s="928" t="s">
        <v>124</v>
      </c>
      <c r="E60" s="1544" t="s">
        <v>233</v>
      </c>
      <c r="F60" s="1910"/>
      <c r="G60" s="1885"/>
      <c r="H60" s="45" t="s">
        <v>23</v>
      </c>
      <c r="I60" s="36"/>
      <c r="J60" s="36">
        <v>52</v>
      </c>
      <c r="K60" s="36"/>
      <c r="L60" s="1584" t="s">
        <v>201</v>
      </c>
      <c r="M60" s="232"/>
      <c r="N60" s="393">
        <v>1</v>
      </c>
      <c r="O60" s="160"/>
    </row>
    <row r="61" spans="1:15" ht="14.25" customHeight="1" x14ac:dyDescent="0.25">
      <c r="A61" s="926"/>
      <c r="B61" s="927"/>
      <c r="C61" s="183"/>
      <c r="D61" s="928"/>
      <c r="E61" s="1544"/>
      <c r="F61" s="1911"/>
      <c r="G61" s="1885"/>
      <c r="H61" s="45" t="s">
        <v>53</v>
      </c>
      <c r="I61" s="36"/>
      <c r="J61" s="36"/>
      <c r="K61" s="36"/>
      <c r="L61" s="1905"/>
      <c r="M61" s="232"/>
      <c r="N61" s="232"/>
      <c r="O61" s="160"/>
    </row>
    <row r="62" spans="1:15" ht="12" customHeight="1" x14ac:dyDescent="0.25">
      <c r="A62" s="926"/>
      <c r="B62" s="956"/>
      <c r="C62" s="977"/>
      <c r="D62" s="980"/>
      <c r="E62" s="963"/>
      <c r="F62" s="985"/>
      <c r="G62" s="976"/>
      <c r="H62" s="28"/>
      <c r="I62" s="36"/>
      <c r="J62" s="36"/>
      <c r="K62" s="36"/>
      <c r="L62" s="922"/>
      <c r="M62" s="149"/>
      <c r="N62" s="29"/>
      <c r="O62" s="16"/>
    </row>
    <row r="63" spans="1:15" ht="14.25" customHeight="1" x14ac:dyDescent="0.25">
      <c r="A63" s="926"/>
      <c r="B63" s="956"/>
      <c r="C63" s="977"/>
      <c r="D63" s="928" t="s">
        <v>268</v>
      </c>
      <c r="E63" s="1922" t="s">
        <v>208</v>
      </c>
      <c r="F63" s="508" t="s">
        <v>246</v>
      </c>
      <c r="G63" s="1885" t="s">
        <v>279</v>
      </c>
      <c r="H63" s="970" t="s">
        <v>53</v>
      </c>
      <c r="I63" s="332">
        <v>17</v>
      </c>
      <c r="J63" s="953"/>
      <c r="K63" s="953"/>
      <c r="L63" s="582" t="s">
        <v>71</v>
      </c>
      <c r="M63" s="408">
        <v>1</v>
      </c>
      <c r="N63" s="946"/>
      <c r="O63" s="940"/>
    </row>
    <row r="64" spans="1:15" ht="14.25" customHeight="1" x14ac:dyDescent="0.25">
      <c r="A64" s="926"/>
      <c r="B64" s="956"/>
      <c r="C64" s="977"/>
      <c r="D64" s="928"/>
      <c r="E64" s="1922"/>
      <c r="F64" s="509"/>
      <c r="G64" s="1885"/>
      <c r="H64" s="165" t="s">
        <v>23</v>
      </c>
      <c r="I64" s="36">
        <v>53.6</v>
      </c>
      <c r="J64" s="36">
        <v>50.6</v>
      </c>
      <c r="K64" s="36">
        <v>53.8</v>
      </c>
      <c r="L64" s="923" t="s">
        <v>243</v>
      </c>
      <c r="M64" s="751">
        <v>20</v>
      </c>
      <c r="N64" s="946">
        <v>60</v>
      </c>
      <c r="O64" s="940">
        <v>100</v>
      </c>
    </row>
    <row r="65" spans="1:16" ht="14.25" customHeight="1" x14ac:dyDescent="0.25">
      <c r="A65" s="926"/>
      <c r="B65" s="956"/>
      <c r="C65" s="977"/>
      <c r="D65" s="980"/>
      <c r="E65" s="1922"/>
      <c r="F65" s="509"/>
      <c r="G65" s="1885"/>
      <c r="H65" s="71" t="s">
        <v>76</v>
      </c>
      <c r="I65" s="954">
        <v>45</v>
      </c>
      <c r="J65" s="954">
        <v>100</v>
      </c>
      <c r="K65" s="954">
        <v>100</v>
      </c>
      <c r="L65" s="14"/>
      <c r="M65" s="149"/>
      <c r="N65" s="29"/>
      <c r="O65" s="16"/>
      <c r="P65" s="843"/>
    </row>
    <row r="66" spans="1:16" ht="28.5" customHeight="1" x14ac:dyDescent="0.25">
      <c r="A66" s="966"/>
      <c r="B66" s="927"/>
      <c r="C66" s="184"/>
      <c r="D66" s="1687" t="s">
        <v>269</v>
      </c>
      <c r="E66" s="1602" t="s">
        <v>328</v>
      </c>
      <c r="F66" s="478"/>
      <c r="G66" s="1885"/>
      <c r="H66" s="970" t="s">
        <v>23</v>
      </c>
      <c r="I66" s="953">
        <v>174.6</v>
      </c>
      <c r="J66" s="953">
        <v>105.9</v>
      </c>
      <c r="K66" s="953"/>
      <c r="L66" s="130" t="s">
        <v>245</v>
      </c>
      <c r="M66" s="154">
        <v>70</v>
      </c>
      <c r="N66" s="259">
        <v>100</v>
      </c>
      <c r="O66" s="155"/>
    </row>
    <row r="67" spans="1:16" ht="29.25" customHeight="1" x14ac:dyDescent="0.25">
      <c r="A67" s="966"/>
      <c r="B67" s="927"/>
      <c r="C67" s="184"/>
      <c r="D67" s="1687"/>
      <c r="E67" s="1603"/>
      <c r="F67" s="133"/>
      <c r="G67" s="1885"/>
      <c r="H67" s="85" t="s">
        <v>42</v>
      </c>
      <c r="I67" s="38">
        <v>72.5</v>
      </c>
      <c r="J67" s="38"/>
      <c r="K67" s="38"/>
      <c r="L67" s="969" t="s">
        <v>244</v>
      </c>
      <c r="M67" s="152">
        <v>70</v>
      </c>
      <c r="N67" s="96">
        <v>100</v>
      </c>
      <c r="O67" s="18"/>
    </row>
    <row r="68" spans="1:16" ht="15.75" customHeight="1" x14ac:dyDescent="0.25">
      <c r="A68" s="966"/>
      <c r="B68" s="927"/>
      <c r="C68" s="184"/>
      <c r="D68" s="928"/>
      <c r="E68" s="936"/>
      <c r="F68" s="133"/>
      <c r="G68" s="976"/>
      <c r="H68" s="45" t="s">
        <v>23</v>
      </c>
      <c r="I68" s="36"/>
      <c r="J68" s="36"/>
      <c r="K68" s="36">
        <v>160</v>
      </c>
      <c r="L68" s="1584" t="s">
        <v>287</v>
      </c>
      <c r="M68" s="328"/>
      <c r="N68" s="223"/>
      <c r="O68" s="115">
        <v>50</v>
      </c>
    </row>
    <row r="69" spans="1:16" ht="15" customHeight="1" x14ac:dyDescent="0.25">
      <c r="A69" s="966"/>
      <c r="B69" s="927"/>
      <c r="C69" s="184"/>
      <c r="D69" s="980"/>
      <c r="E69" s="933"/>
      <c r="F69" s="133"/>
      <c r="G69" s="472"/>
      <c r="H69" s="971" t="s">
        <v>42</v>
      </c>
      <c r="I69" s="954"/>
      <c r="J69" s="954"/>
      <c r="K69" s="954">
        <v>60</v>
      </c>
      <c r="L69" s="1893"/>
      <c r="M69" s="149"/>
      <c r="N69" s="29"/>
      <c r="O69" s="16"/>
    </row>
    <row r="70" spans="1:16" ht="16.5" customHeight="1" x14ac:dyDescent="0.25">
      <c r="A70" s="926"/>
      <c r="B70" s="956"/>
      <c r="C70" s="977"/>
      <c r="D70" s="978" t="s">
        <v>270</v>
      </c>
      <c r="E70" s="1589" t="s">
        <v>145</v>
      </c>
      <c r="F70" s="59"/>
      <c r="G70" s="991"/>
      <c r="H70" s="45" t="s">
        <v>23</v>
      </c>
      <c r="I70" s="218">
        <v>35</v>
      </c>
      <c r="J70" s="36"/>
      <c r="K70" s="36"/>
      <c r="L70" s="490" t="s">
        <v>43</v>
      </c>
      <c r="M70" s="810">
        <v>1</v>
      </c>
      <c r="N70" s="569"/>
      <c r="O70" s="802"/>
    </row>
    <row r="71" spans="1:16" ht="25.5" customHeight="1" x14ac:dyDescent="0.25">
      <c r="A71" s="926"/>
      <c r="B71" s="956"/>
      <c r="C71" s="977"/>
      <c r="D71" s="980"/>
      <c r="E71" s="1605"/>
      <c r="F71" s="230"/>
      <c r="G71" s="991"/>
      <c r="H71" s="971" t="s">
        <v>76</v>
      </c>
      <c r="I71" s="954"/>
      <c r="J71" s="954"/>
      <c r="K71" s="954">
        <v>100</v>
      </c>
      <c r="L71" s="965" t="s">
        <v>351</v>
      </c>
      <c r="M71" s="798"/>
      <c r="N71" s="95"/>
      <c r="O71" s="19">
        <v>10</v>
      </c>
    </row>
    <row r="72" spans="1:16" ht="17.25" customHeight="1" x14ac:dyDescent="0.25">
      <c r="A72" s="926"/>
      <c r="B72" s="956"/>
      <c r="C72" s="977"/>
      <c r="D72" s="928" t="s">
        <v>271</v>
      </c>
      <c r="E72" s="1589" t="s">
        <v>329</v>
      </c>
      <c r="F72" s="1936"/>
      <c r="G72" s="1885" t="s">
        <v>279</v>
      </c>
      <c r="H72" s="970" t="s">
        <v>23</v>
      </c>
      <c r="I72" s="332">
        <v>25</v>
      </c>
      <c r="J72" s="953">
        <v>125</v>
      </c>
      <c r="K72" s="332"/>
      <c r="L72" s="973" t="s">
        <v>71</v>
      </c>
      <c r="M72" s="408">
        <v>1</v>
      </c>
      <c r="N72" s="946"/>
      <c r="O72" s="940"/>
    </row>
    <row r="73" spans="1:16" ht="17.25" customHeight="1" x14ac:dyDescent="0.25">
      <c r="A73" s="926"/>
      <c r="B73" s="956"/>
      <c r="C73" s="977"/>
      <c r="D73" s="980"/>
      <c r="E73" s="1590"/>
      <c r="F73" s="1937"/>
      <c r="G73" s="1885"/>
      <c r="H73" s="282"/>
      <c r="I73" s="954"/>
      <c r="J73" s="954"/>
      <c r="K73" s="954"/>
      <c r="L73" s="922" t="s">
        <v>274</v>
      </c>
      <c r="M73" s="149"/>
      <c r="N73" s="29">
        <v>100</v>
      </c>
      <c r="O73" s="16"/>
    </row>
    <row r="74" spans="1:16" ht="24" customHeight="1" x14ac:dyDescent="0.25">
      <c r="A74" s="1586"/>
      <c r="B74" s="1587"/>
      <c r="C74" s="552"/>
      <c r="D74" s="1927" t="s">
        <v>309</v>
      </c>
      <c r="E74" s="1617" t="s">
        <v>276</v>
      </c>
      <c r="F74" s="1730" t="s">
        <v>82</v>
      </c>
      <c r="G74" s="1885"/>
      <c r="H74" s="147" t="s">
        <v>75</v>
      </c>
      <c r="I74" s="953">
        <v>328.7</v>
      </c>
      <c r="J74" s="953"/>
      <c r="K74" s="953"/>
      <c r="L74" s="551" t="s">
        <v>150</v>
      </c>
      <c r="M74" s="957" t="s">
        <v>49</v>
      </c>
      <c r="N74" s="957"/>
      <c r="O74" s="204"/>
    </row>
    <row r="75" spans="1:16" ht="15.75" customHeight="1" x14ac:dyDescent="0.25">
      <c r="A75" s="1586"/>
      <c r="B75" s="1587"/>
      <c r="C75" s="552"/>
      <c r="D75" s="1928"/>
      <c r="E75" s="1618"/>
      <c r="F75" s="1954"/>
      <c r="G75" s="1885"/>
      <c r="H75" s="27"/>
      <c r="I75" s="954"/>
      <c r="J75" s="954"/>
      <c r="K75" s="954"/>
      <c r="L75" s="965"/>
      <c r="M75" s="958"/>
      <c r="N75" s="958"/>
      <c r="O75" s="207"/>
    </row>
    <row r="76" spans="1:16" ht="21.75" customHeight="1" x14ac:dyDescent="0.25">
      <c r="A76" s="926"/>
      <c r="B76" s="956"/>
      <c r="C76" s="198"/>
      <c r="D76" s="978" t="s">
        <v>310</v>
      </c>
      <c r="E76" s="1544" t="s">
        <v>170</v>
      </c>
      <c r="F76" s="1956" t="s">
        <v>152</v>
      </c>
      <c r="G76" s="327"/>
      <c r="H76" s="165" t="s">
        <v>53</v>
      </c>
      <c r="I76" s="36">
        <v>1.6</v>
      </c>
      <c r="J76" s="135"/>
      <c r="K76" s="135"/>
      <c r="L76" s="1629" t="s">
        <v>43</v>
      </c>
      <c r="M76" s="751">
        <v>1</v>
      </c>
      <c r="N76" s="946"/>
      <c r="O76" s="940"/>
      <c r="P76" s="1894"/>
    </row>
    <row r="77" spans="1:16" ht="17.25" customHeight="1" x14ac:dyDescent="0.25">
      <c r="A77" s="926"/>
      <c r="B77" s="956"/>
      <c r="C77" s="198"/>
      <c r="D77" s="980"/>
      <c r="E77" s="1613"/>
      <c r="F77" s="1937"/>
      <c r="G77" s="986"/>
      <c r="H77" s="71" t="s">
        <v>23</v>
      </c>
      <c r="I77" s="954"/>
      <c r="J77" s="396"/>
      <c r="K77" s="396"/>
      <c r="L77" s="1896"/>
      <c r="M77" s="149"/>
      <c r="N77" s="29"/>
      <c r="O77" s="16"/>
      <c r="P77" s="1895"/>
    </row>
    <row r="78" spans="1:16" ht="40.5" customHeight="1" x14ac:dyDescent="0.25">
      <c r="A78" s="1586"/>
      <c r="B78" s="1591"/>
      <c r="C78" s="1935"/>
      <c r="D78" s="978" t="s">
        <v>311</v>
      </c>
      <c r="E78" s="1543" t="s">
        <v>156</v>
      </c>
      <c r="F78" s="1951"/>
      <c r="G78" s="554" t="s">
        <v>278</v>
      </c>
      <c r="H78" s="488"/>
      <c r="I78" s="215"/>
      <c r="J78" s="215"/>
      <c r="K78" s="215"/>
      <c r="L78" s="952" t="s">
        <v>238</v>
      </c>
      <c r="M78" s="487">
        <v>1</v>
      </c>
      <c r="N78" s="945"/>
      <c r="O78" s="939"/>
    </row>
    <row r="79" spans="1:16" ht="19.5" customHeight="1" x14ac:dyDescent="0.25">
      <c r="A79" s="1586"/>
      <c r="B79" s="1591"/>
      <c r="C79" s="1935"/>
      <c r="D79" s="572"/>
      <c r="E79" s="1544"/>
      <c r="F79" s="1899"/>
      <c r="G79" s="1944" t="s">
        <v>277</v>
      </c>
      <c r="H79" s="28" t="s">
        <v>23</v>
      </c>
      <c r="I79" s="36"/>
      <c r="J79" s="36">
        <v>13.3</v>
      </c>
      <c r="K79" s="36">
        <v>3.2</v>
      </c>
      <c r="L79" s="547" t="s">
        <v>43</v>
      </c>
      <c r="M79" s="152"/>
      <c r="N79" s="96">
        <v>1</v>
      </c>
      <c r="O79" s="18"/>
    </row>
    <row r="80" spans="1:16" ht="21" customHeight="1" x14ac:dyDescent="0.25">
      <c r="A80" s="1586"/>
      <c r="B80" s="1591"/>
      <c r="C80" s="1935"/>
      <c r="D80" s="572"/>
      <c r="E80" s="1544"/>
      <c r="F80" s="1899"/>
      <c r="G80" s="1885"/>
      <c r="H80" s="45" t="s">
        <v>41</v>
      </c>
      <c r="I80" s="36"/>
      <c r="J80" s="36"/>
      <c r="K80" s="36">
        <v>45.2</v>
      </c>
      <c r="L80" s="1624" t="s">
        <v>100</v>
      </c>
      <c r="M80" s="751"/>
      <c r="N80" s="946"/>
      <c r="O80" s="940">
        <v>50</v>
      </c>
    </row>
    <row r="81" spans="1:16" ht="18.75" customHeight="1" x14ac:dyDescent="0.25">
      <c r="A81" s="1586"/>
      <c r="B81" s="1591"/>
      <c r="C81" s="1935"/>
      <c r="D81" s="573"/>
      <c r="E81" s="1613"/>
      <c r="F81" s="1955"/>
      <c r="G81" s="1883"/>
      <c r="H81" s="71" t="s">
        <v>157</v>
      </c>
      <c r="I81" s="954"/>
      <c r="J81" s="954"/>
      <c r="K81" s="954">
        <v>15.1</v>
      </c>
      <c r="L81" s="1625"/>
      <c r="M81" s="149"/>
      <c r="N81" s="29"/>
      <c r="O81" s="16"/>
    </row>
    <row r="82" spans="1:16" ht="23.25" customHeight="1" x14ac:dyDescent="0.25">
      <c r="A82" s="966"/>
      <c r="B82" s="935"/>
      <c r="C82" s="184"/>
      <c r="D82" s="928" t="s">
        <v>204</v>
      </c>
      <c r="E82" s="1596" t="s">
        <v>97</v>
      </c>
      <c r="F82" s="1899" t="s">
        <v>44</v>
      </c>
      <c r="G82" s="1901" t="s">
        <v>279</v>
      </c>
      <c r="H82" s="45" t="s">
        <v>53</v>
      </c>
      <c r="I82" s="953">
        <v>10.7</v>
      </c>
      <c r="J82" s="953"/>
      <c r="K82" s="953"/>
      <c r="L82" s="921" t="s">
        <v>300</v>
      </c>
      <c r="M82" s="945">
        <v>1</v>
      </c>
      <c r="N82" s="489"/>
      <c r="O82" s="576"/>
      <c r="P82" s="563"/>
    </row>
    <row r="83" spans="1:16" ht="12" customHeight="1" x14ac:dyDescent="0.25">
      <c r="A83" s="966"/>
      <c r="B83" s="927"/>
      <c r="C83" s="184"/>
      <c r="D83" s="572"/>
      <c r="E83" s="1596"/>
      <c r="F83" s="1899"/>
      <c r="G83" s="1902"/>
      <c r="H83" s="45"/>
      <c r="I83" s="954"/>
      <c r="J83" s="954"/>
      <c r="K83" s="954"/>
      <c r="L83" s="922"/>
      <c r="M83" s="29"/>
      <c r="N83" s="639"/>
      <c r="O83" s="577"/>
    </row>
    <row r="84" spans="1:16" ht="17.25" customHeight="1" x14ac:dyDescent="0.25">
      <c r="A84" s="926"/>
      <c r="B84" s="927"/>
      <c r="C84" s="184"/>
      <c r="D84" s="638" t="s">
        <v>312</v>
      </c>
      <c r="E84" s="1574" t="s">
        <v>135</v>
      </c>
      <c r="F84" s="391" t="s">
        <v>152</v>
      </c>
      <c r="G84" s="1902"/>
      <c r="H84" s="970" t="s">
        <v>42</v>
      </c>
      <c r="I84" s="36">
        <v>4.9000000000000004</v>
      </c>
      <c r="J84" s="99"/>
      <c r="K84" s="99"/>
      <c r="L84" s="923" t="s">
        <v>43</v>
      </c>
      <c r="M84" s="946">
        <v>1</v>
      </c>
      <c r="N84" s="946"/>
      <c r="O84" s="940"/>
    </row>
    <row r="85" spans="1:16" ht="18" customHeight="1" x14ac:dyDescent="0.25">
      <c r="A85" s="926"/>
      <c r="B85" s="927"/>
      <c r="C85" s="183"/>
      <c r="D85" s="573"/>
      <c r="E85" s="1576"/>
      <c r="F85" s="302"/>
      <c r="G85" s="1902"/>
      <c r="H85" s="971"/>
      <c r="I85" s="31"/>
      <c r="J85" s="31"/>
      <c r="K85" s="31"/>
      <c r="L85" s="118"/>
      <c r="M85" s="29"/>
      <c r="N85" s="29"/>
      <c r="O85" s="16"/>
    </row>
    <row r="86" spans="1:16" ht="54" customHeight="1" x14ac:dyDescent="0.25">
      <c r="A86" s="966"/>
      <c r="B86" s="927"/>
      <c r="C86" s="184"/>
      <c r="D86" s="632" t="s">
        <v>313</v>
      </c>
      <c r="E86" s="637" t="s">
        <v>303</v>
      </c>
      <c r="F86" s="633"/>
      <c r="G86" s="1882" t="s">
        <v>279</v>
      </c>
      <c r="H86" s="244" t="s">
        <v>23</v>
      </c>
      <c r="I86" s="634"/>
      <c r="J86" s="634">
        <v>125</v>
      </c>
      <c r="K86" s="634"/>
      <c r="L86" s="243" t="s">
        <v>334</v>
      </c>
      <c r="M86" s="635"/>
      <c r="N86" s="418">
        <v>100</v>
      </c>
      <c r="O86" s="636"/>
    </row>
    <row r="87" spans="1:16" ht="13.5" customHeight="1" x14ac:dyDescent="0.25">
      <c r="A87" s="926"/>
      <c r="B87" s="956"/>
      <c r="C87" s="183"/>
      <c r="D87" s="928" t="s">
        <v>314</v>
      </c>
      <c r="E87" s="1575" t="s">
        <v>203</v>
      </c>
      <c r="F87" s="948"/>
      <c r="G87" s="1885"/>
      <c r="H87" s="45" t="s">
        <v>23</v>
      </c>
      <c r="I87" s="36">
        <v>28</v>
      </c>
      <c r="J87" s="36">
        <v>28</v>
      </c>
      <c r="K87" s="36">
        <v>28</v>
      </c>
      <c r="L87" s="1581" t="s">
        <v>98</v>
      </c>
      <c r="M87" s="352">
        <v>100</v>
      </c>
      <c r="N87" s="945">
        <v>100</v>
      </c>
      <c r="O87" s="939">
        <v>100</v>
      </c>
    </row>
    <row r="88" spans="1:16" ht="16.5" customHeight="1" x14ac:dyDescent="0.25">
      <c r="A88" s="926"/>
      <c r="B88" s="956"/>
      <c r="C88" s="183"/>
      <c r="D88" s="928"/>
      <c r="E88" s="1603"/>
      <c r="F88" s="948"/>
      <c r="G88" s="1885"/>
      <c r="H88" s="45"/>
      <c r="I88" s="36"/>
      <c r="J88" s="36"/>
      <c r="K88" s="36"/>
      <c r="L88" s="1584"/>
      <c r="M88" s="751"/>
      <c r="N88" s="946"/>
      <c r="O88" s="940"/>
    </row>
    <row r="89" spans="1:16" s="6" customFormat="1" ht="27" customHeight="1" x14ac:dyDescent="0.25">
      <c r="A89" s="926"/>
      <c r="B89" s="956"/>
      <c r="C89" s="977"/>
      <c r="D89" s="980"/>
      <c r="E89" s="1623"/>
      <c r="F89" s="575"/>
      <c r="G89" s="1885"/>
      <c r="H89" s="283"/>
      <c r="I89" s="169"/>
      <c r="J89" s="169"/>
      <c r="K89" s="169"/>
      <c r="L89" s="1630"/>
      <c r="M89" s="412"/>
      <c r="N89" s="500"/>
      <c r="O89" s="413"/>
    </row>
    <row r="90" spans="1:16" ht="15.75" customHeight="1" x14ac:dyDescent="0.25">
      <c r="A90" s="926"/>
      <c r="B90" s="927"/>
      <c r="C90" s="184"/>
      <c r="D90" s="493" t="s">
        <v>315</v>
      </c>
      <c r="E90" s="578" t="s">
        <v>288</v>
      </c>
      <c r="F90" s="494"/>
      <c r="G90" s="495"/>
      <c r="H90" s="496"/>
      <c r="I90" s="496"/>
      <c r="J90" s="496"/>
      <c r="K90" s="496"/>
      <c r="L90" s="497"/>
      <c r="M90" s="498"/>
      <c r="N90" s="386"/>
      <c r="O90" s="499"/>
    </row>
    <row r="91" spans="1:16" ht="26.25" customHeight="1" x14ac:dyDescent="0.25">
      <c r="A91" s="926"/>
      <c r="B91" s="927"/>
      <c r="C91" s="184"/>
      <c r="D91" s="111" t="s">
        <v>49</v>
      </c>
      <c r="E91" s="347" t="s">
        <v>331</v>
      </c>
      <c r="F91" s="948"/>
      <c r="G91" s="976"/>
      <c r="H91" s="36" t="s">
        <v>76</v>
      </c>
      <c r="I91" s="36">
        <f>1000-250</f>
        <v>750</v>
      </c>
      <c r="J91" s="36"/>
      <c r="K91" s="36"/>
      <c r="L91" s="923" t="s">
        <v>59</v>
      </c>
      <c r="M91" s="56">
        <v>3.6</v>
      </c>
      <c r="N91" s="127"/>
      <c r="O91" s="24"/>
      <c r="P91" s="993"/>
    </row>
    <row r="92" spans="1:16" ht="15" customHeight="1" x14ac:dyDescent="0.25">
      <c r="A92" s="926"/>
      <c r="B92" s="927"/>
      <c r="C92" s="184"/>
      <c r="D92" s="111" t="s">
        <v>253</v>
      </c>
      <c r="E92" s="347" t="s">
        <v>189</v>
      </c>
      <c r="F92" s="948"/>
      <c r="G92" s="976"/>
      <c r="H92" s="36" t="s">
        <v>76</v>
      </c>
      <c r="I92" s="36">
        <v>17</v>
      </c>
      <c r="J92" s="36"/>
      <c r="K92" s="36"/>
      <c r="L92" s="923" t="s">
        <v>222</v>
      </c>
      <c r="M92" s="56">
        <v>1</v>
      </c>
      <c r="N92" s="127"/>
      <c r="O92" s="24"/>
      <c r="P92" s="558"/>
    </row>
    <row r="93" spans="1:16" ht="26.25" customHeight="1" x14ac:dyDescent="0.25">
      <c r="A93" s="926"/>
      <c r="B93" s="927"/>
      <c r="C93" s="184"/>
      <c r="D93" s="111" t="s">
        <v>290</v>
      </c>
      <c r="E93" s="129" t="s">
        <v>190</v>
      </c>
      <c r="F93" s="948"/>
      <c r="G93" s="976"/>
      <c r="H93" s="36" t="s">
        <v>53</v>
      </c>
      <c r="I93" s="36">
        <v>40</v>
      </c>
      <c r="J93" s="36"/>
      <c r="K93" s="36"/>
      <c r="L93" s="923"/>
      <c r="M93" s="56"/>
      <c r="N93" s="127"/>
      <c r="O93" s="24"/>
    </row>
    <row r="94" spans="1:16" ht="15.75" customHeight="1" x14ac:dyDescent="0.25">
      <c r="A94" s="926"/>
      <c r="B94" s="927"/>
      <c r="C94" s="198"/>
      <c r="D94" s="111" t="s">
        <v>291</v>
      </c>
      <c r="E94" s="129" t="s">
        <v>221</v>
      </c>
      <c r="F94" s="948"/>
      <c r="G94" s="976"/>
      <c r="H94" s="36"/>
      <c r="I94" s="36"/>
      <c r="J94" s="36"/>
      <c r="K94" s="36"/>
      <c r="L94" s="923"/>
      <c r="M94" s="56"/>
      <c r="N94" s="127"/>
      <c r="O94" s="24"/>
    </row>
    <row r="95" spans="1:16" ht="14.25" customHeight="1" x14ac:dyDescent="0.25">
      <c r="A95" s="926"/>
      <c r="B95" s="927"/>
      <c r="C95" s="198"/>
      <c r="D95" s="111" t="s">
        <v>40</v>
      </c>
      <c r="E95" s="929" t="s">
        <v>335</v>
      </c>
      <c r="F95" s="948"/>
      <c r="G95" s="976"/>
      <c r="H95" s="36"/>
      <c r="I95" s="36"/>
      <c r="J95" s="36"/>
      <c r="K95" s="36"/>
      <c r="L95" s="923"/>
      <c r="M95" s="56"/>
      <c r="N95" s="127"/>
      <c r="O95" s="24"/>
    </row>
    <row r="96" spans="1:16" ht="15" customHeight="1" x14ac:dyDescent="0.25">
      <c r="A96" s="926"/>
      <c r="B96" s="927"/>
      <c r="C96" s="1933" t="s">
        <v>117</v>
      </c>
      <c r="D96" s="111" t="s">
        <v>34</v>
      </c>
      <c r="E96" s="162" t="s">
        <v>333</v>
      </c>
      <c r="F96" s="948"/>
      <c r="G96" s="1885" t="s">
        <v>281</v>
      </c>
      <c r="H96" s="36"/>
      <c r="I96" s="36"/>
      <c r="J96" s="36"/>
      <c r="K96" s="36"/>
      <c r="L96" s="923"/>
      <c r="M96" s="56"/>
      <c r="N96" s="127"/>
      <c r="O96" s="24"/>
      <c r="P96" s="556"/>
    </row>
    <row r="97" spans="1:16" ht="27.75" customHeight="1" x14ac:dyDescent="0.25">
      <c r="A97" s="926"/>
      <c r="B97" s="927"/>
      <c r="C97" s="1933"/>
      <c r="D97" s="111" t="s">
        <v>292</v>
      </c>
      <c r="E97" s="347" t="s">
        <v>250</v>
      </c>
      <c r="F97" s="948"/>
      <c r="G97" s="1898"/>
      <c r="H97" s="36"/>
      <c r="I97" s="36"/>
      <c r="J97" s="36"/>
      <c r="K97" s="36"/>
      <c r="L97" s="923"/>
      <c r="M97" s="56"/>
      <c r="N97" s="127"/>
      <c r="O97" s="24"/>
      <c r="P97" s="558"/>
    </row>
    <row r="98" spans="1:16" ht="15" customHeight="1" x14ac:dyDescent="0.25">
      <c r="A98" s="926"/>
      <c r="B98" s="927"/>
      <c r="C98" s="1933"/>
      <c r="D98" s="111" t="s">
        <v>158</v>
      </c>
      <c r="E98" s="347" t="s">
        <v>118</v>
      </c>
      <c r="F98" s="948"/>
      <c r="G98" s="1898"/>
      <c r="H98" s="954"/>
      <c r="I98" s="954"/>
      <c r="J98" s="954"/>
      <c r="K98" s="954"/>
      <c r="L98" s="922"/>
      <c r="M98" s="89"/>
      <c r="N98" s="974"/>
      <c r="O98" s="26"/>
      <c r="P98" s="558"/>
    </row>
    <row r="99" spans="1:16" ht="29.25" customHeight="1" x14ac:dyDescent="0.25">
      <c r="A99" s="926"/>
      <c r="B99" s="927"/>
      <c r="C99" s="1932" t="s">
        <v>165</v>
      </c>
      <c r="D99" s="1938"/>
      <c r="E99" s="453" t="s">
        <v>224</v>
      </c>
      <c r="F99" s="948"/>
      <c r="G99" s="976"/>
      <c r="H99" s="36" t="s">
        <v>76</v>
      </c>
      <c r="I99" s="36"/>
      <c r="J99" s="36">
        <v>1000</v>
      </c>
      <c r="K99" s="36"/>
      <c r="L99" s="923" t="s">
        <v>59</v>
      </c>
      <c r="M99" s="65"/>
      <c r="N99" s="23">
        <v>3.4</v>
      </c>
      <c r="O99" s="24"/>
    </row>
    <row r="100" spans="1:16" ht="15" customHeight="1" x14ac:dyDescent="0.25">
      <c r="A100" s="926"/>
      <c r="B100" s="927"/>
      <c r="C100" s="1933"/>
      <c r="D100" s="1939"/>
      <c r="E100" s="129" t="s">
        <v>336</v>
      </c>
      <c r="F100" s="948"/>
      <c r="G100" s="976"/>
      <c r="H100" s="36"/>
      <c r="I100" s="36"/>
      <c r="J100" s="36"/>
      <c r="K100" s="36"/>
      <c r="L100" s="923"/>
      <c r="M100" s="56"/>
      <c r="N100" s="23"/>
      <c r="O100" s="24"/>
    </row>
    <row r="101" spans="1:16" ht="18.75" customHeight="1" x14ac:dyDescent="0.25">
      <c r="A101" s="926"/>
      <c r="B101" s="927"/>
      <c r="C101" s="1934"/>
      <c r="D101" s="1940"/>
      <c r="E101" s="440" t="s">
        <v>337</v>
      </c>
      <c r="F101" s="948"/>
      <c r="G101" s="976"/>
      <c r="H101" s="954"/>
      <c r="I101" s="954"/>
      <c r="J101" s="954"/>
      <c r="K101" s="954"/>
      <c r="L101" s="922"/>
      <c r="M101" s="89"/>
      <c r="N101" s="25"/>
      <c r="O101" s="26"/>
    </row>
    <row r="102" spans="1:16" ht="17.25" customHeight="1" x14ac:dyDescent="0.25">
      <c r="A102" s="926"/>
      <c r="B102" s="927"/>
      <c r="C102" s="1933" t="s">
        <v>223</v>
      </c>
      <c r="D102" s="1939"/>
      <c r="E102" s="1602" t="s">
        <v>339</v>
      </c>
      <c r="F102" s="948"/>
      <c r="G102" s="976"/>
      <c r="H102" s="953" t="s">
        <v>76</v>
      </c>
      <c r="I102" s="953"/>
      <c r="J102" s="953"/>
      <c r="K102" s="953">
        <v>1000</v>
      </c>
      <c r="L102" s="923" t="s">
        <v>59</v>
      </c>
      <c r="M102" s="65"/>
      <c r="N102" s="23"/>
      <c r="O102" s="24">
        <v>3.4</v>
      </c>
    </row>
    <row r="103" spans="1:16" ht="27.75" customHeight="1" x14ac:dyDescent="0.25">
      <c r="A103" s="926"/>
      <c r="B103" s="927"/>
      <c r="C103" s="1933"/>
      <c r="D103" s="1939"/>
      <c r="E103" s="1987"/>
      <c r="F103" s="948"/>
      <c r="G103" s="976"/>
      <c r="H103" s="36"/>
      <c r="I103" s="36"/>
      <c r="J103" s="36"/>
      <c r="K103" s="36"/>
      <c r="L103" s="923"/>
      <c r="M103" s="56"/>
      <c r="N103" s="23"/>
      <c r="O103" s="24"/>
    </row>
    <row r="104" spans="1:16" ht="26.25" customHeight="1" x14ac:dyDescent="0.25">
      <c r="A104" s="926"/>
      <c r="B104" s="927"/>
      <c r="C104" s="184"/>
      <c r="D104" s="978" t="s">
        <v>316</v>
      </c>
      <c r="E104" s="1543" t="s">
        <v>78</v>
      </c>
      <c r="F104" s="930"/>
      <c r="G104" s="984"/>
      <c r="H104" s="953" t="s">
        <v>76</v>
      </c>
      <c r="I104" s="953">
        <v>260.3</v>
      </c>
      <c r="J104" s="953">
        <v>260.3</v>
      </c>
      <c r="K104" s="953">
        <v>260.3</v>
      </c>
      <c r="L104" s="921" t="s">
        <v>178</v>
      </c>
      <c r="M104" s="306" t="s">
        <v>177</v>
      </c>
      <c r="N104" s="957" t="s">
        <v>177</v>
      </c>
      <c r="O104" s="959" t="s">
        <v>177</v>
      </c>
      <c r="P104" s="556"/>
    </row>
    <row r="105" spans="1:16" ht="26.25" customHeight="1" x14ac:dyDescent="0.25">
      <c r="A105" s="926"/>
      <c r="B105" s="927"/>
      <c r="C105" s="184"/>
      <c r="D105" s="928"/>
      <c r="E105" s="1544"/>
      <c r="F105" s="948"/>
      <c r="G105" s="984"/>
      <c r="H105" s="36" t="s">
        <v>23</v>
      </c>
      <c r="I105" s="36">
        <v>751.5</v>
      </c>
      <c r="J105" s="36">
        <v>830</v>
      </c>
      <c r="K105" s="36">
        <v>830</v>
      </c>
      <c r="L105" s="47" t="s">
        <v>37</v>
      </c>
      <c r="M105" s="111" t="s">
        <v>179</v>
      </c>
      <c r="N105" s="474" t="s">
        <v>179</v>
      </c>
      <c r="O105" s="371" t="s">
        <v>179</v>
      </c>
      <c r="P105" s="558"/>
    </row>
    <row r="106" spans="1:16" ht="15.75" customHeight="1" x14ac:dyDescent="0.25">
      <c r="A106" s="926"/>
      <c r="B106" s="927"/>
      <c r="C106" s="184"/>
      <c r="D106" s="928"/>
      <c r="E106" s="1544"/>
      <c r="F106" s="948"/>
      <c r="G106" s="984"/>
      <c r="H106" s="36"/>
      <c r="I106" s="36"/>
      <c r="J106" s="36"/>
      <c r="K106" s="36"/>
      <c r="L106" s="47" t="s">
        <v>58</v>
      </c>
      <c r="M106" s="111" t="s">
        <v>173</v>
      </c>
      <c r="N106" s="474" t="s">
        <v>173</v>
      </c>
      <c r="O106" s="371" t="s">
        <v>173</v>
      </c>
    </row>
    <row r="107" spans="1:16" ht="29.25" customHeight="1" x14ac:dyDescent="0.25">
      <c r="A107" s="926"/>
      <c r="B107" s="927"/>
      <c r="C107" s="184"/>
      <c r="D107" s="980"/>
      <c r="E107" s="1613"/>
      <c r="F107" s="967"/>
      <c r="G107" s="460"/>
      <c r="H107" s="40"/>
      <c r="I107" s="954"/>
      <c r="J107" s="954"/>
      <c r="K107" s="954"/>
      <c r="L107" s="922" t="s">
        <v>198</v>
      </c>
      <c r="M107" s="219" t="s">
        <v>199</v>
      </c>
      <c r="N107" s="718"/>
      <c r="O107" s="207"/>
    </row>
    <row r="108" spans="1:16" ht="15" customHeight="1" x14ac:dyDescent="0.25">
      <c r="A108" s="1586"/>
      <c r="B108" s="1587"/>
      <c r="C108" s="1935"/>
      <c r="D108" s="928" t="s">
        <v>317</v>
      </c>
      <c r="E108" s="1589" t="s">
        <v>47</v>
      </c>
      <c r="F108" s="948"/>
      <c r="G108" s="460"/>
      <c r="H108" s="36" t="s">
        <v>23</v>
      </c>
      <c r="I108" s="36">
        <f>500-100</f>
        <v>400</v>
      </c>
      <c r="J108" s="36">
        <v>500</v>
      </c>
      <c r="K108" s="36">
        <v>500</v>
      </c>
      <c r="L108" s="1581" t="s">
        <v>175</v>
      </c>
      <c r="M108" s="306" t="s">
        <v>174</v>
      </c>
      <c r="N108" s="957" t="s">
        <v>174</v>
      </c>
      <c r="O108" s="204" t="s">
        <v>174</v>
      </c>
    </row>
    <row r="109" spans="1:16" ht="14.25" customHeight="1" x14ac:dyDescent="0.25">
      <c r="A109" s="1586"/>
      <c r="B109" s="1587"/>
      <c r="C109" s="1935"/>
      <c r="D109" s="980"/>
      <c r="E109" s="1590"/>
      <c r="F109" s="967"/>
      <c r="G109" s="460"/>
      <c r="H109" s="295"/>
      <c r="I109" s="295"/>
      <c r="J109" s="954"/>
      <c r="K109" s="954"/>
      <c r="L109" s="1619"/>
      <c r="M109" s="89"/>
      <c r="N109" s="25"/>
      <c r="O109" s="26"/>
    </row>
    <row r="110" spans="1:16" ht="15.75" customHeight="1" x14ac:dyDescent="0.25">
      <c r="A110" s="1586"/>
      <c r="B110" s="1587"/>
      <c r="C110" s="1935"/>
      <c r="D110" s="1927" t="s">
        <v>318</v>
      </c>
      <c r="E110" s="1634" t="s">
        <v>167</v>
      </c>
      <c r="F110" s="1599"/>
      <c r="G110" s="146"/>
      <c r="H110" s="953" t="s">
        <v>23</v>
      </c>
      <c r="I110" s="953">
        <v>0</v>
      </c>
      <c r="J110" s="953">
        <v>290</v>
      </c>
      <c r="K110" s="953">
        <v>290</v>
      </c>
      <c r="L110" s="921"/>
      <c r="M110" s="975"/>
      <c r="N110" s="975"/>
      <c r="O110" s="959"/>
      <c r="P110" s="556"/>
    </row>
    <row r="111" spans="1:16" ht="15.75" customHeight="1" x14ac:dyDescent="0.25">
      <c r="A111" s="1586"/>
      <c r="B111" s="1587"/>
      <c r="C111" s="1935"/>
      <c r="D111" s="1687"/>
      <c r="E111" s="1635"/>
      <c r="F111" s="1600"/>
      <c r="G111" s="146"/>
      <c r="H111" s="36" t="s">
        <v>76</v>
      </c>
      <c r="I111" s="36">
        <f>315.6+168.9</f>
        <v>484.5</v>
      </c>
      <c r="J111" s="36">
        <v>310</v>
      </c>
      <c r="K111" s="36">
        <v>310</v>
      </c>
      <c r="L111" s="372" t="s">
        <v>180</v>
      </c>
      <c r="M111" s="253" t="s">
        <v>354</v>
      </c>
      <c r="N111" s="253" t="s">
        <v>227</v>
      </c>
      <c r="O111" s="226" t="s">
        <v>227</v>
      </c>
      <c r="P111" s="556"/>
    </row>
    <row r="112" spans="1:16" ht="15" customHeight="1" x14ac:dyDescent="0.25">
      <c r="A112" s="1586"/>
      <c r="B112" s="1587"/>
      <c r="C112" s="1935"/>
      <c r="D112" s="1687"/>
      <c r="E112" s="1900"/>
      <c r="F112" s="1600"/>
      <c r="G112" s="146"/>
      <c r="H112" s="36" t="s">
        <v>63</v>
      </c>
      <c r="I112" s="36">
        <v>79.3</v>
      </c>
      <c r="J112" s="36"/>
      <c r="K112" s="36"/>
      <c r="L112" s="923" t="s">
        <v>176</v>
      </c>
      <c r="M112" s="504" t="s">
        <v>264</v>
      </c>
      <c r="N112" s="114" t="s">
        <v>227</v>
      </c>
      <c r="O112" s="171" t="s">
        <v>227</v>
      </c>
      <c r="P112" s="556"/>
    </row>
    <row r="113" spans="1:16" ht="15" customHeight="1" x14ac:dyDescent="0.25">
      <c r="A113" s="1586"/>
      <c r="B113" s="1587"/>
      <c r="C113" s="1935"/>
      <c r="D113" s="1687"/>
      <c r="E113" s="461"/>
      <c r="F113" s="1600"/>
      <c r="G113" s="146"/>
      <c r="H113" s="36" t="s">
        <v>53</v>
      </c>
      <c r="I113" s="36">
        <v>70.7</v>
      </c>
      <c r="J113" s="36"/>
      <c r="K113" s="36"/>
      <c r="L113" s="820"/>
      <c r="M113" s="504"/>
      <c r="N113" s="504"/>
      <c r="O113" s="171"/>
      <c r="P113" s="556"/>
    </row>
    <row r="114" spans="1:16" ht="7.5" customHeight="1" x14ac:dyDescent="0.25">
      <c r="A114" s="1586"/>
      <c r="B114" s="1587"/>
      <c r="C114" s="1935"/>
      <c r="D114" s="1928"/>
      <c r="E114" s="938"/>
      <c r="F114" s="1601"/>
      <c r="G114" s="146"/>
      <c r="H114" s="954"/>
      <c r="I114" s="954"/>
      <c r="J114" s="954"/>
      <c r="K114" s="954"/>
      <c r="L114" s="199"/>
      <c r="M114" s="219"/>
      <c r="N114" s="958"/>
      <c r="O114" s="207"/>
    </row>
    <row r="115" spans="1:16" ht="28.5" customHeight="1" x14ac:dyDescent="0.25">
      <c r="A115" s="926"/>
      <c r="B115" s="927"/>
      <c r="C115" s="977"/>
      <c r="D115" s="928" t="s">
        <v>319</v>
      </c>
      <c r="E115" s="1633" t="s">
        <v>77</v>
      </c>
      <c r="F115" s="948"/>
      <c r="G115" s="976"/>
      <c r="H115" s="953" t="s">
        <v>23</v>
      </c>
      <c r="I115" s="953">
        <f>209+88.8</f>
        <v>297.8</v>
      </c>
      <c r="J115" s="953">
        <v>543</v>
      </c>
      <c r="K115" s="953">
        <v>416.9</v>
      </c>
      <c r="L115" s="921" t="s">
        <v>105</v>
      </c>
      <c r="M115" s="352">
        <v>5</v>
      </c>
      <c r="N115" s="945">
        <v>8</v>
      </c>
      <c r="O115" s="581">
        <v>8</v>
      </c>
      <c r="P115" s="561"/>
    </row>
    <row r="116" spans="1:16" ht="16.5" customHeight="1" x14ac:dyDescent="0.25">
      <c r="A116" s="926"/>
      <c r="B116" s="927"/>
      <c r="C116" s="977"/>
      <c r="D116" s="928"/>
      <c r="E116" s="1633"/>
      <c r="F116" s="948"/>
      <c r="G116" s="976"/>
      <c r="H116" s="954" t="s">
        <v>53</v>
      </c>
      <c r="I116" s="954">
        <v>50</v>
      </c>
      <c r="J116" s="954"/>
      <c r="K116" s="954"/>
      <c r="L116" s="922"/>
      <c r="M116" s="149"/>
      <c r="N116" s="29"/>
      <c r="O116" s="16"/>
      <c r="P116" s="561"/>
    </row>
    <row r="117" spans="1:16" ht="12" customHeight="1" x14ac:dyDescent="0.25">
      <c r="A117" s="966"/>
      <c r="B117" s="927"/>
      <c r="C117" s="198"/>
      <c r="D117" s="978" t="s">
        <v>320</v>
      </c>
      <c r="E117" s="1589" t="s">
        <v>36</v>
      </c>
      <c r="F117" s="947"/>
      <c r="G117" s="459"/>
      <c r="H117" s="33" t="s">
        <v>76</v>
      </c>
      <c r="I117" s="36">
        <v>70</v>
      </c>
      <c r="J117" s="36">
        <v>70</v>
      </c>
      <c r="K117" s="36">
        <v>70</v>
      </c>
      <c r="L117" s="1581" t="s">
        <v>166</v>
      </c>
      <c r="M117" s="751">
        <v>15</v>
      </c>
      <c r="N117" s="946">
        <v>15</v>
      </c>
      <c r="O117" s="940">
        <v>15</v>
      </c>
    </row>
    <row r="118" spans="1:16" ht="12" customHeight="1" x14ac:dyDescent="0.25">
      <c r="A118" s="966"/>
      <c r="B118" s="927"/>
      <c r="C118" s="198"/>
      <c r="D118" s="928"/>
      <c r="E118" s="1596"/>
      <c r="F118" s="948"/>
      <c r="G118" s="976"/>
      <c r="H118" s="36" t="s">
        <v>23</v>
      </c>
      <c r="I118" s="36">
        <v>93.7</v>
      </c>
      <c r="J118" s="45">
        <v>80</v>
      </c>
      <c r="K118" s="45">
        <v>80</v>
      </c>
      <c r="L118" s="1584"/>
      <c r="M118" s="751"/>
      <c r="N118" s="946"/>
      <c r="O118" s="940"/>
    </row>
    <row r="119" spans="1:16" ht="12" customHeight="1" x14ac:dyDescent="0.25">
      <c r="A119" s="966"/>
      <c r="B119" s="927"/>
      <c r="C119" s="198"/>
      <c r="D119" s="928"/>
      <c r="E119" s="1596"/>
      <c r="F119" s="948"/>
      <c r="G119" s="976"/>
      <c r="H119" s="36" t="s">
        <v>63</v>
      </c>
      <c r="I119" s="36"/>
      <c r="J119" s="45"/>
      <c r="K119" s="45"/>
      <c r="L119" s="923"/>
      <c r="M119" s="751"/>
      <c r="N119" s="946"/>
      <c r="O119" s="940"/>
    </row>
    <row r="120" spans="1:16" ht="12.75" customHeight="1" x14ac:dyDescent="0.25">
      <c r="A120" s="966"/>
      <c r="B120" s="927"/>
      <c r="C120" s="198"/>
      <c r="D120" s="980"/>
      <c r="E120" s="1590"/>
      <c r="F120" s="967"/>
      <c r="G120" s="976"/>
      <c r="H120" s="954" t="s">
        <v>53</v>
      </c>
      <c r="I120" s="954"/>
      <c r="J120" s="971"/>
      <c r="K120" s="971"/>
      <c r="L120" s="923"/>
      <c r="M120" s="149"/>
      <c r="N120" s="29"/>
      <c r="O120" s="16"/>
    </row>
    <row r="121" spans="1:16" ht="17.25" customHeight="1" x14ac:dyDescent="0.25">
      <c r="A121" s="966"/>
      <c r="B121" s="927"/>
      <c r="C121" s="198"/>
      <c r="D121" s="1927" t="s">
        <v>321</v>
      </c>
      <c r="E121" s="1675" t="s">
        <v>340</v>
      </c>
      <c r="F121" s="323" t="s">
        <v>44</v>
      </c>
      <c r="G121" s="459"/>
      <c r="H121" s="332" t="s">
        <v>76</v>
      </c>
      <c r="I121" s="953">
        <v>13.8</v>
      </c>
      <c r="J121" s="953"/>
      <c r="K121" s="953"/>
      <c r="L121" s="431" t="s">
        <v>71</v>
      </c>
      <c r="M121" s="751">
        <v>1</v>
      </c>
      <c r="N121" s="946"/>
      <c r="O121" s="940"/>
    </row>
    <row r="122" spans="1:16" ht="26.25" customHeight="1" x14ac:dyDescent="0.25">
      <c r="A122" s="966"/>
      <c r="B122" s="927"/>
      <c r="C122" s="977"/>
      <c r="D122" s="1928"/>
      <c r="E122" s="1667"/>
      <c r="F122" s="967"/>
      <c r="G122" s="976"/>
      <c r="H122" s="333" t="s">
        <v>76</v>
      </c>
      <c r="I122" s="954">
        <v>20</v>
      </c>
      <c r="J122" s="954"/>
      <c r="K122" s="954"/>
      <c r="L122" s="14" t="s">
        <v>160</v>
      </c>
      <c r="M122" s="324">
        <v>100</v>
      </c>
      <c r="N122" s="361"/>
      <c r="O122" s="311"/>
    </row>
    <row r="123" spans="1:16" ht="13.5" customHeight="1" x14ac:dyDescent="0.25">
      <c r="A123" s="966"/>
      <c r="B123" s="956"/>
      <c r="C123" s="183"/>
      <c r="D123" s="1927" t="s">
        <v>322</v>
      </c>
      <c r="E123" s="1589" t="s">
        <v>341</v>
      </c>
      <c r="F123" s="323" t="s">
        <v>44</v>
      </c>
      <c r="G123" s="463"/>
      <c r="H123" s="334" t="s">
        <v>63</v>
      </c>
      <c r="I123" s="953">
        <v>5</v>
      </c>
      <c r="J123" s="953"/>
      <c r="K123" s="953"/>
      <c r="L123" s="454" t="s">
        <v>225</v>
      </c>
      <c r="M123" s="308">
        <v>1</v>
      </c>
      <c r="N123" s="259"/>
      <c r="O123" s="309"/>
      <c r="P123" s="271"/>
    </row>
    <row r="124" spans="1:16" ht="25.5" customHeight="1" x14ac:dyDescent="0.25">
      <c r="A124" s="966"/>
      <c r="B124" s="956"/>
      <c r="C124" s="183"/>
      <c r="D124" s="1928"/>
      <c r="E124" s="1590"/>
      <c r="F124" s="220"/>
      <c r="G124" s="463"/>
      <c r="H124" s="335" t="s">
        <v>23</v>
      </c>
      <c r="I124" s="954"/>
      <c r="J124" s="954">
        <v>305</v>
      </c>
      <c r="K124" s="954"/>
      <c r="L124" s="14" t="s">
        <v>226</v>
      </c>
      <c r="M124" s="324"/>
      <c r="N124" s="29">
        <v>100</v>
      </c>
      <c r="O124" s="16"/>
    </row>
    <row r="125" spans="1:16" ht="17.25" customHeight="1" x14ac:dyDescent="0.25">
      <c r="A125" s="966"/>
      <c r="B125" s="927"/>
      <c r="C125" s="977"/>
      <c r="D125" s="928" t="s">
        <v>323</v>
      </c>
      <c r="E125" s="918" t="s">
        <v>191</v>
      </c>
      <c r="F125" s="323" t="s">
        <v>44</v>
      </c>
      <c r="G125" s="976"/>
      <c r="H125" s="318" t="s">
        <v>76</v>
      </c>
      <c r="I125" s="319">
        <v>9.1999999999999993</v>
      </c>
      <c r="J125" s="953"/>
      <c r="K125" s="953"/>
      <c r="L125" s="960" t="s">
        <v>43</v>
      </c>
      <c r="M125" s="222">
        <v>3</v>
      </c>
      <c r="N125" s="223"/>
      <c r="O125" s="115"/>
      <c r="P125" s="399"/>
    </row>
    <row r="126" spans="1:16" ht="26.25" customHeight="1" x14ac:dyDescent="0.25">
      <c r="A126" s="934"/>
      <c r="B126" s="935"/>
      <c r="C126" s="979"/>
      <c r="D126" s="523"/>
      <c r="E126" s="320" t="s">
        <v>342</v>
      </c>
      <c r="F126" s="1655"/>
      <c r="G126" s="317"/>
      <c r="H126" s="505" t="s">
        <v>76</v>
      </c>
      <c r="I126" s="319"/>
      <c r="J126" s="41">
        <v>248.1</v>
      </c>
      <c r="K126" s="41"/>
      <c r="L126" s="1548" t="s">
        <v>251</v>
      </c>
      <c r="M126" s="397"/>
      <c r="N126" s="392">
        <v>100</v>
      </c>
      <c r="O126" s="326"/>
    </row>
    <row r="127" spans="1:16" ht="17.25" customHeight="1" x14ac:dyDescent="0.25">
      <c r="A127" s="934"/>
      <c r="B127" s="935"/>
      <c r="C127" s="979"/>
      <c r="D127" s="523"/>
      <c r="E127" s="320" t="s">
        <v>192</v>
      </c>
      <c r="F127" s="1655"/>
      <c r="G127" s="317"/>
      <c r="H127" s="506"/>
      <c r="I127" s="545"/>
      <c r="J127" s="570"/>
      <c r="K127" s="570"/>
      <c r="L127" s="1831"/>
      <c r="M127" s="245"/>
      <c r="N127" s="355"/>
      <c r="O127" s="301"/>
    </row>
    <row r="128" spans="1:16" ht="25.5" customHeight="1" x14ac:dyDescent="0.25">
      <c r="A128" s="934"/>
      <c r="B128" s="935"/>
      <c r="C128" s="979"/>
      <c r="D128" s="523"/>
      <c r="E128" s="942" t="s">
        <v>193</v>
      </c>
      <c r="F128" s="1656"/>
      <c r="G128" s="317"/>
      <c r="H128" s="316" t="s">
        <v>76</v>
      </c>
      <c r="I128" s="89"/>
      <c r="J128" s="954"/>
      <c r="K128" s="36">
        <v>272.3</v>
      </c>
      <c r="L128" s="14" t="s">
        <v>252</v>
      </c>
      <c r="M128" s="192"/>
      <c r="N128" s="192"/>
      <c r="O128" s="160">
        <v>100</v>
      </c>
    </row>
    <row r="129" spans="1:18" ht="17.25" customHeight="1" x14ac:dyDescent="0.25">
      <c r="A129" s="966"/>
      <c r="B129" s="956"/>
      <c r="C129" s="183"/>
      <c r="D129" s="1927" t="s">
        <v>324</v>
      </c>
      <c r="E129" s="1589" t="s">
        <v>228</v>
      </c>
      <c r="F129" s="323" t="s">
        <v>44</v>
      </c>
      <c r="G129" s="463"/>
      <c r="H129" s="334" t="s">
        <v>76</v>
      </c>
      <c r="I129" s="953">
        <v>21.8</v>
      </c>
      <c r="J129" s="953"/>
      <c r="K129" s="953"/>
      <c r="L129" s="431" t="s">
        <v>71</v>
      </c>
      <c r="M129" s="308">
        <v>1</v>
      </c>
      <c r="N129" s="259"/>
      <c r="O129" s="155"/>
      <c r="P129" s="399"/>
    </row>
    <row r="130" spans="1:18" ht="25.5" customHeight="1" x14ac:dyDescent="0.25">
      <c r="A130" s="966"/>
      <c r="B130" s="956"/>
      <c r="C130" s="183"/>
      <c r="D130" s="1928"/>
      <c r="E130" s="1590"/>
      <c r="F130" s="220"/>
      <c r="G130" s="463"/>
      <c r="H130" s="335" t="s">
        <v>76</v>
      </c>
      <c r="I130" s="954"/>
      <c r="J130" s="954">
        <v>150</v>
      </c>
      <c r="K130" s="954">
        <v>350</v>
      </c>
      <c r="L130" s="14" t="s">
        <v>229</v>
      </c>
      <c r="M130" s="324"/>
      <c r="N130" s="29">
        <v>50</v>
      </c>
      <c r="O130" s="16">
        <v>100</v>
      </c>
    </row>
    <row r="131" spans="1:18" ht="16.5" customHeight="1" x14ac:dyDescent="0.25">
      <c r="A131" s="966"/>
      <c r="B131" s="956"/>
      <c r="C131" s="183"/>
      <c r="D131" s="1927" t="s">
        <v>325</v>
      </c>
      <c r="E131" s="1589" t="s">
        <v>230</v>
      </c>
      <c r="F131" s="323"/>
      <c r="G131" s="463"/>
      <c r="H131" s="334" t="s">
        <v>76</v>
      </c>
      <c r="I131" s="953">
        <v>5.3</v>
      </c>
      <c r="J131" s="953">
        <v>5.3</v>
      </c>
      <c r="K131" s="953">
        <v>5.3</v>
      </c>
      <c r="L131" s="932" t="s">
        <v>231</v>
      </c>
      <c r="M131" s="455">
        <v>10</v>
      </c>
      <c r="N131" s="456">
        <v>10</v>
      </c>
      <c r="O131" s="457">
        <v>10</v>
      </c>
    </row>
    <row r="132" spans="1:18" ht="17.25" customHeight="1" x14ac:dyDescent="0.25">
      <c r="A132" s="966"/>
      <c r="B132" s="956"/>
      <c r="C132" s="183"/>
      <c r="D132" s="1928"/>
      <c r="E132" s="1590"/>
      <c r="F132" s="220"/>
      <c r="G132" s="462"/>
      <c r="H132" s="335" t="s">
        <v>23</v>
      </c>
      <c r="I132" s="954">
        <v>1.1000000000000001</v>
      </c>
      <c r="J132" s="954"/>
      <c r="K132" s="954"/>
      <c r="L132" s="14"/>
      <c r="M132" s="15"/>
      <c r="N132" s="436"/>
      <c r="O132" s="310"/>
    </row>
    <row r="133" spans="1:18" ht="14.25" customHeight="1" thickBot="1" x14ac:dyDescent="0.3">
      <c r="A133" s="39"/>
      <c r="B133" s="746"/>
      <c r="C133" s="106"/>
      <c r="D133" s="194"/>
      <c r="E133" s="185"/>
      <c r="F133" s="186"/>
      <c r="G133" s="175"/>
      <c r="H133" s="79" t="s">
        <v>5</v>
      </c>
      <c r="I133" s="116">
        <f>SUM(I15:I132)</f>
        <v>22758.3</v>
      </c>
      <c r="J133" s="116">
        <f>SUM(J15:J132)</f>
        <v>25581.1</v>
      </c>
      <c r="K133" s="116">
        <f>SUM(K15:K132)</f>
        <v>23312.3</v>
      </c>
      <c r="L133" s="187"/>
      <c r="M133" s="181"/>
      <c r="N133" s="181"/>
      <c r="O133" s="182"/>
      <c r="Q133" s="172"/>
      <c r="R133" s="172"/>
    </row>
    <row r="134" spans="1:18" ht="14.25" customHeight="1" thickBot="1" x14ac:dyDescent="0.3">
      <c r="A134" s="42" t="s">
        <v>4</v>
      </c>
      <c r="B134" s="138" t="s">
        <v>4</v>
      </c>
      <c r="C134" s="1648" t="s">
        <v>7</v>
      </c>
      <c r="D134" s="1649"/>
      <c r="E134" s="1649"/>
      <c r="F134" s="1649"/>
      <c r="G134" s="1649"/>
      <c r="H134" s="1718"/>
      <c r="I134" s="81">
        <f t="shared" ref="I134:K134" si="0">I133</f>
        <v>22758.3</v>
      </c>
      <c r="J134" s="81">
        <f t="shared" si="0"/>
        <v>25581.1</v>
      </c>
      <c r="K134" s="81">
        <f t="shared" si="0"/>
        <v>23312.3</v>
      </c>
      <c r="L134" s="924"/>
      <c r="M134" s="584"/>
      <c r="N134" s="924"/>
      <c r="O134" s="925"/>
      <c r="Q134" s="172"/>
      <c r="R134" s="172"/>
    </row>
    <row r="135" spans="1:18" ht="14.25" customHeight="1" thickBot="1" x14ac:dyDescent="0.3">
      <c r="A135" s="42" t="s">
        <v>4</v>
      </c>
      <c r="B135" s="138" t="s">
        <v>6</v>
      </c>
      <c r="C135" s="1650" t="s">
        <v>29</v>
      </c>
      <c r="D135" s="1650"/>
      <c r="E135" s="1650"/>
      <c r="F135" s="1650"/>
      <c r="G135" s="1650"/>
      <c r="H135" s="1650"/>
      <c r="I135" s="1651"/>
      <c r="J135" s="1651"/>
      <c r="K135" s="1651"/>
      <c r="L135" s="1650"/>
      <c r="M135" s="1652"/>
      <c r="N135" s="1652"/>
      <c r="O135" s="1653"/>
    </row>
    <row r="136" spans="1:18" ht="29.25" customHeight="1" x14ac:dyDescent="0.25">
      <c r="A136" s="750" t="s">
        <v>4</v>
      </c>
      <c r="B136" s="137" t="s">
        <v>6</v>
      </c>
      <c r="C136" s="180" t="s">
        <v>4</v>
      </c>
      <c r="D136" s="540"/>
      <c r="E136" s="63" t="s">
        <v>50</v>
      </c>
      <c r="F136" s="60" t="s">
        <v>86</v>
      </c>
      <c r="G136" s="200"/>
      <c r="H136" s="44"/>
      <c r="I136" s="373"/>
      <c r="J136" s="87"/>
      <c r="K136" s="373"/>
      <c r="L136" s="806"/>
      <c r="M136" s="279"/>
      <c r="N136" s="433"/>
      <c r="O136" s="288"/>
    </row>
    <row r="137" spans="1:18" ht="14.25" customHeight="1" x14ac:dyDescent="0.25">
      <c r="A137" s="926"/>
      <c r="B137" s="956"/>
      <c r="C137" s="977"/>
      <c r="D137" s="928" t="s">
        <v>4</v>
      </c>
      <c r="E137" s="937" t="s">
        <v>46</v>
      </c>
      <c r="F137" s="964"/>
      <c r="G137" s="1885" t="s">
        <v>129</v>
      </c>
      <c r="H137" s="423"/>
      <c r="I137" s="424"/>
      <c r="J137" s="425"/>
      <c r="K137" s="424"/>
      <c r="L137" s="807"/>
      <c r="M137" s="427"/>
      <c r="N137" s="434"/>
      <c r="O137" s="428"/>
    </row>
    <row r="138" spans="1:18" ht="12.75" customHeight="1" x14ac:dyDescent="0.25">
      <c r="A138" s="926"/>
      <c r="B138" s="956"/>
      <c r="C138" s="977"/>
      <c r="D138" s="928"/>
      <c r="E138" s="1931" t="s">
        <v>65</v>
      </c>
      <c r="F138" s="513" t="s">
        <v>246</v>
      </c>
      <c r="G138" s="1912"/>
      <c r="H138" s="45" t="s">
        <v>23</v>
      </c>
      <c r="I138" s="1277">
        <f>2861.6-399.3-116.3+116.3-10-371.9-6.5+399.3-88.9-112.1</f>
        <v>2272.1999999999998</v>
      </c>
      <c r="J138" s="36">
        <f>5337-194</f>
        <v>5143</v>
      </c>
      <c r="K138" s="36">
        <f>5474-194</f>
        <v>5280</v>
      </c>
      <c r="L138" s="1256" t="s">
        <v>38</v>
      </c>
      <c r="M138" s="1006">
        <v>5.3</v>
      </c>
      <c r="N138" s="127">
        <v>6</v>
      </c>
      <c r="O138" s="24">
        <v>6</v>
      </c>
      <c r="P138" s="399"/>
    </row>
    <row r="139" spans="1:18" ht="12.75" customHeight="1" x14ac:dyDescent="0.25">
      <c r="A139" s="926"/>
      <c r="B139" s="956"/>
      <c r="C139" s="977"/>
      <c r="D139" s="928"/>
      <c r="E139" s="1931"/>
      <c r="F139" s="512"/>
      <c r="G139" s="1912"/>
      <c r="H139" s="85" t="s">
        <v>53</v>
      </c>
      <c r="I139" s="555">
        <f>2000-230</f>
        <v>1770</v>
      </c>
      <c r="J139" s="38"/>
      <c r="K139" s="38"/>
      <c r="L139" s="372"/>
      <c r="M139" s="270"/>
      <c r="N139" s="270"/>
      <c r="O139" s="277"/>
      <c r="P139" s="399"/>
    </row>
    <row r="140" spans="1:18" ht="15" customHeight="1" x14ac:dyDescent="0.25">
      <c r="A140" s="926"/>
      <c r="B140" s="956"/>
      <c r="C140" s="977"/>
      <c r="D140" s="928"/>
      <c r="E140" s="1931"/>
      <c r="F140" s="512"/>
      <c r="G140" s="1912"/>
      <c r="H140" s="45" t="s">
        <v>23</v>
      </c>
      <c r="I140" s="36">
        <v>194</v>
      </c>
      <c r="J140" s="73">
        <v>194</v>
      </c>
      <c r="K140" s="36">
        <v>194</v>
      </c>
      <c r="L140" s="1584" t="s">
        <v>196</v>
      </c>
      <c r="M140" s="127">
        <v>2</v>
      </c>
      <c r="N140" s="127">
        <v>2</v>
      </c>
      <c r="O140" s="24">
        <v>2</v>
      </c>
    </row>
    <row r="141" spans="1:18" ht="14.25" customHeight="1" x14ac:dyDescent="0.25">
      <c r="A141" s="926"/>
      <c r="B141" s="956"/>
      <c r="C141" s="977"/>
      <c r="D141" s="928"/>
      <c r="E141" s="1931"/>
      <c r="F141" s="512"/>
      <c r="G141" s="1912"/>
      <c r="H141" s="85" t="s">
        <v>63</v>
      </c>
      <c r="I141" s="38"/>
      <c r="J141" s="77"/>
      <c r="K141" s="38"/>
      <c r="L141" s="1897"/>
      <c r="M141" s="419"/>
      <c r="N141" s="420"/>
      <c r="O141" s="421"/>
    </row>
    <row r="142" spans="1:18" ht="19.5" customHeight="1" x14ac:dyDescent="0.25">
      <c r="A142" s="926"/>
      <c r="B142" s="956"/>
      <c r="C142" s="977"/>
      <c r="D142" s="928"/>
      <c r="E142" s="514" t="s">
        <v>66</v>
      </c>
      <c r="F142" s="512"/>
      <c r="G142" s="231"/>
      <c r="H142" s="45" t="s">
        <v>23</v>
      </c>
      <c r="I142" s="36">
        <v>10</v>
      </c>
      <c r="J142" s="73">
        <v>10</v>
      </c>
      <c r="K142" s="36">
        <v>10</v>
      </c>
      <c r="L142" s="47" t="s">
        <v>101</v>
      </c>
      <c r="M142" s="1004">
        <v>2.4</v>
      </c>
      <c r="N142" s="250">
        <v>3.2</v>
      </c>
      <c r="O142" s="21">
        <v>3.2</v>
      </c>
      <c r="P142" s="1" t="s">
        <v>367</v>
      </c>
    </row>
    <row r="143" spans="1:18" ht="26.25" customHeight="1" x14ac:dyDescent="0.25">
      <c r="A143" s="926"/>
      <c r="B143" s="956"/>
      <c r="C143" s="977"/>
      <c r="D143" s="928"/>
      <c r="E143" s="515" t="s">
        <v>67</v>
      </c>
      <c r="F143" s="512"/>
      <c r="G143" s="327"/>
      <c r="H143" s="46" t="s">
        <v>23</v>
      </c>
      <c r="I143" s="34">
        <v>57</v>
      </c>
      <c r="J143" s="75">
        <v>57</v>
      </c>
      <c r="K143" s="34">
        <v>57</v>
      </c>
      <c r="L143" s="372" t="s">
        <v>102</v>
      </c>
      <c r="M143" s="1005">
        <v>16</v>
      </c>
      <c r="N143" s="359">
        <v>20.5</v>
      </c>
      <c r="O143" s="289">
        <v>20.5</v>
      </c>
    </row>
    <row r="144" spans="1:18" ht="26.25" customHeight="1" x14ac:dyDescent="0.25">
      <c r="A144" s="926"/>
      <c r="B144" s="956"/>
      <c r="C144" s="977"/>
      <c r="D144" s="928"/>
      <c r="E144" s="515" t="s">
        <v>304</v>
      </c>
      <c r="F144" s="512"/>
      <c r="G144" s="327"/>
      <c r="H144" s="46"/>
      <c r="I144" s="34"/>
      <c r="J144" s="75"/>
      <c r="K144" s="34"/>
      <c r="L144" s="372" t="s">
        <v>305</v>
      </c>
      <c r="M144" s="808" t="s">
        <v>49</v>
      </c>
      <c r="N144" s="834" t="s">
        <v>49</v>
      </c>
      <c r="O144" s="805" t="s">
        <v>49</v>
      </c>
    </row>
    <row r="145" spans="1:18" ht="15.75" customHeight="1" x14ac:dyDescent="0.25">
      <c r="A145" s="926"/>
      <c r="B145" s="956"/>
      <c r="C145" s="977"/>
      <c r="D145" s="928"/>
      <c r="E145" s="1640" t="s">
        <v>95</v>
      </c>
      <c r="F145" s="955"/>
      <c r="G145" s="574"/>
      <c r="H145" s="45" t="s">
        <v>61</v>
      </c>
      <c r="I145" s="218">
        <f>201.6-120.7</f>
        <v>80.900000000000006</v>
      </c>
      <c r="J145" s="73">
        <v>200</v>
      </c>
      <c r="K145" s="36">
        <v>200</v>
      </c>
      <c r="L145" s="1641" t="s">
        <v>186</v>
      </c>
      <c r="M145" s="1007">
        <v>2</v>
      </c>
      <c r="N145" s="1263">
        <v>6</v>
      </c>
      <c r="O145" s="1260">
        <v>6</v>
      </c>
    </row>
    <row r="146" spans="1:18" ht="14.25" customHeight="1" x14ac:dyDescent="0.25">
      <c r="A146" s="926"/>
      <c r="B146" s="956"/>
      <c r="C146" s="977"/>
      <c r="D146" s="928"/>
      <c r="E146" s="1952"/>
      <c r="F146" s="955"/>
      <c r="G146" s="574"/>
      <c r="H146" s="45"/>
      <c r="I146" s="36"/>
      <c r="J146" s="45"/>
      <c r="K146" s="36"/>
      <c r="L146" s="1972"/>
      <c r="M146" s="1261"/>
      <c r="N146" s="1263"/>
      <c r="O146" s="1260"/>
      <c r="Q146" s="30"/>
    </row>
    <row r="147" spans="1:18" ht="17.25" customHeight="1" x14ac:dyDescent="0.25">
      <c r="A147" s="926"/>
      <c r="B147" s="956"/>
      <c r="C147" s="977"/>
      <c r="D147" s="980"/>
      <c r="E147" s="1953"/>
      <c r="F147" s="931"/>
      <c r="G147" s="574"/>
      <c r="H147" s="45"/>
      <c r="I147" s="36"/>
      <c r="J147" s="45"/>
      <c r="K147" s="36"/>
      <c r="L147" s="1973"/>
      <c r="M147" s="1261"/>
      <c r="N147" s="1263"/>
      <c r="O147" s="1260"/>
      <c r="R147" s="30"/>
    </row>
    <row r="148" spans="1:18" ht="14.25" customHeight="1" x14ac:dyDescent="0.25">
      <c r="A148" s="926"/>
      <c r="B148" s="956"/>
      <c r="C148" s="977"/>
      <c r="D148" s="928" t="s">
        <v>6</v>
      </c>
      <c r="E148" s="503" t="s">
        <v>111</v>
      </c>
      <c r="F148" s="964"/>
      <c r="G148" s="1882" t="s">
        <v>129</v>
      </c>
      <c r="H148" s="88"/>
      <c r="I148" s="341"/>
      <c r="J148" s="84"/>
      <c r="K148" s="341"/>
      <c r="L148" s="1256"/>
      <c r="M148" s="97"/>
      <c r="N148" s="98"/>
      <c r="O148" s="150"/>
    </row>
    <row r="149" spans="1:18" ht="42.75" customHeight="1" x14ac:dyDescent="0.25">
      <c r="A149" s="926"/>
      <c r="B149" s="956"/>
      <c r="C149" s="977"/>
      <c r="D149" s="928"/>
      <c r="E149" s="143" t="s">
        <v>257</v>
      </c>
      <c r="F149" s="964"/>
      <c r="G149" s="1885"/>
      <c r="H149" s="85" t="s">
        <v>23</v>
      </c>
      <c r="I149" s="555">
        <v>0</v>
      </c>
      <c r="J149" s="77"/>
      <c r="K149" s="38"/>
      <c r="L149" s="1266" t="s">
        <v>109</v>
      </c>
      <c r="M149" s="176">
        <v>21</v>
      </c>
      <c r="N149" s="176">
        <v>21</v>
      </c>
      <c r="O149" s="277">
        <v>21</v>
      </c>
    </row>
    <row r="150" spans="1:18" ht="15.75" customHeight="1" x14ac:dyDescent="0.25">
      <c r="A150" s="926"/>
      <c r="B150" s="956"/>
      <c r="C150" s="977"/>
      <c r="D150" s="928"/>
      <c r="E150" s="1984" t="s">
        <v>362</v>
      </c>
      <c r="F150" s="964"/>
      <c r="G150" s="976"/>
      <c r="H150" s="45" t="s">
        <v>23</v>
      </c>
      <c r="I150" s="449">
        <f>381.9+670.4</f>
        <v>1052.3</v>
      </c>
      <c r="J150" s="73"/>
      <c r="K150" s="36"/>
      <c r="L150" s="1265" t="s">
        <v>109</v>
      </c>
      <c r="M150" s="1263">
        <v>58</v>
      </c>
      <c r="N150" s="1263"/>
      <c r="O150" s="1260"/>
      <c r="P150" s="1" t="s">
        <v>363</v>
      </c>
    </row>
    <row r="151" spans="1:18" ht="19.5" customHeight="1" x14ac:dyDescent="0.25">
      <c r="A151" s="926"/>
      <c r="B151" s="956"/>
      <c r="C151" s="977"/>
      <c r="D151" s="928"/>
      <c r="E151" s="1985"/>
      <c r="F151" s="964"/>
      <c r="G151" s="976"/>
      <c r="H151" s="36" t="s">
        <v>53</v>
      </c>
      <c r="I151" s="36">
        <v>230</v>
      </c>
      <c r="J151" s="73"/>
      <c r="K151" s="36"/>
      <c r="L151" s="1267"/>
      <c r="M151" s="1263"/>
      <c r="N151" s="1263"/>
      <c r="O151" s="1260"/>
    </row>
    <row r="152" spans="1:18" ht="19.5" customHeight="1" x14ac:dyDescent="0.25">
      <c r="A152" s="1268"/>
      <c r="B152" s="1272"/>
      <c r="C152" s="1275"/>
      <c r="D152" s="1269"/>
      <c r="E152" s="1985"/>
      <c r="F152" s="1273"/>
      <c r="G152" s="1274"/>
      <c r="H152" s="36" t="s">
        <v>23</v>
      </c>
      <c r="I152" s="36">
        <v>201</v>
      </c>
      <c r="J152" s="73"/>
      <c r="K152" s="36"/>
      <c r="L152" s="1276"/>
      <c r="M152" s="1271"/>
      <c r="N152" s="1271"/>
      <c r="O152" s="1270"/>
    </row>
    <row r="153" spans="1:18" ht="12.75" customHeight="1" x14ac:dyDescent="0.25">
      <c r="A153" s="926"/>
      <c r="B153" s="956"/>
      <c r="C153" s="977"/>
      <c r="D153" s="928"/>
      <c r="E153" s="1986"/>
      <c r="F153" s="964"/>
      <c r="G153" s="976"/>
      <c r="H153" s="38" t="s">
        <v>61</v>
      </c>
      <c r="I153" s="38">
        <v>146</v>
      </c>
      <c r="J153" s="77"/>
      <c r="K153" s="38"/>
      <c r="L153" s="1264"/>
      <c r="M153" s="916"/>
      <c r="N153" s="176"/>
      <c r="O153" s="277"/>
    </row>
    <row r="154" spans="1:18" ht="22.5" customHeight="1" x14ac:dyDescent="0.25">
      <c r="A154" s="926"/>
      <c r="B154" s="956"/>
      <c r="C154" s="977"/>
      <c r="D154" s="928"/>
      <c r="E154" s="1644" t="s">
        <v>369</v>
      </c>
      <c r="F154" s="964"/>
      <c r="G154" s="231"/>
      <c r="H154" s="303" t="s">
        <v>23</v>
      </c>
      <c r="I154" s="41">
        <v>93.4</v>
      </c>
      <c r="J154" s="1117">
        <v>93.4</v>
      </c>
      <c r="K154" s="41">
        <v>93.4</v>
      </c>
      <c r="L154" s="1833" t="s">
        <v>138</v>
      </c>
      <c r="M154" s="1114">
        <v>18</v>
      </c>
      <c r="N154" s="1114">
        <v>18</v>
      </c>
      <c r="O154" s="1115">
        <v>18</v>
      </c>
    </row>
    <row r="155" spans="1:18" ht="20.25" customHeight="1" x14ac:dyDescent="0.25">
      <c r="A155" s="926"/>
      <c r="B155" s="956"/>
      <c r="C155" s="977"/>
      <c r="D155" s="1042"/>
      <c r="E155" s="1926"/>
      <c r="F155" s="964"/>
      <c r="G155" s="231"/>
      <c r="H155" s="85"/>
      <c r="I155" s="38"/>
      <c r="J155" s="77"/>
      <c r="K155" s="38"/>
      <c r="L155" s="1897"/>
      <c r="M155" s="916"/>
      <c r="N155" s="176"/>
      <c r="O155" s="277"/>
    </row>
    <row r="156" spans="1:18" ht="15.75" customHeight="1" x14ac:dyDescent="0.25">
      <c r="A156" s="1028"/>
      <c r="B156" s="1031"/>
      <c r="C156" s="1056"/>
      <c r="D156" s="1042"/>
      <c r="E156" s="1870" t="s">
        <v>370</v>
      </c>
      <c r="F156" s="513" t="s">
        <v>246</v>
      </c>
      <c r="G156" s="1053"/>
      <c r="H156" s="45" t="s">
        <v>23</v>
      </c>
      <c r="I156" s="831">
        <v>50.2</v>
      </c>
      <c r="J156" s="41">
        <v>81.7</v>
      </c>
      <c r="K156" s="41">
        <v>81.7</v>
      </c>
      <c r="L156" s="1872" t="s">
        <v>374</v>
      </c>
      <c r="M156" s="1007">
        <v>2</v>
      </c>
      <c r="N156" s="1261">
        <v>2</v>
      </c>
      <c r="O156" s="1260">
        <v>2</v>
      </c>
    </row>
    <row r="157" spans="1:18" ht="32.25" customHeight="1" x14ac:dyDescent="0.25">
      <c r="A157" s="1028"/>
      <c r="B157" s="1031"/>
      <c r="C157" s="1056"/>
      <c r="D157" s="1055"/>
      <c r="E157" s="1871"/>
      <c r="F157" s="1032"/>
      <c r="G157" s="1116"/>
      <c r="H157" s="1052"/>
      <c r="I157" s="1038"/>
      <c r="J157" s="74"/>
      <c r="K157" s="1038"/>
      <c r="L157" s="1873"/>
      <c r="M157" s="1008"/>
      <c r="N157" s="29"/>
      <c r="O157" s="16"/>
    </row>
    <row r="158" spans="1:18" ht="18" customHeight="1" x14ac:dyDescent="0.25">
      <c r="A158" s="1586"/>
      <c r="B158" s="1587"/>
      <c r="C158" s="1935"/>
      <c r="D158" s="1687" t="s">
        <v>26</v>
      </c>
      <c r="E158" s="1575" t="s">
        <v>39</v>
      </c>
      <c r="F158" s="1666"/>
      <c r="G158" s="1885" t="s">
        <v>129</v>
      </c>
      <c r="H158" s="45" t="s">
        <v>23</v>
      </c>
      <c r="I158" s="36">
        <v>59.5</v>
      </c>
      <c r="J158" s="73">
        <v>62</v>
      </c>
      <c r="K158" s="36">
        <v>65</v>
      </c>
      <c r="L158" s="1970" t="s">
        <v>48</v>
      </c>
      <c r="M158" s="1793">
        <v>7</v>
      </c>
      <c r="N158" s="1793" t="s">
        <v>215</v>
      </c>
      <c r="O158" s="1670" t="s">
        <v>216</v>
      </c>
    </row>
    <row r="159" spans="1:18" ht="18" customHeight="1" x14ac:dyDescent="0.25">
      <c r="A159" s="1586"/>
      <c r="B159" s="1587"/>
      <c r="C159" s="1935"/>
      <c r="D159" s="1687"/>
      <c r="E159" s="1576"/>
      <c r="F159" s="1666"/>
      <c r="G159" s="1885"/>
      <c r="H159" s="971"/>
      <c r="I159" s="954"/>
      <c r="J159" s="74"/>
      <c r="K159" s="954"/>
      <c r="L159" s="1971"/>
      <c r="M159" s="1794"/>
      <c r="N159" s="1794"/>
      <c r="O159" s="1671"/>
    </row>
    <row r="160" spans="1:18" ht="18" customHeight="1" x14ac:dyDescent="0.25">
      <c r="A160" s="1586"/>
      <c r="B160" s="1591"/>
      <c r="C160" s="1935"/>
      <c r="D160" s="1927" t="s">
        <v>30</v>
      </c>
      <c r="E160" s="1664" t="s">
        <v>182</v>
      </c>
      <c r="F160" s="1951"/>
      <c r="G160" s="1882" t="s">
        <v>129</v>
      </c>
      <c r="H160" s="970"/>
      <c r="I160" s="953"/>
      <c r="J160" s="953"/>
      <c r="K160" s="953"/>
      <c r="L160" s="1255" t="s">
        <v>119</v>
      </c>
      <c r="M160" s="1262"/>
      <c r="N160" s="1262"/>
      <c r="O160" s="1259"/>
    </row>
    <row r="161" spans="1:18" ht="18.75" customHeight="1" x14ac:dyDescent="0.25">
      <c r="A161" s="1586"/>
      <c r="B161" s="1591"/>
      <c r="C161" s="1935"/>
      <c r="D161" s="1687"/>
      <c r="E161" s="1633"/>
      <c r="F161" s="1899"/>
      <c r="G161" s="1885"/>
      <c r="H161" s="45" t="s">
        <v>23</v>
      </c>
      <c r="I161" s="36">
        <f>45</f>
        <v>45</v>
      </c>
      <c r="J161" s="36">
        <v>45</v>
      </c>
      <c r="K161" s="36">
        <v>45</v>
      </c>
      <c r="L161" s="1256" t="s">
        <v>136</v>
      </c>
      <c r="M161" s="287">
        <v>1</v>
      </c>
      <c r="N161" s="287">
        <v>1</v>
      </c>
      <c r="O161" s="398">
        <v>1</v>
      </c>
    </row>
    <row r="162" spans="1:18" ht="25.5" customHeight="1" x14ac:dyDescent="0.25">
      <c r="A162" s="1586"/>
      <c r="B162" s="1591"/>
      <c r="C162" s="1935"/>
      <c r="D162" s="1687"/>
      <c r="E162" s="1633"/>
      <c r="F162" s="1899"/>
      <c r="G162" s="1885"/>
      <c r="H162" s="45"/>
      <c r="I162" s="36"/>
      <c r="J162" s="36"/>
      <c r="K162" s="36"/>
      <c r="L162" s="47" t="s">
        <v>108</v>
      </c>
      <c r="M162" s="203">
        <v>1</v>
      </c>
      <c r="N162" s="203">
        <v>1</v>
      </c>
      <c r="O162" s="20">
        <v>1</v>
      </c>
    </row>
    <row r="163" spans="1:18" ht="15" customHeight="1" x14ac:dyDescent="0.25">
      <c r="A163" s="926"/>
      <c r="B163" s="956"/>
      <c r="C163" s="977"/>
      <c r="D163" s="761"/>
      <c r="E163" s="937"/>
      <c r="F163" s="955"/>
      <c r="G163" s="976"/>
      <c r="H163" s="78" t="s">
        <v>23</v>
      </c>
      <c r="I163" s="34">
        <v>4</v>
      </c>
      <c r="J163" s="34">
        <v>4</v>
      </c>
      <c r="K163" s="34">
        <v>4</v>
      </c>
      <c r="L163" s="47" t="s">
        <v>162</v>
      </c>
      <c r="M163" s="203">
        <v>1</v>
      </c>
      <c r="N163" s="203">
        <v>1</v>
      </c>
      <c r="O163" s="20">
        <v>1</v>
      </c>
    </row>
    <row r="164" spans="1:18" ht="15" customHeight="1" x14ac:dyDescent="0.25">
      <c r="A164" s="926"/>
      <c r="B164" s="956"/>
      <c r="C164" s="977"/>
      <c r="D164" s="761"/>
      <c r="E164" s="937"/>
      <c r="F164" s="964"/>
      <c r="G164" s="976"/>
      <c r="H164" s="303" t="s">
        <v>23</v>
      </c>
      <c r="I164" s="449">
        <f>83.1</f>
        <v>83.1</v>
      </c>
      <c r="J164" s="449">
        <v>83.1</v>
      </c>
      <c r="K164" s="449">
        <v>83.1</v>
      </c>
      <c r="L164" s="753" t="s">
        <v>161</v>
      </c>
      <c r="M164" s="223">
        <v>1</v>
      </c>
      <c r="N164" s="223">
        <v>1</v>
      </c>
      <c r="O164" s="115">
        <v>1</v>
      </c>
    </row>
    <row r="165" spans="1:18" ht="15" customHeight="1" x14ac:dyDescent="0.25">
      <c r="A165" s="926"/>
      <c r="B165" s="956"/>
      <c r="C165" s="977"/>
      <c r="D165" s="761"/>
      <c r="E165" s="937"/>
      <c r="F165" s="964"/>
      <c r="G165" s="976"/>
      <c r="H165" s="85"/>
      <c r="I165" s="38"/>
      <c r="J165" s="38"/>
      <c r="K165" s="38"/>
      <c r="L165" s="372"/>
      <c r="M165" s="420"/>
      <c r="N165" s="420"/>
      <c r="O165" s="421"/>
    </row>
    <row r="166" spans="1:18" ht="0.75" customHeight="1" x14ac:dyDescent="0.25">
      <c r="A166" s="926"/>
      <c r="B166" s="956"/>
      <c r="C166" s="977"/>
      <c r="D166" s="761"/>
      <c r="E166" s="951"/>
      <c r="F166" s="566" t="s">
        <v>246</v>
      </c>
      <c r="G166" s="976"/>
      <c r="H166" s="228" t="s">
        <v>23</v>
      </c>
      <c r="I166" s="555">
        <v>0</v>
      </c>
      <c r="J166" s="555">
        <v>0</v>
      </c>
      <c r="K166" s="1015">
        <v>0</v>
      </c>
      <c r="L166" s="1118" t="s">
        <v>249</v>
      </c>
      <c r="M166" s="1119"/>
      <c r="N166" s="1119">
        <v>2</v>
      </c>
      <c r="O166" s="1131">
        <v>2</v>
      </c>
      <c r="P166" s="562" t="s">
        <v>368</v>
      </c>
    </row>
    <row r="167" spans="1:18" ht="19.5" customHeight="1" x14ac:dyDescent="0.25">
      <c r="A167" s="1586"/>
      <c r="B167" s="1591"/>
      <c r="C167" s="1935"/>
      <c r="D167" s="1949" t="s">
        <v>31</v>
      </c>
      <c r="E167" s="1574" t="s">
        <v>93</v>
      </c>
      <c r="F167" s="1924" t="s">
        <v>185</v>
      </c>
      <c r="G167" s="1882" t="s">
        <v>129</v>
      </c>
      <c r="H167" s="970" t="s">
        <v>61</v>
      </c>
      <c r="I167" s="953">
        <v>188.7</v>
      </c>
      <c r="J167" s="953"/>
      <c r="K167" s="36"/>
      <c r="L167" s="1581" t="s">
        <v>163</v>
      </c>
      <c r="M167" s="811">
        <v>100</v>
      </c>
      <c r="N167" s="260"/>
      <c r="O167" s="235"/>
      <c r="R167" s="30"/>
    </row>
    <row r="168" spans="1:18" ht="20.25" customHeight="1" x14ac:dyDescent="0.25">
      <c r="A168" s="1586"/>
      <c r="B168" s="1591"/>
      <c r="C168" s="1935"/>
      <c r="D168" s="1950"/>
      <c r="E168" s="1576"/>
      <c r="F168" s="1969"/>
      <c r="G168" s="1885"/>
      <c r="H168" s="971" t="s">
        <v>63</v>
      </c>
      <c r="I168" s="954"/>
      <c r="J168" s="954"/>
      <c r="K168" s="954"/>
      <c r="L168" s="1893"/>
      <c r="M168" s="340"/>
      <c r="N168" s="897"/>
      <c r="O168" s="999"/>
    </row>
    <row r="169" spans="1:18" ht="19.5" customHeight="1" x14ac:dyDescent="0.25">
      <c r="A169" s="966"/>
      <c r="B169" s="956"/>
      <c r="C169" s="184"/>
      <c r="D169" s="928" t="s">
        <v>32</v>
      </c>
      <c r="E169" s="1574" t="s">
        <v>343</v>
      </c>
      <c r="F169" s="949"/>
      <c r="G169" s="1882" t="s">
        <v>129</v>
      </c>
      <c r="H169" s="45" t="s">
        <v>61</v>
      </c>
      <c r="I169" s="36">
        <v>47</v>
      </c>
      <c r="J169" s="36"/>
      <c r="K169" s="1673"/>
      <c r="L169" s="1581" t="s">
        <v>217</v>
      </c>
      <c r="M169" s="252">
        <v>100</v>
      </c>
      <c r="N169" s="809"/>
      <c r="O169" s="581"/>
    </row>
    <row r="170" spans="1:18" ht="15" customHeight="1" x14ac:dyDescent="0.25">
      <c r="A170" s="966"/>
      <c r="B170" s="956"/>
      <c r="C170" s="184"/>
      <c r="D170" s="980"/>
      <c r="E170" s="1576"/>
      <c r="F170" s="949"/>
      <c r="G170" s="1883"/>
      <c r="H170" s="971"/>
      <c r="I170" s="74"/>
      <c r="J170" s="74"/>
      <c r="K170" s="1674"/>
      <c r="L170" s="1619"/>
      <c r="M170" s="149"/>
      <c r="N170" s="15"/>
      <c r="O170" s="16"/>
      <c r="P170" s="30"/>
    </row>
    <row r="171" spans="1:18" ht="16.5" customHeight="1" x14ac:dyDescent="0.25">
      <c r="A171" s="934"/>
      <c r="B171" s="762"/>
      <c r="C171" s="979"/>
      <c r="D171" s="928" t="s">
        <v>33</v>
      </c>
      <c r="E171" s="1574" t="s">
        <v>89</v>
      </c>
      <c r="F171" s="1665" t="s">
        <v>151</v>
      </c>
      <c r="G171" s="1885" t="s">
        <v>171</v>
      </c>
      <c r="H171" s="303" t="s">
        <v>61</v>
      </c>
      <c r="I171" s="41"/>
      <c r="J171" s="41">
        <v>8</v>
      </c>
      <c r="K171" s="41"/>
      <c r="L171" s="414" t="s">
        <v>164</v>
      </c>
      <c r="M171" s="153">
        <v>4</v>
      </c>
      <c r="N171" s="176">
        <v>7</v>
      </c>
      <c r="O171" s="277"/>
      <c r="Q171" s="30"/>
    </row>
    <row r="172" spans="1:18" ht="13.5" customHeight="1" x14ac:dyDescent="0.25">
      <c r="A172" s="966"/>
      <c r="B172" s="956"/>
      <c r="C172" s="184"/>
      <c r="D172" s="928"/>
      <c r="E172" s="1575"/>
      <c r="F172" s="1666"/>
      <c r="G172" s="1912"/>
      <c r="H172" s="45" t="s">
        <v>61</v>
      </c>
      <c r="I172" s="36">
        <v>52.7</v>
      </c>
      <c r="J172" s="36">
        <v>42</v>
      </c>
      <c r="K172" s="36"/>
      <c r="L172" s="1256" t="s">
        <v>130</v>
      </c>
      <c r="M172" s="446">
        <v>8</v>
      </c>
      <c r="N172" s="1263">
        <v>7</v>
      </c>
      <c r="O172" s="1260"/>
    </row>
    <row r="173" spans="1:18" ht="14.25" customHeight="1" x14ac:dyDescent="0.25">
      <c r="A173" s="966"/>
      <c r="B173" s="956"/>
      <c r="C173" s="184"/>
      <c r="D173" s="928"/>
      <c r="E173" s="1807"/>
      <c r="F173" s="1947"/>
      <c r="G173" s="1948"/>
      <c r="H173" s="45"/>
      <c r="I173" s="36"/>
      <c r="J173" s="36"/>
      <c r="K173" s="36"/>
      <c r="L173" s="372"/>
      <c r="M173" s="439"/>
      <c r="N173" s="176"/>
      <c r="O173" s="277"/>
    </row>
    <row r="174" spans="1:18" ht="25.5" customHeight="1" x14ac:dyDescent="0.25">
      <c r="A174" s="966"/>
      <c r="B174" s="956"/>
      <c r="C174" s="184"/>
      <c r="D174" s="980"/>
      <c r="E174" s="972"/>
      <c r="F174" s="61"/>
      <c r="G174" s="465" t="s">
        <v>129</v>
      </c>
      <c r="H174" s="293" t="s">
        <v>61</v>
      </c>
      <c r="I174" s="1015">
        <f>43.2-43.2</f>
        <v>0</v>
      </c>
      <c r="J174" s="1015">
        <v>43.2</v>
      </c>
      <c r="K174" s="292">
        <v>50</v>
      </c>
      <c r="L174" s="466" t="s">
        <v>90</v>
      </c>
      <c r="M174" s="467">
        <v>0</v>
      </c>
      <c r="N174" s="1016">
        <v>6</v>
      </c>
      <c r="O174" s="311">
        <v>7</v>
      </c>
    </row>
    <row r="175" spans="1:18" ht="16.5" customHeight="1" x14ac:dyDescent="0.25">
      <c r="A175" s="934"/>
      <c r="B175" s="762"/>
      <c r="C175" s="979"/>
      <c r="D175" s="928" t="s">
        <v>125</v>
      </c>
      <c r="E175" s="1574" t="s">
        <v>168</v>
      </c>
      <c r="F175" s="391" t="s">
        <v>44</v>
      </c>
      <c r="G175" s="1882" t="s">
        <v>279</v>
      </c>
      <c r="H175" s="824"/>
      <c r="I175" s="36"/>
      <c r="J175" s="36"/>
      <c r="K175" s="36"/>
      <c r="L175" s="490" t="s">
        <v>43</v>
      </c>
      <c r="M175" s="491" t="s">
        <v>49</v>
      </c>
      <c r="N175" s="491"/>
      <c r="O175" s="1000"/>
    </row>
    <row r="176" spans="1:18" ht="13.5" customHeight="1" x14ac:dyDescent="0.25">
      <c r="A176" s="159"/>
      <c r="B176" s="762"/>
      <c r="C176" s="464"/>
      <c r="D176" s="928"/>
      <c r="E176" s="1807"/>
      <c r="F176" s="955"/>
      <c r="G176" s="1945"/>
      <c r="H176" s="825" t="s">
        <v>61</v>
      </c>
      <c r="I176" s="36">
        <v>37</v>
      </c>
      <c r="J176" s="36">
        <v>100</v>
      </c>
      <c r="K176" s="36">
        <v>350</v>
      </c>
      <c r="L176" s="1833" t="s">
        <v>239</v>
      </c>
      <c r="M176" s="205" t="s">
        <v>253</v>
      </c>
      <c r="N176" s="205" t="s">
        <v>253</v>
      </c>
      <c r="O176" s="206" t="s">
        <v>40</v>
      </c>
    </row>
    <row r="177" spans="1:16" ht="14.25" customHeight="1" x14ac:dyDescent="0.25">
      <c r="A177" s="159"/>
      <c r="B177" s="762"/>
      <c r="C177" s="464"/>
      <c r="D177" s="928"/>
      <c r="E177" s="1807"/>
      <c r="F177" s="955"/>
      <c r="G177" s="1945"/>
      <c r="H177" s="826" t="s">
        <v>53</v>
      </c>
      <c r="I177" s="38">
        <v>1.8</v>
      </c>
      <c r="J177" s="38"/>
      <c r="K177" s="38"/>
      <c r="L177" s="1593"/>
      <c r="M177" s="253"/>
      <c r="N177" s="253"/>
      <c r="O177" s="226"/>
    </row>
    <row r="178" spans="1:16" ht="15.75" customHeight="1" x14ac:dyDescent="0.25">
      <c r="A178" s="159"/>
      <c r="B178" s="762"/>
      <c r="C178" s="464"/>
      <c r="D178" s="928"/>
      <c r="E178" s="1685" t="s">
        <v>345</v>
      </c>
      <c r="F178" s="955"/>
      <c r="G178" s="1945"/>
      <c r="H178" s="825" t="s">
        <v>61</v>
      </c>
      <c r="I178" s="36">
        <v>65.5</v>
      </c>
      <c r="J178" s="36"/>
      <c r="K178" s="36"/>
      <c r="L178" s="1256" t="s">
        <v>169</v>
      </c>
      <c r="M178" s="205" t="s">
        <v>49</v>
      </c>
      <c r="N178" s="205"/>
      <c r="O178" s="206"/>
    </row>
    <row r="179" spans="1:16" ht="14.25" customHeight="1" x14ac:dyDescent="0.25">
      <c r="A179" s="159"/>
      <c r="B179" s="762"/>
      <c r="C179" s="464"/>
      <c r="D179" s="980"/>
      <c r="E179" s="1804"/>
      <c r="F179" s="931"/>
      <c r="G179" s="1946"/>
      <c r="H179" s="827"/>
      <c r="I179" s="40"/>
      <c r="J179" s="40"/>
      <c r="K179" s="40"/>
      <c r="L179" s="134"/>
      <c r="M179" s="1258"/>
      <c r="N179" s="1258"/>
      <c r="O179" s="207"/>
    </row>
    <row r="180" spans="1:16" ht="30" customHeight="1" x14ac:dyDescent="0.25">
      <c r="A180" s="926"/>
      <c r="B180" s="956"/>
      <c r="C180" s="977"/>
      <c r="D180" s="761" t="s">
        <v>259</v>
      </c>
      <c r="E180" s="1922" t="s">
        <v>263</v>
      </c>
      <c r="F180" s="565" t="s">
        <v>266</v>
      </c>
      <c r="G180" s="1885" t="s">
        <v>129</v>
      </c>
      <c r="H180" s="45"/>
      <c r="I180" s="36"/>
      <c r="J180" s="36"/>
      <c r="K180" s="36"/>
      <c r="L180" s="1256" t="s">
        <v>262</v>
      </c>
      <c r="M180" s="1261">
        <v>1</v>
      </c>
      <c r="N180" s="1261"/>
      <c r="O180" s="1260"/>
      <c r="P180" s="950"/>
    </row>
    <row r="181" spans="1:16" ht="29.25" customHeight="1" x14ac:dyDescent="0.25">
      <c r="A181" s="926"/>
      <c r="B181" s="956"/>
      <c r="C181" s="977"/>
      <c r="D181" s="987"/>
      <c r="E181" s="1923"/>
      <c r="F181" s="981" t="s">
        <v>202</v>
      </c>
      <c r="G181" s="1883"/>
      <c r="H181" s="971" t="s">
        <v>23</v>
      </c>
      <c r="I181" s="954"/>
      <c r="J181" s="954"/>
      <c r="K181" s="954"/>
      <c r="L181" s="1257" t="s">
        <v>265</v>
      </c>
      <c r="M181" s="15"/>
      <c r="N181" s="15">
        <v>4</v>
      </c>
      <c r="O181" s="16">
        <v>4</v>
      </c>
      <c r="P181" s="562"/>
    </row>
    <row r="182" spans="1:16" ht="19.5" customHeight="1" x14ac:dyDescent="0.25">
      <c r="A182" s="926"/>
      <c r="B182" s="956"/>
      <c r="C182" s="977"/>
      <c r="D182" s="504" t="s">
        <v>124</v>
      </c>
      <c r="E182" s="1589" t="s">
        <v>356</v>
      </c>
      <c r="F182" s="59"/>
      <c r="G182" s="1885"/>
      <c r="H182" s="45" t="s">
        <v>23</v>
      </c>
      <c r="I182" s="36">
        <f>81.7+116.3+300-81.7-116.3+62.7</f>
        <v>362.7</v>
      </c>
      <c r="J182" s="36"/>
      <c r="K182" s="36"/>
      <c r="L182" s="1581" t="s">
        <v>355</v>
      </c>
      <c r="M182" s="487">
        <v>1</v>
      </c>
      <c r="N182" s="1261"/>
      <c r="O182" s="1260"/>
      <c r="P182" s="562" t="s">
        <v>368</v>
      </c>
    </row>
    <row r="183" spans="1:16" ht="10.5" customHeight="1" x14ac:dyDescent="0.25">
      <c r="A183" s="926"/>
      <c r="B183" s="956"/>
      <c r="C183" s="977"/>
      <c r="D183" s="504"/>
      <c r="E183" s="1596"/>
      <c r="F183" s="390"/>
      <c r="G183" s="1885"/>
      <c r="H183" s="45"/>
      <c r="I183" s="36"/>
      <c r="J183" s="36"/>
      <c r="K183" s="36"/>
      <c r="L183" s="1584"/>
      <c r="M183" s="446"/>
      <c r="N183" s="1261"/>
      <c r="O183" s="1260"/>
      <c r="P183" s="950"/>
    </row>
    <row r="184" spans="1:16" ht="8.25" customHeight="1" x14ac:dyDescent="0.25">
      <c r="A184" s="926"/>
      <c r="B184" s="956"/>
      <c r="C184" s="977"/>
      <c r="D184" s="844"/>
      <c r="E184" s="1590"/>
      <c r="F184" s="931"/>
      <c r="G184" s="1883"/>
      <c r="H184" s="971"/>
      <c r="I184" s="954"/>
      <c r="J184" s="954"/>
      <c r="K184" s="954"/>
      <c r="L184" s="1257"/>
      <c r="M184" s="15"/>
      <c r="N184" s="15"/>
      <c r="O184" s="16"/>
      <c r="P184" s="562"/>
    </row>
    <row r="185" spans="1:16" ht="18" customHeight="1" thickBot="1" x14ac:dyDescent="0.3">
      <c r="A185" s="458"/>
      <c r="B185" s="136"/>
      <c r="C185" s="178"/>
      <c r="D185" s="438"/>
      <c r="E185" s="179"/>
      <c r="F185" s="186"/>
      <c r="G185" s="175"/>
      <c r="H185" s="116" t="s">
        <v>5</v>
      </c>
      <c r="I185" s="79">
        <f>SUM(I137:I184)</f>
        <v>7104</v>
      </c>
      <c r="J185" s="79">
        <f>SUM(J137:J181)</f>
        <v>6166.4</v>
      </c>
      <c r="K185" s="79">
        <f>SUM(K137:K181)</f>
        <v>6513.2</v>
      </c>
      <c r="L185" s="187"/>
      <c r="M185" s="181"/>
      <c r="N185" s="181"/>
      <c r="O185" s="182"/>
    </row>
    <row r="186" spans="1:16" ht="14.25" customHeight="1" thickBot="1" x14ac:dyDescent="0.3">
      <c r="A186" s="52" t="s">
        <v>4</v>
      </c>
      <c r="B186" s="138" t="s">
        <v>6</v>
      </c>
      <c r="C186" s="1648" t="s">
        <v>7</v>
      </c>
      <c r="D186" s="1649"/>
      <c r="E186" s="1649"/>
      <c r="F186" s="1649"/>
      <c r="G186" s="1649"/>
      <c r="H186" s="1649"/>
      <c r="I186" s="81">
        <f>I185</f>
        <v>7104</v>
      </c>
      <c r="J186" s="81">
        <f t="shared" ref="J186:K186" si="1">J185</f>
        <v>6166.4</v>
      </c>
      <c r="K186" s="81">
        <f t="shared" si="1"/>
        <v>6513.2</v>
      </c>
      <c r="L186" s="1677"/>
      <c r="M186" s="1677"/>
      <c r="N186" s="1677"/>
      <c r="O186" s="1678"/>
    </row>
    <row r="187" spans="1:16" ht="18" customHeight="1" thickBot="1" x14ac:dyDescent="0.3">
      <c r="A187" s="42" t="s">
        <v>4</v>
      </c>
      <c r="B187" s="138" t="s">
        <v>26</v>
      </c>
      <c r="C187" s="1652" t="s">
        <v>84</v>
      </c>
      <c r="D187" s="1679"/>
      <c r="E187" s="1679"/>
      <c r="F187" s="1679"/>
      <c r="G187" s="1679"/>
      <c r="H187" s="1679"/>
      <c r="I187" s="1679"/>
      <c r="J187" s="1679"/>
      <c r="K187" s="1679"/>
      <c r="L187" s="1679"/>
      <c r="M187" s="1679"/>
      <c r="N187" s="1679"/>
      <c r="O187" s="1680"/>
    </row>
    <row r="188" spans="1:16" ht="27" customHeight="1" x14ac:dyDescent="0.25">
      <c r="A188" s="750" t="s">
        <v>4</v>
      </c>
      <c r="B188" s="137" t="s">
        <v>26</v>
      </c>
      <c r="C188" s="180" t="s">
        <v>4</v>
      </c>
      <c r="D188" s="747"/>
      <c r="E188" s="124" t="s">
        <v>81</v>
      </c>
      <c r="F188" s="761" t="s">
        <v>152</v>
      </c>
      <c r="G188" s="128"/>
      <c r="H188" s="53"/>
      <c r="I188" s="76"/>
      <c r="J188" s="76"/>
      <c r="K188" s="76"/>
      <c r="L188" s="54"/>
      <c r="M188" s="109"/>
      <c r="N188" s="109"/>
      <c r="O188" s="157"/>
    </row>
    <row r="189" spans="1:16" ht="13.5" customHeight="1" x14ac:dyDescent="0.25">
      <c r="A189" s="926"/>
      <c r="B189" s="956"/>
      <c r="C189" s="977"/>
      <c r="D189" s="978" t="s">
        <v>4</v>
      </c>
      <c r="E189" s="1589" t="s">
        <v>79</v>
      </c>
      <c r="F189" s="1599" t="s">
        <v>64</v>
      </c>
      <c r="G189" s="1882" t="s">
        <v>129</v>
      </c>
      <c r="H189" s="41" t="s">
        <v>61</v>
      </c>
      <c r="I189" s="36">
        <f>194.7-30+26.4</f>
        <v>191.1</v>
      </c>
      <c r="J189" s="36">
        <v>207.9</v>
      </c>
      <c r="K189" s="36">
        <v>207.9</v>
      </c>
      <c r="L189" s="941" t="s">
        <v>85</v>
      </c>
      <c r="M189" s="23">
        <v>14.5</v>
      </c>
      <c r="N189" s="23">
        <v>14.5</v>
      </c>
      <c r="O189" s="24">
        <v>14.5</v>
      </c>
      <c r="P189" s="172"/>
    </row>
    <row r="190" spans="1:16" ht="13.5" customHeight="1" x14ac:dyDescent="0.25">
      <c r="A190" s="926"/>
      <c r="B190" s="956"/>
      <c r="C190" s="977"/>
      <c r="D190" s="928"/>
      <c r="E190" s="1596"/>
      <c r="F190" s="1600"/>
      <c r="G190" s="1885"/>
      <c r="H190" s="36" t="s">
        <v>23</v>
      </c>
      <c r="I190" s="36">
        <v>53</v>
      </c>
      <c r="J190" s="36">
        <v>53</v>
      </c>
      <c r="K190" s="36">
        <v>53</v>
      </c>
      <c r="L190" s="941" t="s">
        <v>35</v>
      </c>
      <c r="M190" s="946">
        <v>71</v>
      </c>
      <c r="N190" s="946">
        <v>74</v>
      </c>
      <c r="O190" s="940">
        <v>81</v>
      </c>
      <c r="P190" s="172"/>
    </row>
    <row r="191" spans="1:16" ht="13.5" customHeight="1" x14ac:dyDescent="0.25">
      <c r="A191" s="926"/>
      <c r="B191" s="956"/>
      <c r="C191" s="977"/>
      <c r="D191" s="928"/>
      <c r="E191" s="1596"/>
      <c r="F191" s="1600"/>
      <c r="G191" s="976"/>
      <c r="H191" s="38" t="s">
        <v>76</v>
      </c>
      <c r="I191" s="38">
        <v>100</v>
      </c>
      <c r="J191" s="38">
        <v>100</v>
      </c>
      <c r="K191" s="38">
        <v>100</v>
      </c>
      <c r="L191" s="941"/>
      <c r="M191" s="23"/>
      <c r="N191" s="23"/>
      <c r="O191" s="24"/>
      <c r="P191" s="172"/>
    </row>
    <row r="192" spans="1:16" ht="23.25" customHeight="1" x14ac:dyDescent="0.25">
      <c r="A192" s="926"/>
      <c r="B192" s="956"/>
      <c r="C192" s="977"/>
      <c r="D192" s="928"/>
      <c r="E192" s="1596"/>
      <c r="F192" s="1681"/>
      <c r="G192" s="976"/>
      <c r="H192" s="38" t="s">
        <v>23</v>
      </c>
      <c r="I192" s="38">
        <v>78.5</v>
      </c>
      <c r="J192" s="38"/>
      <c r="K192" s="38"/>
      <c r="L192" s="345" t="s">
        <v>267</v>
      </c>
      <c r="M192" s="17">
        <v>7</v>
      </c>
      <c r="N192" s="96"/>
      <c r="O192" s="18"/>
      <c r="P192" s="172"/>
    </row>
    <row r="193" spans="1:16" ht="26.25" customHeight="1" x14ac:dyDescent="0.25">
      <c r="A193" s="926"/>
      <c r="B193" s="956"/>
      <c r="C193" s="977"/>
      <c r="D193" s="928"/>
      <c r="E193" s="1596"/>
      <c r="F193" s="949"/>
      <c r="G193" s="976"/>
      <c r="H193" s="34" t="s">
        <v>76</v>
      </c>
      <c r="I193" s="34">
        <v>181.5</v>
      </c>
      <c r="J193" s="34"/>
      <c r="K193" s="34"/>
      <c r="L193" s="345" t="s">
        <v>188</v>
      </c>
      <c r="M193" s="17">
        <v>100</v>
      </c>
      <c r="N193" s="313"/>
      <c r="O193" s="314"/>
      <c r="P193" s="737"/>
    </row>
    <row r="194" spans="1:16" ht="16.5" customHeight="1" x14ac:dyDescent="0.25">
      <c r="A194" s="926"/>
      <c r="B194" s="956"/>
      <c r="C194" s="977"/>
      <c r="D194" s="928"/>
      <c r="E194" s="1596"/>
      <c r="F194" s="949"/>
      <c r="G194" s="976"/>
      <c r="H194" s="36" t="s">
        <v>76</v>
      </c>
      <c r="I194" s="36">
        <v>85.2</v>
      </c>
      <c r="J194" s="36">
        <v>170</v>
      </c>
      <c r="K194" s="36"/>
      <c r="L194" s="941" t="s">
        <v>218</v>
      </c>
      <c r="M194" s="944">
        <v>6</v>
      </c>
      <c r="N194" s="23"/>
      <c r="O194" s="24"/>
      <c r="P194" s="737"/>
    </row>
    <row r="195" spans="1:16" ht="13.5" customHeight="1" x14ac:dyDescent="0.25">
      <c r="A195" s="926"/>
      <c r="B195" s="956"/>
      <c r="C195" s="977"/>
      <c r="D195" s="928"/>
      <c r="E195" s="1596"/>
      <c r="F195" s="949"/>
      <c r="G195" s="976"/>
      <c r="H195" s="36"/>
      <c r="I195" s="36"/>
      <c r="J195" s="36"/>
      <c r="K195" s="135"/>
      <c r="L195" s="1693" t="s">
        <v>219</v>
      </c>
      <c r="M195" s="828">
        <v>3</v>
      </c>
      <c r="N195" s="262"/>
      <c r="O195" s="234"/>
      <c r="P195" s="737"/>
    </row>
    <row r="196" spans="1:16" ht="8.25" customHeight="1" x14ac:dyDescent="0.25">
      <c r="A196" s="926"/>
      <c r="B196" s="956"/>
      <c r="C196" s="977"/>
      <c r="D196" s="928"/>
      <c r="E196" s="1596"/>
      <c r="F196" s="949"/>
      <c r="G196" s="976"/>
      <c r="H196" s="954"/>
      <c r="I196" s="954"/>
      <c r="J196" s="396"/>
      <c r="K196" s="396"/>
      <c r="L196" s="1968"/>
      <c r="M196" s="628"/>
      <c r="N196" s="626"/>
      <c r="O196" s="627"/>
      <c r="P196" s="172"/>
    </row>
    <row r="197" spans="1:16" ht="43.5" customHeight="1" x14ac:dyDescent="0.25">
      <c r="A197" s="926"/>
      <c r="B197" s="956"/>
      <c r="C197" s="977"/>
      <c r="D197" s="928"/>
      <c r="E197" s="919"/>
      <c r="F197" s="312"/>
      <c r="G197" s="982" t="s">
        <v>281</v>
      </c>
      <c r="H197" s="634" t="s">
        <v>61</v>
      </c>
      <c r="I197" s="634">
        <v>9.6999999999999993</v>
      </c>
      <c r="J197" s="634">
        <v>9.6999999999999993</v>
      </c>
      <c r="K197" s="634">
        <v>9.6999999999999993</v>
      </c>
      <c r="L197" s="911" t="s">
        <v>181</v>
      </c>
      <c r="M197" s="418">
        <v>60</v>
      </c>
      <c r="N197" s="635">
        <v>60</v>
      </c>
      <c r="O197" s="912">
        <v>60</v>
      </c>
      <c r="P197" s="172"/>
    </row>
    <row r="198" spans="1:16" ht="15" customHeight="1" x14ac:dyDescent="0.25">
      <c r="A198" s="926"/>
      <c r="B198" s="956"/>
      <c r="C198" s="977"/>
      <c r="D198" s="928" t="s">
        <v>6</v>
      </c>
      <c r="E198" s="918" t="s">
        <v>57</v>
      </c>
      <c r="F198" s="158"/>
      <c r="G198" s="1882" t="s">
        <v>129</v>
      </c>
      <c r="H198" s="36" t="s">
        <v>76</v>
      </c>
      <c r="I198" s="36">
        <v>100</v>
      </c>
      <c r="J198" s="36">
        <v>100</v>
      </c>
      <c r="K198" s="36">
        <v>100</v>
      </c>
      <c r="L198" s="941" t="s">
        <v>68</v>
      </c>
      <c r="M198" s="944">
        <v>1</v>
      </c>
      <c r="N198" s="946">
        <v>1</v>
      </c>
      <c r="O198" s="940">
        <v>1</v>
      </c>
      <c r="P198" s="737"/>
    </row>
    <row r="199" spans="1:16" ht="15" customHeight="1" x14ac:dyDescent="0.25">
      <c r="A199" s="926"/>
      <c r="B199" s="956"/>
      <c r="C199" s="977"/>
      <c r="D199" s="928"/>
      <c r="E199" s="919"/>
      <c r="F199" s="312"/>
      <c r="G199" s="1885"/>
      <c r="H199" s="36" t="s">
        <v>61</v>
      </c>
      <c r="I199" s="45">
        <v>10</v>
      </c>
      <c r="J199" s="45">
        <v>10</v>
      </c>
      <c r="K199" s="45">
        <v>10</v>
      </c>
      <c r="L199" s="941"/>
      <c r="M199" s="944"/>
      <c r="N199" s="946"/>
      <c r="O199" s="940"/>
      <c r="P199" s="172"/>
    </row>
    <row r="200" spans="1:16" ht="13.5" customHeight="1" x14ac:dyDescent="0.25">
      <c r="A200" s="926"/>
      <c r="B200" s="956"/>
      <c r="C200" s="977"/>
      <c r="D200" s="978" t="s">
        <v>26</v>
      </c>
      <c r="E200" s="1617" t="s">
        <v>87</v>
      </c>
      <c r="F200" s="291"/>
      <c r="G200" s="1915" t="s">
        <v>281</v>
      </c>
      <c r="H200" s="953" t="s">
        <v>61</v>
      </c>
      <c r="I200" s="72">
        <v>8</v>
      </c>
      <c r="J200" s="72">
        <v>8</v>
      </c>
      <c r="K200" s="72">
        <v>8</v>
      </c>
      <c r="L200" s="1696" t="s">
        <v>141</v>
      </c>
      <c r="M200" s="1697">
        <v>14</v>
      </c>
      <c r="N200" s="1699">
        <v>14</v>
      </c>
      <c r="O200" s="1691">
        <v>14</v>
      </c>
      <c r="P200" s="172"/>
    </row>
    <row r="201" spans="1:16" ht="10.5" customHeight="1" x14ac:dyDescent="0.25">
      <c r="A201" s="926"/>
      <c r="B201" s="956"/>
      <c r="C201" s="977"/>
      <c r="D201" s="928"/>
      <c r="E201" s="1695"/>
      <c r="F201" s="241"/>
      <c r="G201" s="1967"/>
      <c r="H201" s="36"/>
      <c r="I201" s="36"/>
      <c r="J201" s="36"/>
      <c r="K201" s="36"/>
      <c r="L201" s="1693"/>
      <c r="M201" s="1698"/>
      <c r="N201" s="1700"/>
      <c r="O201" s="1692"/>
      <c r="P201" s="172"/>
    </row>
    <row r="202" spans="1:16" ht="15.75" customHeight="1" x14ac:dyDescent="0.25">
      <c r="A202" s="926"/>
      <c r="B202" s="956"/>
      <c r="C202" s="977"/>
      <c r="D202" s="980"/>
      <c r="E202" s="1618"/>
      <c r="F202" s="242"/>
      <c r="G202" s="1967"/>
      <c r="H202" s="954"/>
      <c r="I202" s="971"/>
      <c r="J202" s="971"/>
      <c r="K202" s="971"/>
      <c r="L202" s="374"/>
      <c r="M202" s="15"/>
      <c r="N202" s="29"/>
      <c r="O202" s="16"/>
      <c r="P202" s="172"/>
    </row>
    <row r="203" spans="1:16" ht="18.75" customHeight="1" x14ac:dyDescent="0.25">
      <c r="A203" s="966"/>
      <c r="B203" s="956"/>
      <c r="C203" s="184"/>
      <c r="D203" s="928" t="s">
        <v>30</v>
      </c>
      <c r="E203" s="1633" t="s">
        <v>107</v>
      </c>
      <c r="F203" s="955" t="s">
        <v>44</v>
      </c>
      <c r="G203" s="1885"/>
      <c r="H203" s="36" t="s">
        <v>23</v>
      </c>
      <c r="I203" s="45">
        <v>54.5</v>
      </c>
      <c r="J203" s="45">
        <v>76.5</v>
      </c>
      <c r="K203" s="45">
        <v>76.5</v>
      </c>
      <c r="L203" s="1693" t="s">
        <v>96</v>
      </c>
      <c r="M203" s="208">
        <v>15</v>
      </c>
      <c r="N203" s="112">
        <v>15</v>
      </c>
      <c r="O203" s="117">
        <v>15</v>
      </c>
      <c r="P203" s="172"/>
    </row>
    <row r="204" spans="1:16" ht="13.5" customHeight="1" x14ac:dyDescent="0.25">
      <c r="A204" s="966"/>
      <c r="B204" s="956"/>
      <c r="C204" s="183"/>
      <c r="D204" s="980"/>
      <c r="E204" s="1688"/>
      <c r="F204" s="296"/>
      <c r="G204" s="1883"/>
      <c r="H204" s="954"/>
      <c r="I204" s="74"/>
      <c r="J204" s="74"/>
      <c r="K204" s="74"/>
      <c r="L204" s="1965"/>
      <c r="M204" s="209"/>
      <c r="N204" s="435"/>
      <c r="O204" s="290"/>
      <c r="P204" s="172"/>
    </row>
    <row r="205" spans="1:16" ht="19.5" customHeight="1" x14ac:dyDescent="0.25">
      <c r="A205" s="926"/>
      <c r="B205" s="956"/>
      <c r="C205" s="977"/>
      <c r="D205" s="978" t="s">
        <v>31</v>
      </c>
      <c r="E205" s="1574" t="s">
        <v>80</v>
      </c>
      <c r="F205" s="930"/>
      <c r="G205" s="1882" t="s">
        <v>129</v>
      </c>
      <c r="H205" s="953" t="s">
        <v>61</v>
      </c>
      <c r="I205" s="970">
        <v>594.70000000000005</v>
      </c>
      <c r="J205" s="970">
        <v>610.4</v>
      </c>
      <c r="K205" s="970">
        <v>626</v>
      </c>
      <c r="L205" s="756" t="s">
        <v>99</v>
      </c>
      <c r="M205" s="743">
        <v>172</v>
      </c>
      <c r="N205" s="354">
        <v>172</v>
      </c>
      <c r="O205" s="351">
        <v>172</v>
      </c>
      <c r="P205" s="172"/>
    </row>
    <row r="206" spans="1:16" ht="19.5" customHeight="1" x14ac:dyDescent="0.25">
      <c r="A206" s="966"/>
      <c r="B206" s="956"/>
      <c r="C206" s="198"/>
      <c r="D206" s="980"/>
      <c r="E206" s="1804"/>
      <c r="F206" s="931"/>
      <c r="G206" s="1885"/>
      <c r="H206" s="954" t="s">
        <v>63</v>
      </c>
      <c r="I206" s="971">
        <v>31.3</v>
      </c>
      <c r="J206" s="971">
        <v>31.3</v>
      </c>
      <c r="K206" s="971">
        <v>31.3</v>
      </c>
      <c r="L206" s="118"/>
      <c r="M206" s="744"/>
      <c r="N206" s="95"/>
      <c r="O206" s="19"/>
      <c r="P206" s="172"/>
    </row>
    <row r="207" spans="1:16" ht="26.25" customHeight="1" x14ac:dyDescent="0.25">
      <c r="A207" s="966"/>
      <c r="B207" s="956"/>
      <c r="C207" s="184"/>
      <c r="D207" s="928" t="s">
        <v>32</v>
      </c>
      <c r="E207" s="1633" t="s">
        <v>346</v>
      </c>
      <c r="F207" s="955"/>
      <c r="G207" s="1960"/>
      <c r="H207" s="36" t="s">
        <v>61</v>
      </c>
      <c r="I207" s="45">
        <v>3.6</v>
      </c>
      <c r="J207" s="45"/>
      <c r="K207" s="45"/>
      <c r="L207" s="988" t="s">
        <v>326</v>
      </c>
      <c r="M207" s="208">
        <v>30</v>
      </c>
      <c r="N207" s="112"/>
      <c r="O207" s="117"/>
      <c r="P207" s="172"/>
    </row>
    <row r="208" spans="1:16" ht="8.25" customHeight="1" x14ac:dyDescent="0.25">
      <c r="A208" s="966"/>
      <c r="B208" s="956"/>
      <c r="C208" s="183"/>
      <c r="D208" s="980"/>
      <c r="E208" s="1688"/>
      <c r="F208" s="296"/>
      <c r="G208" s="1960"/>
      <c r="H208" s="954"/>
      <c r="I208" s="74"/>
      <c r="J208" s="74"/>
      <c r="K208" s="74"/>
      <c r="L208" s="118"/>
      <c r="M208" s="280"/>
      <c r="N208" s="435"/>
      <c r="O208" s="290"/>
      <c r="P208" s="172"/>
    </row>
    <row r="209" spans="1:16" ht="28.5" customHeight="1" x14ac:dyDescent="0.25">
      <c r="A209" s="966"/>
      <c r="B209" s="956"/>
      <c r="C209" s="184"/>
      <c r="D209" s="928" t="s">
        <v>33</v>
      </c>
      <c r="E209" s="1633" t="s">
        <v>289</v>
      </c>
      <c r="F209" s="955"/>
      <c r="G209" s="998"/>
      <c r="H209" s="36" t="s">
        <v>23</v>
      </c>
      <c r="I209" s="45"/>
      <c r="J209" s="45">
        <v>30</v>
      </c>
      <c r="K209" s="45">
        <v>30</v>
      </c>
      <c r="L209" s="988" t="s">
        <v>220</v>
      </c>
      <c r="M209" s="208"/>
      <c r="N209" s="112">
        <v>10</v>
      </c>
      <c r="O209" s="117">
        <v>10</v>
      </c>
      <c r="P209" s="172"/>
    </row>
    <row r="210" spans="1:16" ht="12.75" customHeight="1" x14ac:dyDescent="0.25">
      <c r="A210" s="966"/>
      <c r="B210" s="956"/>
      <c r="C210" s="183"/>
      <c r="D210" s="980"/>
      <c r="E210" s="1688"/>
      <c r="F210" s="296"/>
      <c r="G210" s="998"/>
      <c r="H210" s="954"/>
      <c r="I210" s="74"/>
      <c r="J210" s="74"/>
      <c r="K210" s="74"/>
      <c r="L210" s="118"/>
      <c r="M210" s="280"/>
      <c r="N210" s="435"/>
      <c r="O210" s="290"/>
      <c r="P210" s="172"/>
    </row>
    <row r="211" spans="1:16" ht="17.25" customHeight="1" x14ac:dyDescent="0.25">
      <c r="A211" s="1586"/>
      <c r="B211" s="1587"/>
      <c r="C211" s="1875"/>
      <c r="D211" s="1876" t="s">
        <v>125</v>
      </c>
      <c r="E211" s="1664" t="s">
        <v>183</v>
      </c>
      <c r="F211" s="1689" t="s">
        <v>152</v>
      </c>
      <c r="G211" s="1882" t="s">
        <v>56</v>
      </c>
      <c r="H211" s="33" t="s">
        <v>23</v>
      </c>
      <c r="I211" s="218">
        <f>140.7+5.6-10</f>
        <v>136.30000000000001</v>
      </c>
      <c r="J211" s="45">
        <v>146.30000000000001</v>
      </c>
      <c r="K211" s="45">
        <v>146.30000000000001</v>
      </c>
      <c r="L211" s="988" t="s">
        <v>60</v>
      </c>
      <c r="M211" s="202">
        <v>18</v>
      </c>
      <c r="N211" s="287">
        <v>18</v>
      </c>
      <c r="O211" s="398">
        <v>18</v>
      </c>
    </row>
    <row r="212" spans="1:16" ht="29.25" customHeight="1" x14ac:dyDescent="0.25">
      <c r="A212" s="1586"/>
      <c r="B212" s="1587"/>
      <c r="C212" s="1875"/>
      <c r="D212" s="1877"/>
      <c r="E212" s="1688"/>
      <c r="F212" s="1690"/>
      <c r="G212" s="1883"/>
      <c r="H212" s="40"/>
      <c r="I212" s="86"/>
      <c r="J212" s="32"/>
      <c r="K212" s="32"/>
      <c r="L212" s="118" t="s">
        <v>69</v>
      </c>
      <c r="M212" s="149">
        <v>7</v>
      </c>
      <c r="N212" s="29">
        <v>7</v>
      </c>
      <c r="O212" s="16">
        <v>7</v>
      </c>
    </row>
    <row r="213" spans="1:16" ht="14.25" customHeight="1" thickBot="1" x14ac:dyDescent="0.3">
      <c r="A213" s="39"/>
      <c r="B213" s="746"/>
      <c r="C213" s="194"/>
      <c r="D213" s="194"/>
      <c r="E213" s="1001"/>
      <c r="F213" s="1002"/>
      <c r="G213" s="195"/>
      <c r="H213" s="79" t="s">
        <v>5</v>
      </c>
      <c r="I213" s="116">
        <f>SUM(I189:I212)</f>
        <v>1637.4</v>
      </c>
      <c r="J213" s="116">
        <f>SUM(J189:J212)</f>
        <v>1553.1</v>
      </c>
      <c r="K213" s="116">
        <f>SUM(K189:K212)</f>
        <v>1398.7</v>
      </c>
      <c r="L213" s="196"/>
      <c r="M213" s="281"/>
      <c r="N213" s="281"/>
      <c r="O213" s="451"/>
    </row>
    <row r="214" spans="1:16" ht="19.5" customHeight="1" x14ac:dyDescent="0.25">
      <c r="A214" s="748" t="s">
        <v>4</v>
      </c>
      <c r="B214" s="749" t="s">
        <v>26</v>
      </c>
      <c r="C214" s="237" t="s">
        <v>6</v>
      </c>
      <c r="D214" s="747"/>
      <c r="E214" s="1707" t="s">
        <v>261</v>
      </c>
      <c r="F214" s="1709"/>
      <c r="G214" s="238"/>
      <c r="H214" s="221"/>
      <c r="I214" s="239"/>
      <c r="J214" s="221"/>
      <c r="K214" s="239"/>
      <c r="L214" s="240"/>
      <c r="M214" s="122"/>
      <c r="N214" s="125"/>
      <c r="O214" s="126"/>
    </row>
    <row r="215" spans="1:16" ht="12" customHeight="1" x14ac:dyDescent="0.25">
      <c r="A215" s="934"/>
      <c r="B215" s="935"/>
      <c r="C215" s="979"/>
      <c r="D215" s="980"/>
      <c r="E215" s="1804"/>
      <c r="F215" s="1963"/>
      <c r="G215" s="214"/>
      <c r="H215" s="212"/>
      <c r="I215" s="213"/>
      <c r="J215" s="212"/>
      <c r="K215" s="213"/>
      <c r="L215" s="983"/>
      <c r="M215" s="89"/>
      <c r="N215" s="25"/>
      <c r="O215" s="26"/>
    </row>
    <row r="216" spans="1:16" ht="15" customHeight="1" x14ac:dyDescent="0.25">
      <c r="A216" s="1705"/>
      <c r="B216" s="1706"/>
      <c r="C216" s="1875"/>
      <c r="D216" s="978" t="s">
        <v>4</v>
      </c>
      <c r="E216" s="1887" t="s">
        <v>361</v>
      </c>
      <c r="F216" s="534" t="s">
        <v>282</v>
      </c>
      <c r="G216" s="1882" t="s">
        <v>285</v>
      </c>
      <c r="H216" s="953" t="s">
        <v>41</v>
      </c>
      <c r="I216" s="970">
        <v>628.20000000000005</v>
      </c>
      <c r="J216" s="953"/>
      <c r="K216" s="970"/>
      <c r="L216" s="1701" t="s">
        <v>128</v>
      </c>
      <c r="M216" s="943">
        <v>1</v>
      </c>
      <c r="N216" s="945"/>
      <c r="O216" s="939"/>
    </row>
    <row r="217" spans="1:16" ht="14.25" customHeight="1" x14ac:dyDescent="0.25">
      <c r="A217" s="1705"/>
      <c r="B217" s="1706"/>
      <c r="C217" s="1875"/>
      <c r="D217" s="928"/>
      <c r="E217" s="1888"/>
      <c r="F217" s="543" t="s">
        <v>152</v>
      </c>
      <c r="G217" s="1885"/>
      <c r="H217" s="36" t="s">
        <v>61</v>
      </c>
      <c r="I217" s="45">
        <f>393.9+31.3</f>
        <v>425.2</v>
      </c>
      <c r="J217" s="36"/>
      <c r="K217" s="45"/>
      <c r="L217" s="1787"/>
      <c r="M217" s="468"/>
      <c r="N217" s="946"/>
      <c r="O217" s="940"/>
    </row>
    <row r="218" spans="1:16" ht="25.5" customHeight="1" x14ac:dyDescent="0.25">
      <c r="A218" s="1705"/>
      <c r="B218" s="1706"/>
      <c r="C218" s="1875"/>
      <c r="D218" s="928"/>
      <c r="E218" s="1889"/>
      <c r="F218" s="1957" t="s">
        <v>255</v>
      </c>
      <c r="G218" s="1885"/>
      <c r="H218" s="36" t="s">
        <v>63</v>
      </c>
      <c r="I218" s="45">
        <f>186.6-31.3</f>
        <v>155.30000000000001</v>
      </c>
      <c r="J218" s="36"/>
      <c r="K218" s="45"/>
      <c r="L218" s="989" t="s">
        <v>242</v>
      </c>
      <c r="M218" s="944">
        <v>100</v>
      </c>
      <c r="N218" s="946"/>
      <c r="O218" s="940"/>
    </row>
    <row r="219" spans="1:16" ht="17.25" customHeight="1" x14ac:dyDescent="0.25">
      <c r="A219" s="1705"/>
      <c r="B219" s="1706"/>
      <c r="C219" s="1875"/>
      <c r="D219" s="928"/>
      <c r="E219" s="1889"/>
      <c r="F219" s="1957"/>
      <c r="G219" s="1885"/>
      <c r="H219" s="36" t="s">
        <v>23</v>
      </c>
      <c r="I219" s="45"/>
      <c r="J219" s="36"/>
      <c r="K219" s="45"/>
      <c r="L219" s="989"/>
      <c r="M219" s="944"/>
      <c r="N219" s="946"/>
      <c r="O219" s="940"/>
    </row>
    <row r="220" spans="1:16" ht="18.75" customHeight="1" x14ac:dyDescent="0.25">
      <c r="A220" s="1705"/>
      <c r="B220" s="1706"/>
      <c r="C220" s="1875"/>
      <c r="D220" s="928"/>
      <c r="E220" s="1890"/>
      <c r="F220" s="1958"/>
      <c r="G220" s="1885"/>
      <c r="H220" s="38" t="s">
        <v>53</v>
      </c>
      <c r="I220" s="85">
        <v>30</v>
      </c>
      <c r="J220" s="38"/>
      <c r="K220" s="85"/>
      <c r="L220" s="346"/>
      <c r="M220" s="502"/>
      <c r="N220" s="176"/>
      <c r="O220" s="277"/>
    </row>
    <row r="221" spans="1:16" ht="24.75" customHeight="1" x14ac:dyDescent="0.25">
      <c r="A221" s="934"/>
      <c r="B221" s="935"/>
      <c r="C221" s="979"/>
      <c r="D221" s="928"/>
      <c r="E221" s="1891" t="s">
        <v>275</v>
      </c>
      <c r="F221" s="519" t="s">
        <v>246</v>
      </c>
      <c r="G221" s="976"/>
      <c r="H221" s="36" t="s">
        <v>23</v>
      </c>
      <c r="I221" s="45"/>
      <c r="J221" s="36">
        <v>574.5</v>
      </c>
      <c r="K221" s="45">
        <v>1478.9</v>
      </c>
      <c r="L221" s="989" t="s">
        <v>92</v>
      </c>
      <c r="M221" s="751"/>
      <c r="N221" s="946">
        <v>20</v>
      </c>
      <c r="O221" s="940">
        <v>80</v>
      </c>
    </row>
    <row r="222" spans="1:16" ht="15" customHeight="1" x14ac:dyDescent="0.25">
      <c r="A222" s="934"/>
      <c r="B222" s="935"/>
      <c r="C222" s="979"/>
      <c r="D222" s="980"/>
      <c r="E222" s="1892"/>
      <c r="F222" s="520"/>
      <c r="G222" s="976"/>
      <c r="H222" s="954"/>
      <c r="I222" s="971"/>
      <c r="J222" s="954"/>
      <c r="K222" s="971"/>
      <c r="L222" s="678"/>
      <c r="M222" s="29"/>
      <c r="N222" s="29"/>
      <c r="O222" s="16"/>
    </row>
    <row r="223" spans="1:16" ht="24.75" customHeight="1" x14ac:dyDescent="0.25">
      <c r="A223" s="1705"/>
      <c r="B223" s="1706"/>
      <c r="C223" s="1875"/>
      <c r="D223" s="928" t="s">
        <v>6</v>
      </c>
      <c r="E223" s="1907" t="s">
        <v>126</v>
      </c>
      <c r="F223" s="544" t="s">
        <v>283</v>
      </c>
      <c r="G223" s="1885"/>
      <c r="H223" s="36" t="s">
        <v>23</v>
      </c>
      <c r="I223" s="45">
        <v>3.8</v>
      </c>
      <c r="J223" s="36">
        <v>3</v>
      </c>
      <c r="K223" s="45"/>
      <c r="L223" s="1701" t="s">
        <v>127</v>
      </c>
      <c r="M223" s="481"/>
      <c r="N223" s="946">
        <v>1</v>
      </c>
      <c r="O223" s="940"/>
    </row>
    <row r="224" spans="1:16" ht="15" customHeight="1" x14ac:dyDescent="0.25">
      <c r="A224" s="1705"/>
      <c r="B224" s="1706"/>
      <c r="C224" s="1875"/>
      <c r="D224" s="928"/>
      <c r="E224" s="1907"/>
      <c r="F224" s="553" t="s">
        <v>202</v>
      </c>
      <c r="G224" s="1885"/>
      <c r="H224" s="36" t="s">
        <v>53</v>
      </c>
      <c r="I224" s="45">
        <v>202.6</v>
      </c>
      <c r="J224" s="36"/>
      <c r="K224" s="45"/>
      <c r="L224" s="1966"/>
      <c r="M224" s="946"/>
      <c r="N224" s="946"/>
      <c r="O224" s="940"/>
    </row>
    <row r="225" spans="1:16" ht="16.5" customHeight="1" x14ac:dyDescent="0.25">
      <c r="A225" s="1705"/>
      <c r="B225" s="1706"/>
      <c r="C225" s="1875"/>
      <c r="D225" s="928"/>
      <c r="E225" s="1964"/>
      <c r="F225" s="1959" t="s">
        <v>254</v>
      </c>
      <c r="G225" s="1885"/>
      <c r="H225" s="36" t="s">
        <v>41</v>
      </c>
      <c r="I225" s="45">
        <v>328.8</v>
      </c>
      <c r="J225" s="36">
        <v>27.3</v>
      </c>
      <c r="K225" s="45"/>
      <c r="L225" s="989" t="s">
        <v>113</v>
      </c>
      <c r="M225" s="944">
        <v>1</v>
      </c>
      <c r="N225" s="946"/>
      <c r="O225" s="940"/>
    </row>
    <row r="226" spans="1:16" ht="12" customHeight="1" x14ac:dyDescent="0.25">
      <c r="A226" s="159"/>
      <c r="B226" s="935"/>
      <c r="C226" s="193"/>
      <c r="D226" s="928"/>
      <c r="E226" s="1964"/>
      <c r="F226" s="1921"/>
      <c r="G226" s="976"/>
      <c r="H226" s="36"/>
      <c r="I226" s="45"/>
      <c r="J226" s="36"/>
      <c r="K226" s="45"/>
      <c r="L226" s="678"/>
      <c r="M226" s="15"/>
      <c r="N226" s="29"/>
      <c r="O226" s="16"/>
    </row>
    <row r="227" spans="1:16" ht="14.25" customHeight="1" x14ac:dyDescent="0.25">
      <c r="A227" s="1586"/>
      <c r="B227" s="1587"/>
      <c r="C227" s="1875"/>
      <c r="D227" s="1876" t="s">
        <v>26</v>
      </c>
      <c r="E227" s="1574" t="s">
        <v>197</v>
      </c>
      <c r="F227" s="1961" t="s">
        <v>256</v>
      </c>
      <c r="G227" s="1882" t="s">
        <v>360</v>
      </c>
      <c r="H227" s="953" t="s">
        <v>23</v>
      </c>
      <c r="I227" s="1020">
        <v>2.1</v>
      </c>
      <c r="J227" s="835">
        <v>4.4000000000000004</v>
      </c>
      <c r="K227" s="1020">
        <v>1.4</v>
      </c>
      <c r="L227" s="989" t="s">
        <v>207</v>
      </c>
      <c r="M227" s="114"/>
      <c r="N227" s="114"/>
      <c r="O227" s="171" t="s">
        <v>49</v>
      </c>
    </row>
    <row r="228" spans="1:16" ht="14.25" customHeight="1" x14ac:dyDescent="0.25">
      <c r="A228" s="1586"/>
      <c r="B228" s="1587"/>
      <c r="C228" s="1875"/>
      <c r="D228" s="1886"/>
      <c r="E228" s="1575"/>
      <c r="F228" s="1962"/>
      <c r="G228" s="1885"/>
      <c r="H228" s="36" t="s">
        <v>53</v>
      </c>
      <c r="I228" s="45">
        <v>0.7</v>
      </c>
      <c r="J228" s="36"/>
      <c r="K228" s="45"/>
      <c r="L228" s="989"/>
      <c r="M228" s="287"/>
      <c r="N228" s="114"/>
      <c r="O228" s="171"/>
    </row>
    <row r="229" spans="1:16" ht="18" customHeight="1" x14ac:dyDescent="0.25">
      <c r="A229" s="1586"/>
      <c r="B229" s="1587"/>
      <c r="C229" s="1875"/>
      <c r="D229" s="1877"/>
      <c r="E229" s="1623"/>
      <c r="F229" s="1714"/>
      <c r="G229" s="1883"/>
      <c r="H229" s="40" t="s">
        <v>306</v>
      </c>
      <c r="I229" s="1021">
        <f>4.3+11.4</f>
        <v>15.7</v>
      </c>
      <c r="J229" s="1231">
        <v>24.9</v>
      </c>
      <c r="K229" s="1232">
        <v>8.3000000000000007</v>
      </c>
      <c r="L229" s="14"/>
      <c r="M229" s="29"/>
      <c r="N229" s="29"/>
      <c r="O229" s="16"/>
    </row>
    <row r="230" spans="1:16" ht="14.25" customHeight="1" x14ac:dyDescent="0.25">
      <c r="A230" s="1586"/>
      <c r="B230" s="1587"/>
      <c r="C230" s="1875"/>
      <c r="D230" s="1876" t="s">
        <v>30</v>
      </c>
      <c r="E230" s="1574" t="s">
        <v>284</v>
      </c>
      <c r="F230" s="1961" t="s">
        <v>256</v>
      </c>
      <c r="G230" s="1885" t="s">
        <v>286</v>
      </c>
      <c r="H230" s="33" t="s">
        <v>41</v>
      </c>
      <c r="I230" s="970">
        <v>40</v>
      </c>
      <c r="J230" s="953">
        <v>40</v>
      </c>
      <c r="K230" s="970"/>
      <c r="L230" s="989" t="s">
        <v>200</v>
      </c>
      <c r="M230" s="287"/>
      <c r="N230" s="957" t="s">
        <v>49</v>
      </c>
      <c r="O230" s="204"/>
    </row>
    <row r="231" spans="1:16" ht="13.5" customHeight="1" x14ac:dyDescent="0.25">
      <c r="A231" s="1586"/>
      <c r="B231" s="1587"/>
      <c r="C231" s="1875"/>
      <c r="D231" s="1886"/>
      <c r="E231" s="1575"/>
      <c r="F231" s="1962"/>
      <c r="G231" s="1885"/>
      <c r="H231" s="36"/>
      <c r="I231" s="45"/>
      <c r="J231" s="36"/>
      <c r="K231" s="45"/>
      <c r="L231" s="989"/>
      <c r="M231" s="946"/>
      <c r="N231" s="114"/>
      <c r="O231" s="171"/>
    </row>
    <row r="232" spans="1:16" ht="14.25" customHeight="1" x14ac:dyDescent="0.25">
      <c r="A232" s="1586"/>
      <c r="B232" s="1587"/>
      <c r="C232" s="1875"/>
      <c r="D232" s="1877"/>
      <c r="E232" s="1576"/>
      <c r="F232" s="1714"/>
      <c r="G232" s="1883"/>
      <c r="H232" s="40"/>
      <c r="I232" s="971"/>
      <c r="J232" s="32"/>
      <c r="K232" s="86"/>
      <c r="L232" s="14"/>
      <c r="M232" s="29"/>
      <c r="N232" s="29"/>
      <c r="O232" s="16"/>
    </row>
    <row r="233" spans="1:16" ht="29.25" customHeight="1" x14ac:dyDescent="0.25">
      <c r="A233" s="1586"/>
      <c r="B233" s="1587"/>
      <c r="C233" s="1875"/>
      <c r="D233" s="1876" t="s">
        <v>31</v>
      </c>
      <c r="E233" s="1574" t="s">
        <v>139</v>
      </c>
      <c r="F233" s="1880" t="s">
        <v>272</v>
      </c>
      <c r="G233" s="1882" t="s">
        <v>129</v>
      </c>
      <c r="H233" s="953" t="s">
        <v>61</v>
      </c>
      <c r="I233" s="1020">
        <f>22+17.9</f>
        <v>39.9</v>
      </c>
      <c r="J233" s="1020">
        <f t="shared" ref="J233:K233" si="2">22+17.9</f>
        <v>39.9</v>
      </c>
      <c r="K233" s="1020">
        <f t="shared" si="2"/>
        <v>39.9</v>
      </c>
      <c r="L233" s="490" t="s">
        <v>149</v>
      </c>
      <c r="M233" s="259">
        <v>8</v>
      </c>
      <c r="N233" s="473">
        <v>8</v>
      </c>
      <c r="O233" s="155">
        <v>8</v>
      </c>
      <c r="P233" s="1874"/>
    </row>
    <row r="234" spans="1:16" ht="33.75" customHeight="1" x14ac:dyDescent="0.25">
      <c r="A234" s="1586"/>
      <c r="B234" s="1587"/>
      <c r="C234" s="1875"/>
      <c r="D234" s="1877"/>
      <c r="E234" s="1576"/>
      <c r="F234" s="1881"/>
      <c r="G234" s="1883"/>
      <c r="H234" s="954"/>
      <c r="I234" s="971"/>
      <c r="J234" s="954"/>
      <c r="K234" s="971"/>
      <c r="L234" s="14" t="s">
        <v>348</v>
      </c>
      <c r="M234" s="1008">
        <v>5</v>
      </c>
      <c r="N234" s="1008">
        <v>6</v>
      </c>
      <c r="O234" s="1023">
        <v>6</v>
      </c>
      <c r="P234" s="1874"/>
    </row>
    <row r="235" spans="1:16" ht="29.25" customHeight="1" x14ac:dyDescent="0.25">
      <c r="A235" s="1586"/>
      <c r="B235" s="1587"/>
      <c r="C235" s="1875"/>
      <c r="D235" s="1876" t="s">
        <v>32</v>
      </c>
      <c r="E235" s="1878" t="s">
        <v>364</v>
      </c>
      <c r="F235" s="1880" t="s">
        <v>371</v>
      </c>
      <c r="G235" s="1882" t="s">
        <v>129</v>
      </c>
      <c r="H235" s="835" t="s">
        <v>23</v>
      </c>
      <c r="I235" s="1020">
        <v>3.6</v>
      </c>
      <c r="J235" s="835">
        <v>3.6</v>
      </c>
      <c r="K235" s="1020">
        <v>3.6</v>
      </c>
      <c r="L235" s="1024" t="s">
        <v>365</v>
      </c>
      <c r="M235" s="1025">
        <v>3</v>
      </c>
      <c r="N235" s="1026">
        <v>3</v>
      </c>
      <c r="O235" s="1027">
        <v>3</v>
      </c>
      <c r="P235" s="1884"/>
    </row>
    <row r="236" spans="1:16" ht="21.75" customHeight="1" x14ac:dyDescent="0.25">
      <c r="A236" s="1586"/>
      <c r="B236" s="1587"/>
      <c r="C236" s="1875"/>
      <c r="D236" s="1877"/>
      <c r="E236" s="1879"/>
      <c r="F236" s="1881"/>
      <c r="G236" s="1883"/>
      <c r="H236" s="994"/>
      <c r="I236" s="995"/>
      <c r="J236" s="994"/>
      <c r="K236" s="995"/>
      <c r="L236" s="14"/>
      <c r="M236" s="29"/>
      <c r="N236" s="15"/>
      <c r="O236" s="16"/>
      <c r="P236" s="1884"/>
    </row>
    <row r="237" spans="1:16" ht="14.25" customHeight="1" thickBot="1" x14ac:dyDescent="0.3">
      <c r="A237" s="39"/>
      <c r="B237" s="746"/>
      <c r="C237" s="194"/>
      <c r="D237" s="194"/>
      <c r="E237" s="1001"/>
      <c r="F237" s="1002"/>
      <c r="G237" s="195"/>
      <c r="H237" s="79" t="s">
        <v>5</v>
      </c>
      <c r="I237" s="116">
        <f>SUM(I216:I236)</f>
        <v>1875.9</v>
      </c>
      <c r="J237" s="116">
        <f t="shared" ref="J237:K237" si="3">SUM(J216:J236)</f>
        <v>717.6</v>
      </c>
      <c r="K237" s="116">
        <f t="shared" si="3"/>
        <v>1532.1</v>
      </c>
      <c r="L237" s="196"/>
      <c r="M237" s="281"/>
      <c r="N237" s="281"/>
      <c r="O237" s="451"/>
    </row>
    <row r="238" spans="1:16" ht="14.25" customHeight="1" thickBot="1" x14ac:dyDescent="0.3">
      <c r="A238" s="52" t="s">
        <v>4</v>
      </c>
      <c r="B238" s="43" t="s">
        <v>26</v>
      </c>
      <c r="C238" s="1649" t="s">
        <v>7</v>
      </c>
      <c r="D238" s="1649"/>
      <c r="E238" s="1649"/>
      <c r="F238" s="1649"/>
      <c r="G238" s="1649"/>
      <c r="H238" s="1718"/>
      <c r="I238" s="119">
        <f>I237+I213</f>
        <v>3513.3</v>
      </c>
      <c r="J238" s="119">
        <f>J237+J213</f>
        <v>2270.6999999999998</v>
      </c>
      <c r="K238" s="119">
        <f>K237+K213</f>
        <v>2930.8</v>
      </c>
      <c r="L238" s="1719"/>
      <c r="M238" s="1677"/>
      <c r="N238" s="1677"/>
      <c r="O238" s="1678"/>
    </row>
    <row r="239" spans="1:16" ht="14.25" customHeight="1" thickBot="1" x14ac:dyDescent="0.3">
      <c r="A239" s="52" t="s">
        <v>4</v>
      </c>
      <c r="B239" s="1720" t="s">
        <v>8</v>
      </c>
      <c r="C239" s="1721"/>
      <c r="D239" s="1721"/>
      <c r="E239" s="1721"/>
      <c r="F239" s="1721"/>
      <c r="G239" s="1721"/>
      <c r="H239" s="1722"/>
      <c r="I239" s="82">
        <f>I238+I186+I134</f>
        <v>33375.599999999999</v>
      </c>
      <c r="J239" s="82">
        <f>J238+J186+J134</f>
        <v>34018.199999999997</v>
      </c>
      <c r="K239" s="82">
        <f>K238+K186+K134</f>
        <v>32756.3</v>
      </c>
      <c r="L239" s="1723"/>
      <c r="M239" s="1723"/>
      <c r="N239" s="1723"/>
      <c r="O239" s="1724"/>
    </row>
    <row r="240" spans="1:16" ht="14.25" customHeight="1" thickBot="1" x14ac:dyDescent="0.3">
      <c r="A240" s="57" t="s">
        <v>32</v>
      </c>
      <c r="B240" s="1725" t="s">
        <v>51</v>
      </c>
      <c r="C240" s="1726"/>
      <c r="D240" s="1726"/>
      <c r="E240" s="1726"/>
      <c r="F240" s="1726"/>
      <c r="G240" s="1726"/>
      <c r="H240" s="1727"/>
      <c r="I240" s="83">
        <f>SUM(I239)</f>
        <v>33375.599999999999</v>
      </c>
      <c r="J240" s="83">
        <f t="shared" ref="J240:K240" si="4">SUM(J239)</f>
        <v>34018.199999999997</v>
      </c>
      <c r="K240" s="83">
        <f t="shared" si="4"/>
        <v>32756.3</v>
      </c>
      <c r="L240" s="1728"/>
      <c r="M240" s="1728"/>
      <c r="N240" s="1728"/>
      <c r="O240" s="1729"/>
    </row>
    <row r="241" spans="1:15" ht="14.25" customHeight="1" x14ac:dyDescent="0.25">
      <c r="A241" s="1761"/>
      <c r="B241" s="1761"/>
      <c r="C241" s="1761"/>
      <c r="D241" s="1761"/>
      <c r="E241" s="1761"/>
      <c r="F241" s="1761"/>
      <c r="G241" s="1761"/>
      <c r="H241" s="1761"/>
      <c r="I241" s="1761"/>
      <c r="J241" s="1761"/>
      <c r="K241" s="378"/>
      <c r="L241" s="58"/>
      <c r="M241" s="58"/>
      <c r="N241" s="58"/>
      <c r="O241" s="58"/>
    </row>
    <row r="242" spans="1:15" s="4" customFormat="1" ht="12" customHeight="1" x14ac:dyDescent="0.25">
      <c r="A242" s="300"/>
      <c r="B242" s="898"/>
      <c r="C242" s="898"/>
      <c r="D242" s="541"/>
      <c r="E242" s="898"/>
      <c r="F242" s="899"/>
      <c r="G242" s="898"/>
      <c r="H242" s="898"/>
      <c r="I242" s="898"/>
      <c r="J242" s="898"/>
      <c r="K242" s="898"/>
      <c r="L242" s="898"/>
      <c r="M242" s="300"/>
      <c r="N242" s="300"/>
      <c r="O242" s="300"/>
    </row>
    <row r="243" spans="1:15" s="5" customFormat="1" ht="15" customHeight="1" thickBot="1" x14ac:dyDescent="0.3">
      <c r="A243" s="1762" t="s">
        <v>12</v>
      </c>
      <c r="B243" s="1762"/>
      <c r="C243" s="1762"/>
      <c r="D243" s="1762"/>
      <c r="E243" s="1762"/>
      <c r="F243" s="1762"/>
      <c r="G243" s="1762"/>
      <c r="H243" s="1762"/>
      <c r="I243" s="90"/>
      <c r="J243" s="90"/>
      <c r="K243" s="90"/>
      <c r="L243" s="58"/>
      <c r="M243" s="58"/>
      <c r="N243" s="58"/>
      <c r="O243" s="58"/>
    </row>
    <row r="244" spans="1:15" ht="62.25" customHeight="1" thickBot="1" x14ac:dyDescent="0.3">
      <c r="A244" s="1763" t="s">
        <v>9</v>
      </c>
      <c r="B244" s="1764"/>
      <c r="C244" s="1764"/>
      <c r="D244" s="1764"/>
      <c r="E244" s="1764"/>
      <c r="F244" s="1764"/>
      <c r="G244" s="1764"/>
      <c r="H244" s="1765"/>
      <c r="I244" s="274" t="s">
        <v>212</v>
      </c>
      <c r="J244" s="1003" t="s">
        <v>147</v>
      </c>
      <c r="K244" s="1003" t="s">
        <v>213</v>
      </c>
      <c r="L244" s="10"/>
      <c r="M244" s="10"/>
      <c r="N244" s="10"/>
      <c r="O244" s="10"/>
    </row>
    <row r="245" spans="1:15" ht="14.25" customHeight="1" x14ac:dyDescent="0.25">
      <c r="A245" s="1766" t="s">
        <v>13</v>
      </c>
      <c r="B245" s="1767"/>
      <c r="C245" s="1767"/>
      <c r="D245" s="1767"/>
      <c r="E245" s="1767"/>
      <c r="F245" s="1767"/>
      <c r="G245" s="1767"/>
      <c r="H245" s="1768"/>
      <c r="I245" s="275">
        <f>I246+I253+I254+I255+I256</f>
        <v>29731.5</v>
      </c>
      <c r="J245" s="331">
        <f>J246+J254+J255+J256+J253</f>
        <v>26852.3</v>
      </c>
      <c r="K245" s="331">
        <f>K246+K254+K255+K256+K253</f>
        <v>19341.599999999999</v>
      </c>
      <c r="L245" s="10"/>
      <c r="M245" s="10"/>
      <c r="N245" s="10"/>
      <c r="O245" s="10"/>
    </row>
    <row r="246" spans="1:15" ht="14.25" customHeight="1" x14ac:dyDescent="0.25">
      <c r="A246" s="1769" t="s">
        <v>70</v>
      </c>
      <c r="B246" s="1770"/>
      <c r="C246" s="1770"/>
      <c r="D246" s="1770"/>
      <c r="E246" s="1770"/>
      <c r="F246" s="1770"/>
      <c r="G246" s="1770"/>
      <c r="H246" s="1771"/>
      <c r="I246" s="276">
        <f>I247+I248+I249+I250+I251+I252</f>
        <v>24364.5</v>
      </c>
      <c r="J246" s="276">
        <f t="shared" ref="J246:K246" si="5">SUM(J247:J252)</f>
        <v>26821</v>
      </c>
      <c r="K246" s="330">
        <f t="shared" si="5"/>
        <v>19310.3</v>
      </c>
      <c r="L246" s="10"/>
      <c r="M246" s="10"/>
      <c r="N246" s="10"/>
      <c r="O246" s="10"/>
    </row>
    <row r="247" spans="1:15" ht="14.25" customHeight="1" x14ac:dyDescent="0.25">
      <c r="A247" s="1715" t="s">
        <v>18</v>
      </c>
      <c r="B247" s="1716"/>
      <c r="C247" s="1716"/>
      <c r="D247" s="1716"/>
      <c r="E247" s="1716"/>
      <c r="F247" s="1716"/>
      <c r="G247" s="1716"/>
      <c r="H247" s="1717"/>
      <c r="I247" s="954">
        <f>SUMIF(H13:H240,"SB",I13:I240)</f>
        <v>8476.1</v>
      </c>
      <c r="J247" s="954">
        <f>SUMIF(H15:H240,"SB",J15:J240)</f>
        <v>15077.2</v>
      </c>
      <c r="K247" s="954">
        <f>SUMIF(H15:H240,"SB",K15:K240)</f>
        <v>12032.6</v>
      </c>
      <c r="L247" s="30"/>
      <c r="M247" s="10"/>
      <c r="N247" s="10"/>
      <c r="O247" s="10"/>
    </row>
    <row r="248" spans="1:15" ht="14.25" customHeight="1" x14ac:dyDescent="0.25">
      <c r="A248" s="1731" t="s">
        <v>62</v>
      </c>
      <c r="B248" s="1732"/>
      <c r="C248" s="1732"/>
      <c r="D248" s="1732"/>
      <c r="E248" s="1732"/>
      <c r="F248" s="1732"/>
      <c r="G248" s="1732"/>
      <c r="H248" s="1733"/>
      <c r="I248" s="954">
        <f>SUMIF(H15:H240,"SB(VR)",I15:I240)</f>
        <v>1900</v>
      </c>
      <c r="J248" s="954">
        <f>SUMIF(H15:H240,"SB(VR)",J15:J240)</f>
        <v>1279.0999999999999</v>
      </c>
      <c r="K248" s="954">
        <f>SUMIF(H15:H240,"SB(VR)",K15:K240)</f>
        <v>1501.5</v>
      </c>
      <c r="L248" s="10"/>
      <c r="M248" s="10"/>
      <c r="N248" s="10"/>
      <c r="O248" s="10"/>
    </row>
    <row r="249" spans="1:15" ht="14.25" customHeight="1" x14ac:dyDescent="0.25">
      <c r="A249" s="1750" t="s">
        <v>110</v>
      </c>
      <c r="B249" s="1751"/>
      <c r="C249" s="1751"/>
      <c r="D249" s="1751"/>
      <c r="E249" s="1751"/>
      <c r="F249" s="1751"/>
      <c r="G249" s="1751"/>
      <c r="H249" s="1752"/>
      <c r="I249" s="32">
        <f>SUMIF(H15:H238,"SB(ES)",I15:I238)</f>
        <v>2802.6</v>
      </c>
      <c r="J249" s="32">
        <f>SUMIF(H15:H238,"SB(ES)",J15:J238)</f>
        <v>136.5</v>
      </c>
      <c r="K249" s="32">
        <f>SUMIF(H15:H238,"SB(ES)",K15:K238)</f>
        <v>0</v>
      </c>
      <c r="L249" s="10"/>
      <c r="M249" s="10"/>
      <c r="N249" s="10"/>
      <c r="O249" s="10"/>
    </row>
    <row r="250" spans="1:15" ht="14.25" customHeight="1" x14ac:dyDescent="0.25">
      <c r="A250" s="1750" t="s">
        <v>159</v>
      </c>
      <c r="B250" s="1751"/>
      <c r="C250" s="1751"/>
      <c r="D250" s="1751"/>
      <c r="E250" s="1751"/>
      <c r="F250" s="1751"/>
      <c r="G250" s="1751"/>
      <c r="H250" s="1752"/>
      <c r="I250" s="32">
        <f>SUMIF(H15:H238,"SB(VB)",I15:I238)</f>
        <v>5000</v>
      </c>
      <c r="J250" s="32">
        <f>SUMIF(H15:H238,"SB(VB)",J15:J238)</f>
        <v>5000</v>
      </c>
      <c r="K250" s="32">
        <f>SUMIF(H15:H238,"SB(VB)",K15:K238)</f>
        <v>0</v>
      </c>
      <c r="L250" s="10"/>
      <c r="M250" s="10"/>
      <c r="N250" s="10"/>
      <c r="O250" s="10"/>
    </row>
    <row r="251" spans="1:15" ht="15.75" customHeight="1" x14ac:dyDescent="0.25">
      <c r="A251" s="1518" t="s">
        <v>184</v>
      </c>
      <c r="B251" s="1756"/>
      <c r="C251" s="1756"/>
      <c r="D251" s="1756"/>
      <c r="E251" s="1756"/>
      <c r="F251" s="1756"/>
      <c r="G251" s="1756"/>
      <c r="H251" s="1757"/>
      <c r="I251" s="32">
        <f>SUMIF(H13:H240,"SB(KPP)",I13:I240)</f>
        <v>6170.1</v>
      </c>
      <c r="J251" s="32">
        <f>SUMIF(H13:H240,"SB(KPP)",J13:J240)</f>
        <v>5303.3</v>
      </c>
      <c r="K251" s="32">
        <f>SUMIF(H13:H240,"SB(KPP)",K13:K240)</f>
        <v>5767.9</v>
      </c>
      <c r="L251" s="10"/>
      <c r="M251" s="10"/>
      <c r="N251" s="10"/>
      <c r="O251" s="10"/>
    </row>
    <row r="252" spans="1:15" ht="27" customHeight="1" x14ac:dyDescent="0.25">
      <c r="A252" s="1518" t="s">
        <v>307</v>
      </c>
      <c r="B252" s="1756"/>
      <c r="C252" s="1756"/>
      <c r="D252" s="1756"/>
      <c r="E252" s="1756"/>
      <c r="F252" s="1756"/>
      <c r="G252" s="1756"/>
      <c r="H252" s="1757"/>
      <c r="I252" s="32">
        <f>SUMIF(H15:H241,"SB(ESA)",I15:I241)</f>
        <v>15.7</v>
      </c>
      <c r="J252" s="32">
        <f>SUMIF(H16:H241,"SB(ESA)",J16:J241)</f>
        <v>24.9</v>
      </c>
      <c r="K252" s="32">
        <f>SUMIF(H16:H241,"SB(ESA)",K16:K241)</f>
        <v>8.3000000000000007</v>
      </c>
      <c r="L252" s="10"/>
      <c r="M252" s="10"/>
      <c r="N252" s="10"/>
      <c r="O252" s="10"/>
    </row>
    <row r="253" spans="1:15" ht="15.75" customHeight="1" x14ac:dyDescent="0.25">
      <c r="A253" s="1741" t="s">
        <v>359</v>
      </c>
      <c r="B253" s="1758"/>
      <c r="C253" s="1758"/>
      <c r="D253" s="1758"/>
      <c r="E253" s="1758"/>
      <c r="F253" s="1758"/>
      <c r="G253" s="1758"/>
      <c r="H253" s="1759"/>
      <c r="I253" s="140">
        <f>SUMIF(H15:H240,"KPP",I15:I240)</f>
        <v>0</v>
      </c>
      <c r="J253" s="140">
        <f>SUMIF(H15:H240,"KPP",J15:J240)</f>
        <v>0</v>
      </c>
      <c r="K253" s="140">
        <f>SUMIF(H15:H240,"KPP",K15:K240)</f>
        <v>0</v>
      </c>
      <c r="L253" s="10"/>
      <c r="M253" s="10"/>
      <c r="N253" s="10"/>
      <c r="O253" s="10"/>
    </row>
    <row r="254" spans="1:15" ht="14.25" customHeight="1" x14ac:dyDescent="0.25">
      <c r="A254" s="1760" t="s">
        <v>73</v>
      </c>
      <c r="B254" s="1742"/>
      <c r="C254" s="1742"/>
      <c r="D254" s="1742"/>
      <c r="E254" s="1742"/>
      <c r="F254" s="1742"/>
      <c r="G254" s="1742"/>
      <c r="H254" s="1743"/>
      <c r="I254" s="140">
        <f>SUMIF(H15:H239,"SB(VRL)",I15:I239)</f>
        <v>270.89999999999998</v>
      </c>
      <c r="J254" s="140">
        <f>SUMIF(H15:H239,"SB(VRL)",J15:J239)</f>
        <v>31.3</v>
      </c>
      <c r="K254" s="140">
        <f>SUMIF(H15:H239,"SB(VRL)",K15:K239)</f>
        <v>31.3</v>
      </c>
      <c r="L254" s="10"/>
      <c r="M254" s="10"/>
      <c r="N254" s="10"/>
      <c r="O254" s="10"/>
    </row>
    <row r="255" spans="1:15" ht="14.25" customHeight="1" x14ac:dyDescent="0.25">
      <c r="A255" s="1741" t="s">
        <v>74</v>
      </c>
      <c r="B255" s="1742"/>
      <c r="C255" s="1742"/>
      <c r="D255" s="1742"/>
      <c r="E255" s="1742"/>
      <c r="F255" s="1742"/>
      <c r="G255" s="1742"/>
      <c r="H255" s="1743"/>
      <c r="I255" s="140">
        <f>SUMIF(H15:H240,"SB(ŽPL)",I15:I240)</f>
        <v>744.1</v>
      </c>
      <c r="J255" s="140">
        <f>SUMIF(H24:H240,"SB(ŽPL)",J24:J240)</f>
        <v>0</v>
      </c>
      <c r="K255" s="140">
        <f>SUMIF(H24:H240,"SB(ŽPL)",K24:K240)</f>
        <v>0</v>
      </c>
      <c r="L255" s="10"/>
      <c r="M255" s="10"/>
      <c r="N255" s="10"/>
      <c r="O255" s="10"/>
    </row>
    <row r="256" spans="1:15" ht="14.25" customHeight="1" x14ac:dyDescent="0.25">
      <c r="A256" s="1744" t="s">
        <v>116</v>
      </c>
      <c r="B256" s="1745"/>
      <c r="C256" s="1745"/>
      <c r="D256" s="1745"/>
      <c r="E256" s="1745"/>
      <c r="F256" s="1745"/>
      <c r="G256" s="1745"/>
      <c r="H256" s="1746"/>
      <c r="I256" s="140">
        <f>SUMIF(H15:H240,"SB(L)",I15:I240)</f>
        <v>4352</v>
      </c>
      <c r="J256" s="140">
        <f>SUMIF(H15:H240,"SB(L)",J15:J240)</f>
        <v>0</v>
      </c>
      <c r="K256" s="140">
        <f>SUMIF(H15:H240,"SB(L)",K15:K240)</f>
        <v>0</v>
      </c>
      <c r="L256" s="10"/>
      <c r="M256" s="10"/>
      <c r="N256" s="10"/>
      <c r="O256" s="10"/>
    </row>
    <row r="257" spans="1:15" ht="14.25" customHeight="1" x14ac:dyDescent="0.25">
      <c r="A257" s="1747" t="s">
        <v>14</v>
      </c>
      <c r="B257" s="1748"/>
      <c r="C257" s="1748"/>
      <c r="D257" s="1748"/>
      <c r="E257" s="1748"/>
      <c r="F257" s="1748"/>
      <c r="G257" s="1748"/>
      <c r="H257" s="1749"/>
      <c r="I257" s="141">
        <f t="shared" ref="I257:K257" si="6">I259+I260+I261+I258</f>
        <v>3644.1</v>
      </c>
      <c r="J257" s="141">
        <f t="shared" si="6"/>
        <v>7165.9</v>
      </c>
      <c r="K257" s="141">
        <f t="shared" si="6"/>
        <v>13414.7</v>
      </c>
      <c r="L257" s="10"/>
      <c r="M257" s="10"/>
      <c r="N257" s="10"/>
      <c r="O257" s="10"/>
    </row>
    <row r="258" spans="1:15" ht="14.25" customHeight="1" x14ac:dyDescent="0.25">
      <c r="A258" s="1750" t="s">
        <v>19</v>
      </c>
      <c r="B258" s="1751"/>
      <c r="C258" s="1751"/>
      <c r="D258" s="1751"/>
      <c r="E258" s="1751"/>
      <c r="F258" s="1751"/>
      <c r="G258" s="1751"/>
      <c r="H258" s="1752"/>
      <c r="I258" s="32">
        <f>SUMIF(H15:H240,"ES",I15:I240)</f>
        <v>997</v>
      </c>
      <c r="J258" s="32">
        <f>SUMIF(H15:H240,"ES",J15:J240)</f>
        <v>1401.7</v>
      </c>
      <c r="K258" s="32">
        <f>SUMIF(H15:H240,"ES",K15:K240)</f>
        <v>1339.6</v>
      </c>
      <c r="L258" s="10"/>
      <c r="M258" s="10"/>
      <c r="N258" s="10"/>
      <c r="O258" s="10"/>
    </row>
    <row r="259" spans="1:15" ht="14.25" customHeight="1" x14ac:dyDescent="0.25">
      <c r="A259" s="1753" t="s">
        <v>20</v>
      </c>
      <c r="B259" s="1754"/>
      <c r="C259" s="1754"/>
      <c r="D259" s="1754"/>
      <c r="E259" s="1754"/>
      <c r="F259" s="1754"/>
      <c r="G259" s="1754"/>
      <c r="H259" s="1755"/>
      <c r="I259" s="32">
        <f>SUMIF(H15:H240,"KVJUD",I15:I240)</f>
        <v>1542</v>
      </c>
      <c r="J259" s="32">
        <f>SUMIF(H15:H240,"KVJUD",J15:J240)</f>
        <v>0</v>
      </c>
      <c r="K259" s="32">
        <f>SUMIF(H15:H240,"KVJUD",K15:K240)</f>
        <v>0</v>
      </c>
      <c r="L259" s="30"/>
      <c r="M259" s="30"/>
      <c r="N259" s="30"/>
      <c r="O259" s="30"/>
    </row>
    <row r="260" spans="1:15" ht="14.25" customHeight="1" x14ac:dyDescent="0.25">
      <c r="A260" s="1731" t="s">
        <v>21</v>
      </c>
      <c r="B260" s="1732"/>
      <c r="C260" s="1732"/>
      <c r="D260" s="1732"/>
      <c r="E260" s="1732"/>
      <c r="F260" s="1732"/>
      <c r="G260" s="1732"/>
      <c r="H260" s="1733"/>
      <c r="I260" s="32">
        <f>SUMIF(H15:H240,"LRVB",I15:I240)</f>
        <v>1000</v>
      </c>
      <c r="J260" s="32">
        <f>SUMIF(H15:H240,"LRVB",J15:J240)</f>
        <v>5650</v>
      </c>
      <c r="K260" s="32">
        <f>SUMIF(H15:H240,"LRVB",K15:K240)</f>
        <v>12015.1</v>
      </c>
      <c r="L260" s="30"/>
      <c r="M260" s="30"/>
      <c r="N260" s="30"/>
      <c r="O260" s="30"/>
    </row>
    <row r="261" spans="1:15" ht="14.25" customHeight="1" x14ac:dyDescent="0.25">
      <c r="A261" s="1734" t="s">
        <v>22</v>
      </c>
      <c r="B261" s="1735"/>
      <c r="C261" s="1735"/>
      <c r="D261" s="1735"/>
      <c r="E261" s="1735"/>
      <c r="F261" s="1735"/>
      <c r="G261" s="1735"/>
      <c r="H261" s="1736"/>
      <c r="I261" s="32">
        <f>SUMIF(H15:H240,"Kt",I15:I240)</f>
        <v>105.1</v>
      </c>
      <c r="J261" s="32">
        <f>SUMIF(H15:H240,"Kt",J15:J240)</f>
        <v>114.2</v>
      </c>
      <c r="K261" s="32">
        <f>SUMIF(H15:H240,"Kt",K15:K240)</f>
        <v>60</v>
      </c>
      <c r="L261" s="30"/>
      <c r="M261" s="30"/>
      <c r="N261" s="30"/>
      <c r="O261" s="30"/>
    </row>
    <row r="262" spans="1:15" ht="14.25" customHeight="1" thickBot="1" x14ac:dyDescent="0.3">
      <c r="A262" s="1737" t="s">
        <v>15</v>
      </c>
      <c r="B262" s="1738"/>
      <c r="C262" s="1738"/>
      <c r="D262" s="1738"/>
      <c r="E262" s="1738"/>
      <c r="F262" s="1738"/>
      <c r="G262" s="1738"/>
      <c r="H262" s="1739"/>
      <c r="I262" s="142">
        <f>SUM(I245,I257)</f>
        <v>33375.599999999999</v>
      </c>
      <c r="J262" s="142">
        <f>SUM(J245,J257)</f>
        <v>34018.199999999997</v>
      </c>
      <c r="K262" s="142">
        <f>SUM(K245,K257)</f>
        <v>32756.3</v>
      </c>
      <c r="L262" s="30"/>
      <c r="M262" s="30"/>
      <c r="N262" s="30"/>
      <c r="O262" s="30"/>
    </row>
    <row r="263" spans="1:15" x14ac:dyDescent="0.25">
      <c r="H263" s="268"/>
      <c r="I263" s="269"/>
      <c r="J263" s="269"/>
      <c r="K263" s="269"/>
      <c r="L263" s="4"/>
    </row>
    <row r="264" spans="1:15" x14ac:dyDescent="0.25">
      <c r="K264" s="10"/>
    </row>
    <row r="265" spans="1:15" x14ac:dyDescent="0.25">
      <c r="I265" s="10"/>
      <c r="J265" s="10"/>
      <c r="K265" s="10"/>
    </row>
    <row r="266" spans="1:15" x14ac:dyDescent="0.25">
      <c r="I266" s="10"/>
      <c r="J266" s="10"/>
      <c r="K266" s="10"/>
    </row>
    <row r="267" spans="1:15" x14ac:dyDescent="0.25">
      <c r="L267" s="10"/>
    </row>
    <row r="268" spans="1:15" x14ac:dyDescent="0.25">
      <c r="K268" s="10"/>
    </row>
    <row r="270" spans="1:15" x14ac:dyDescent="0.25">
      <c r="L270" s="10"/>
    </row>
    <row r="273" spans="12:12" x14ac:dyDescent="0.25">
      <c r="L273" s="10"/>
    </row>
    <row r="276" spans="12:12" x14ac:dyDescent="0.25">
      <c r="L276" s="10"/>
    </row>
  </sheetData>
  <mergeCells count="289">
    <mergeCell ref="E150:E153"/>
    <mergeCell ref="A9:O9"/>
    <mergeCell ref="A110:A114"/>
    <mergeCell ref="A10:O10"/>
    <mergeCell ref="B11:O11"/>
    <mergeCell ref="C12:O12"/>
    <mergeCell ref="A24:A32"/>
    <mergeCell ref="B24:B32"/>
    <mergeCell ref="L126:L127"/>
    <mergeCell ref="G137:G141"/>
    <mergeCell ref="C24:C32"/>
    <mergeCell ref="A37:A41"/>
    <mergeCell ref="B37:B41"/>
    <mergeCell ref="C37:C41"/>
    <mergeCell ref="D24:D32"/>
    <mergeCell ref="E102:E103"/>
    <mergeCell ref="C42:C46"/>
    <mergeCell ref="A74:A75"/>
    <mergeCell ref="A108:A109"/>
    <mergeCell ref="B108:B109"/>
    <mergeCell ref="B110:B114"/>
    <mergeCell ref="C96:C98"/>
    <mergeCell ref="A47:A50"/>
    <mergeCell ref="B47:B50"/>
    <mergeCell ref="C47:C53"/>
    <mergeCell ref="L1:O1"/>
    <mergeCell ref="A2:O2"/>
    <mergeCell ref="A6:A8"/>
    <mergeCell ref="B6:B8"/>
    <mergeCell ref="C6:C8"/>
    <mergeCell ref="D6:D8"/>
    <mergeCell ref="E6:E8"/>
    <mergeCell ref="F6:F8"/>
    <mergeCell ref="G6:G8"/>
    <mergeCell ref="H6:H8"/>
    <mergeCell ref="K6:K8"/>
    <mergeCell ref="L6:O6"/>
    <mergeCell ref="A3:O3"/>
    <mergeCell ref="L5:O5"/>
    <mergeCell ref="L7:L8"/>
    <mergeCell ref="A4:O4"/>
    <mergeCell ref="I6:I8"/>
    <mergeCell ref="M7:O7"/>
    <mergeCell ref="J6:J8"/>
    <mergeCell ref="A51:A53"/>
    <mergeCell ref="B51:B53"/>
    <mergeCell ref="D37:D41"/>
    <mergeCell ref="E13:E14"/>
    <mergeCell ref="C238:H238"/>
    <mergeCell ref="A262:H262"/>
    <mergeCell ref="A261:H261"/>
    <mergeCell ref="A260:H260"/>
    <mergeCell ref="A256:H256"/>
    <mergeCell ref="A254:H254"/>
    <mergeCell ref="A259:H259"/>
    <mergeCell ref="A257:H257"/>
    <mergeCell ref="A258:H258"/>
    <mergeCell ref="A255:H255"/>
    <mergeCell ref="E158:E159"/>
    <mergeCell ref="A249:H249"/>
    <mergeCell ref="A250:H250"/>
    <mergeCell ref="A253:H253"/>
    <mergeCell ref="A251:H251"/>
    <mergeCell ref="A248:H248"/>
    <mergeCell ref="A241:J241"/>
    <mergeCell ref="A245:H245"/>
    <mergeCell ref="A252:H252"/>
    <mergeCell ref="A227:A229"/>
    <mergeCell ref="A230:A232"/>
    <mergeCell ref="A247:H247"/>
    <mergeCell ref="A246:H246"/>
    <mergeCell ref="B240:H240"/>
    <mergeCell ref="A244:H244"/>
    <mergeCell ref="B233:B234"/>
    <mergeCell ref="C233:C234"/>
    <mergeCell ref="D233:D234"/>
    <mergeCell ref="E233:E234"/>
    <mergeCell ref="F233:F234"/>
    <mergeCell ref="A243:H243"/>
    <mergeCell ref="A233:A234"/>
    <mergeCell ref="B227:B229"/>
    <mergeCell ref="E227:E229"/>
    <mergeCell ref="L195:L196"/>
    <mergeCell ref="A158:A159"/>
    <mergeCell ref="B158:B159"/>
    <mergeCell ref="O158:O159"/>
    <mergeCell ref="M158:M159"/>
    <mergeCell ref="D110:D114"/>
    <mergeCell ref="D131:D132"/>
    <mergeCell ref="D160:D162"/>
    <mergeCell ref="F167:F168"/>
    <mergeCell ref="G167:G168"/>
    <mergeCell ref="L167:L168"/>
    <mergeCell ref="E160:E162"/>
    <mergeCell ref="L158:L159"/>
    <mergeCell ref="E167:E168"/>
    <mergeCell ref="G148:G149"/>
    <mergeCell ref="G158:G159"/>
    <mergeCell ref="F158:F159"/>
    <mergeCell ref="C158:C159"/>
    <mergeCell ref="D158:D159"/>
    <mergeCell ref="C135:O135"/>
    <mergeCell ref="L145:L147"/>
    <mergeCell ref="G160:G162"/>
    <mergeCell ref="A160:A162"/>
    <mergeCell ref="B160:B162"/>
    <mergeCell ref="L203:L204"/>
    <mergeCell ref="E209:E210"/>
    <mergeCell ref="L216:L217"/>
    <mergeCell ref="G216:G220"/>
    <mergeCell ref="L200:L201"/>
    <mergeCell ref="M200:M201"/>
    <mergeCell ref="L223:L224"/>
    <mergeCell ref="E203:E204"/>
    <mergeCell ref="E200:E202"/>
    <mergeCell ref="G223:G225"/>
    <mergeCell ref="G200:G202"/>
    <mergeCell ref="C160:C162"/>
    <mergeCell ref="E182:E184"/>
    <mergeCell ref="F189:F192"/>
    <mergeCell ref="L240:O240"/>
    <mergeCell ref="L239:O239"/>
    <mergeCell ref="B239:H239"/>
    <mergeCell ref="E205:E206"/>
    <mergeCell ref="F227:F229"/>
    <mergeCell ref="F230:F232"/>
    <mergeCell ref="B230:B232"/>
    <mergeCell ref="C230:C232"/>
    <mergeCell ref="D230:D232"/>
    <mergeCell ref="E230:E232"/>
    <mergeCell ref="B216:B220"/>
    <mergeCell ref="L238:O238"/>
    <mergeCell ref="F214:F215"/>
    <mergeCell ref="E223:E226"/>
    <mergeCell ref="C216:C220"/>
    <mergeCell ref="E211:E212"/>
    <mergeCell ref="C223:C225"/>
    <mergeCell ref="G211:G212"/>
    <mergeCell ref="O200:O201"/>
    <mergeCell ref="G227:G229"/>
    <mergeCell ref="N200:N201"/>
    <mergeCell ref="B223:B225"/>
    <mergeCell ref="A167:A168"/>
    <mergeCell ref="F218:F220"/>
    <mergeCell ref="F225:F226"/>
    <mergeCell ref="A216:A220"/>
    <mergeCell ref="B211:B212"/>
    <mergeCell ref="C211:C212"/>
    <mergeCell ref="C186:H186"/>
    <mergeCell ref="D211:D212"/>
    <mergeCell ref="G205:G208"/>
    <mergeCell ref="E180:E181"/>
    <mergeCell ref="E171:E173"/>
    <mergeCell ref="C167:C168"/>
    <mergeCell ref="G203:G204"/>
    <mergeCell ref="E189:E196"/>
    <mergeCell ref="G198:G199"/>
    <mergeCell ref="G189:G190"/>
    <mergeCell ref="B74:B75"/>
    <mergeCell ref="D74:D75"/>
    <mergeCell ref="E74:E75"/>
    <mergeCell ref="F74:F75"/>
    <mergeCell ref="A78:A81"/>
    <mergeCell ref="B78:B81"/>
    <mergeCell ref="C78:C81"/>
    <mergeCell ref="F78:F81"/>
    <mergeCell ref="E78:E81"/>
    <mergeCell ref="E76:E77"/>
    <mergeCell ref="F76:F77"/>
    <mergeCell ref="G54:G59"/>
    <mergeCell ref="G63:G67"/>
    <mergeCell ref="G79:G81"/>
    <mergeCell ref="C187:O187"/>
    <mergeCell ref="D102:D103"/>
    <mergeCell ref="G180:G181"/>
    <mergeCell ref="G175:G179"/>
    <mergeCell ref="G182:G184"/>
    <mergeCell ref="L186:O186"/>
    <mergeCell ref="E169:E170"/>
    <mergeCell ref="G169:G170"/>
    <mergeCell ref="L169:L170"/>
    <mergeCell ref="L176:L177"/>
    <mergeCell ref="K169:K170"/>
    <mergeCell ref="F171:F173"/>
    <mergeCell ref="G171:G173"/>
    <mergeCell ref="C108:C109"/>
    <mergeCell ref="D123:D124"/>
    <mergeCell ref="E123:E124"/>
    <mergeCell ref="D167:D168"/>
    <mergeCell ref="E178:E179"/>
    <mergeCell ref="E175:E177"/>
    <mergeCell ref="F160:F162"/>
    <mergeCell ref="E145:E147"/>
    <mergeCell ref="E154:E155"/>
    <mergeCell ref="E45:E46"/>
    <mergeCell ref="D121:D122"/>
    <mergeCell ref="E121:E122"/>
    <mergeCell ref="E115:E116"/>
    <mergeCell ref="E63:E65"/>
    <mergeCell ref="F45:F46"/>
    <mergeCell ref="D66:D67"/>
    <mergeCell ref="E66:E67"/>
    <mergeCell ref="E108:E109"/>
    <mergeCell ref="D129:D130"/>
    <mergeCell ref="E129:E130"/>
    <mergeCell ref="E138:E141"/>
    <mergeCell ref="C134:H134"/>
    <mergeCell ref="E104:E107"/>
    <mergeCell ref="C99:C101"/>
    <mergeCell ref="C102:C103"/>
    <mergeCell ref="C110:C114"/>
    <mergeCell ref="D47:D50"/>
    <mergeCell ref="F72:F73"/>
    <mergeCell ref="D99:D101"/>
    <mergeCell ref="E72:E73"/>
    <mergeCell ref="D54:D59"/>
    <mergeCell ref="E54:E59"/>
    <mergeCell ref="L16:L20"/>
    <mergeCell ref="E33:E36"/>
    <mergeCell ref="L33:L36"/>
    <mergeCell ref="L60:L61"/>
    <mergeCell ref="E60:E61"/>
    <mergeCell ref="G51:G53"/>
    <mergeCell ref="L47:L49"/>
    <mergeCell ref="G60:G61"/>
    <mergeCell ref="E51:E52"/>
    <mergeCell ref="E47:E50"/>
    <mergeCell ref="F60:F61"/>
    <mergeCell ref="L51:L52"/>
    <mergeCell ref="L24:L25"/>
    <mergeCell ref="G15:G21"/>
    <mergeCell ref="E24:E26"/>
    <mergeCell ref="G24:G31"/>
    <mergeCell ref="G33:G41"/>
    <mergeCell ref="E42:E44"/>
    <mergeCell ref="G42:G44"/>
    <mergeCell ref="F43:F44"/>
    <mergeCell ref="E37:E41"/>
    <mergeCell ref="G45:G46"/>
    <mergeCell ref="E15:E20"/>
    <mergeCell ref="F15:F20"/>
    <mergeCell ref="L68:L69"/>
    <mergeCell ref="P76:P77"/>
    <mergeCell ref="E70:E71"/>
    <mergeCell ref="L80:L81"/>
    <mergeCell ref="L76:L77"/>
    <mergeCell ref="L87:L89"/>
    <mergeCell ref="N158:N159"/>
    <mergeCell ref="L108:L109"/>
    <mergeCell ref="E131:E132"/>
    <mergeCell ref="E117:E120"/>
    <mergeCell ref="L154:L155"/>
    <mergeCell ref="L140:L141"/>
    <mergeCell ref="F126:F128"/>
    <mergeCell ref="G96:G98"/>
    <mergeCell ref="L117:L118"/>
    <mergeCell ref="E87:E89"/>
    <mergeCell ref="G72:G75"/>
    <mergeCell ref="E82:E83"/>
    <mergeCell ref="F82:F83"/>
    <mergeCell ref="E84:E85"/>
    <mergeCell ref="E110:E112"/>
    <mergeCell ref="F110:F114"/>
    <mergeCell ref="G82:G85"/>
    <mergeCell ref="G86:G89"/>
    <mergeCell ref="E156:E157"/>
    <mergeCell ref="L156:L157"/>
    <mergeCell ref="P233:P234"/>
    <mergeCell ref="A235:A236"/>
    <mergeCell ref="B235:B236"/>
    <mergeCell ref="C235:C236"/>
    <mergeCell ref="D235:D236"/>
    <mergeCell ref="E235:E236"/>
    <mergeCell ref="F235:F236"/>
    <mergeCell ref="G235:G236"/>
    <mergeCell ref="P235:P236"/>
    <mergeCell ref="L182:L183"/>
    <mergeCell ref="B167:B168"/>
    <mergeCell ref="G230:G232"/>
    <mergeCell ref="G233:G234"/>
    <mergeCell ref="C227:C229"/>
    <mergeCell ref="D227:D229"/>
    <mergeCell ref="E207:E208"/>
    <mergeCell ref="A211:A212"/>
    <mergeCell ref="E214:E215"/>
    <mergeCell ref="E216:E220"/>
    <mergeCell ref="E221:E222"/>
    <mergeCell ref="A223:A225"/>
    <mergeCell ref="F211:F212"/>
  </mergeCells>
  <phoneticPr fontId="10" type="noConversion"/>
  <printOptions horizontalCentered="1"/>
  <pageMargins left="0.59055118110236227" right="0.19685039370078741" top="0.59055118110236227" bottom="0.39370078740157483" header="0" footer="0"/>
  <pageSetup paperSize="9" scale="62" orientation="portrait" r:id="rId1"/>
  <headerFooter alignWithMargins="0"/>
  <rowBreaks count="4" manualBreakCount="4">
    <brk id="62" max="14" man="1"/>
    <brk id="116" max="14" man="1"/>
    <brk id="179" max="14" man="1"/>
    <brk id="241"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7</vt:i4>
      </vt:variant>
    </vt:vector>
  </HeadingPairs>
  <TitlesOfParts>
    <vt:vector size="11" baseType="lpstr">
      <vt:lpstr>6 programa</vt:lpstr>
      <vt:lpstr>Lyginamasis variantas</vt:lpstr>
      <vt:lpstr>Lyginamasis išskleistas</vt:lpstr>
      <vt:lpstr>aiškinamoji lentelė </vt:lpstr>
      <vt:lpstr>'6 programa'!Print_Area</vt:lpstr>
      <vt:lpstr>'aiškinamoji lentelė '!Print_Area</vt:lpstr>
      <vt:lpstr>'Lyginamasis išskleistas'!Print_Area</vt:lpstr>
      <vt:lpstr>'Lyginamasis variantas'!Print_Area</vt:lpstr>
      <vt:lpstr>'6 programa'!Print_Titles</vt:lpstr>
      <vt:lpstr>'aiškinamoji lentelė '!Print_Titles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2020-10-07T12:50:24Z</cp:lastPrinted>
  <dcterms:created xsi:type="dcterms:W3CDTF">2007-07-27T10:32:34Z</dcterms:created>
  <dcterms:modified xsi:type="dcterms:W3CDTF">2020-10-30T16:30:42Z</dcterms:modified>
</cp:coreProperties>
</file>