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0" yWindow="0" windowWidth="15360" windowHeight="5100" tabRatio="723"/>
  </bookViews>
  <sheets>
    <sheet name="Aiškinamoji lentelė" sheetId="54" r:id="rId1"/>
  </sheets>
  <definedNames>
    <definedName name="_xlnm.Print_Area" localSheetId="0">'Aiškinamoji lentelė'!$A$1:$R$283</definedName>
    <definedName name="_xlnm.Print_Titles" localSheetId="0">'Aiškinamoji lentelė'!$6:$8</definedName>
  </definedNames>
  <calcPr calcId="162913"/>
</workbook>
</file>

<file path=xl/calcChain.xml><?xml version="1.0" encoding="utf-8"?>
<calcChain xmlns="http://schemas.openxmlformats.org/spreadsheetml/2006/main">
  <c r="K14" i="54" l="1"/>
  <c r="M36" i="54" l="1"/>
  <c r="L36" i="54"/>
  <c r="K162" i="54" l="1"/>
  <c r="L161" i="54"/>
  <c r="K161" i="54"/>
  <c r="K133" i="54" l="1"/>
  <c r="L134" i="54" l="1"/>
  <c r="K134" i="54"/>
  <c r="M170" i="54"/>
  <c r="M256" i="54"/>
  <c r="L256" i="54"/>
  <c r="K256" i="54"/>
  <c r="L104" i="54"/>
  <c r="M104" i="54" s="1"/>
  <c r="M110" i="54" s="1"/>
  <c r="L67" i="54"/>
  <c r="M67" i="54" s="1"/>
  <c r="L54" i="54"/>
  <c r="M54" i="54" s="1"/>
  <c r="L48" i="54"/>
  <c r="M48" i="54" s="1"/>
  <c r="L38" i="54"/>
  <c r="M38" i="54" s="1"/>
  <c r="L37" i="54"/>
  <c r="M37" i="54" s="1"/>
  <c r="J37" i="54"/>
  <c r="L23" i="54"/>
  <c r="M23" i="54" s="1"/>
  <c r="L15" i="54"/>
  <c r="M15" i="54" s="1"/>
  <c r="K144" i="54"/>
  <c r="K271" i="54" s="1"/>
  <c r="K137" i="54"/>
  <c r="L187" i="54"/>
  <c r="L193" i="54" s="1"/>
  <c r="K88" i="54"/>
  <c r="K179" i="54"/>
  <c r="K177" i="54"/>
  <c r="K147" i="54"/>
  <c r="K268" i="54" s="1"/>
  <c r="K145" i="54"/>
  <c r="K270" i="54" s="1"/>
  <c r="P140" i="54"/>
  <c r="M140" i="54"/>
  <c r="L140" i="54"/>
  <c r="L158" i="54" s="1"/>
  <c r="K136" i="54"/>
  <c r="K158" i="54" s="1"/>
  <c r="M173" i="54"/>
  <c r="M158" i="54"/>
  <c r="M56" i="54"/>
  <c r="L56" i="54"/>
  <c r="K56" i="54"/>
  <c r="K241" i="54"/>
  <c r="P58" i="54"/>
  <c r="K265" i="54"/>
  <c r="K203" i="54"/>
  <c r="J158" i="54"/>
  <c r="K250" i="54"/>
  <c r="L163" i="54"/>
  <c r="L173" i="54" s="1"/>
  <c r="K163" i="54"/>
  <c r="M193" i="54"/>
  <c r="K193" i="54"/>
  <c r="M26" i="54"/>
  <c r="L26" i="54"/>
  <c r="R227" i="54"/>
  <c r="Q227" i="54"/>
  <c r="P227" i="54"/>
  <c r="K231" i="54"/>
  <c r="M227" i="54"/>
  <c r="M236" i="54" s="1"/>
  <c r="L227" i="54"/>
  <c r="K227" i="54"/>
  <c r="J98" i="54"/>
  <c r="J277" i="54" s="1"/>
  <c r="J62" i="54"/>
  <c r="J269" i="54" s="1"/>
  <c r="J217" i="54"/>
  <c r="J27" i="54"/>
  <c r="J90" i="54"/>
  <c r="J231" i="54"/>
  <c r="M267" i="54"/>
  <c r="L267" i="54"/>
  <c r="J267" i="54"/>
  <c r="J128" i="54"/>
  <c r="J276" i="54"/>
  <c r="J274" i="54"/>
  <c r="J273" i="54"/>
  <c r="J272" i="54"/>
  <c r="J270" i="54"/>
  <c r="J266" i="54"/>
  <c r="J250" i="54"/>
  <c r="J252" i="54"/>
  <c r="J256" i="54" s="1"/>
  <c r="J106" i="54"/>
  <c r="J110" i="54" s="1"/>
  <c r="K173" i="54"/>
  <c r="K278" i="54"/>
  <c r="K209" i="54"/>
  <c r="K110" i="54"/>
  <c r="M209" i="54"/>
  <c r="K277" i="54"/>
  <c r="K276" i="54"/>
  <c r="K274" i="54"/>
  <c r="K273" i="54"/>
  <c r="K272" i="54"/>
  <c r="K269" i="54"/>
  <c r="K266" i="54"/>
  <c r="Q222" i="54"/>
  <c r="K210" i="54"/>
  <c r="L203" i="54"/>
  <c r="L210" i="54" s="1"/>
  <c r="M203" i="54"/>
  <c r="M210" i="54" s="1"/>
  <c r="L17" i="54"/>
  <c r="M17" i="54"/>
  <c r="M266" i="54" s="1"/>
  <c r="M277" i="54"/>
  <c r="M182" i="54"/>
  <c r="L182" i="54"/>
  <c r="K182" i="54"/>
  <c r="J182" i="54"/>
  <c r="L250" i="54"/>
  <c r="M250" i="54"/>
  <c r="L241" i="54"/>
  <c r="L257" i="54" s="1"/>
  <c r="M241" i="54"/>
  <c r="K238" i="54"/>
  <c r="L238" i="54"/>
  <c r="M238" i="54"/>
  <c r="M257" i="54" s="1"/>
  <c r="L236" i="54"/>
  <c r="L209" i="54"/>
  <c r="K184" i="54"/>
  <c r="L184" i="54"/>
  <c r="M184" i="54"/>
  <c r="K180" i="54"/>
  <c r="L180" i="54"/>
  <c r="M180" i="54"/>
  <c r="K128" i="54"/>
  <c r="L128" i="54"/>
  <c r="M128" i="54"/>
  <c r="K118" i="54"/>
  <c r="L118" i="54"/>
  <c r="M118" i="54"/>
  <c r="K116" i="54"/>
  <c r="L116" i="54"/>
  <c r="M116" i="54"/>
  <c r="K114" i="54"/>
  <c r="L114" i="54"/>
  <c r="M114" i="54"/>
  <c r="K112" i="54"/>
  <c r="L112" i="54"/>
  <c r="M112" i="54"/>
  <c r="M272" i="54"/>
  <c r="M273" i="54"/>
  <c r="M274" i="54"/>
  <c r="M276" i="54"/>
  <c r="L277" i="54"/>
  <c r="M271" i="54"/>
  <c r="M270" i="54"/>
  <c r="M269" i="54"/>
  <c r="L276" i="54"/>
  <c r="L275" i="54" s="1"/>
  <c r="L273" i="54"/>
  <c r="L272" i="54"/>
  <c r="L271" i="54"/>
  <c r="L269" i="54"/>
  <c r="L266" i="54"/>
  <c r="O49" i="54"/>
  <c r="J241" i="54"/>
  <c r="J238" i="54"/>
  <c r="J235" i="54"/>
  <c r="J228" i="54"/>
  <c r="J227" i="54"/>
  <c r="J223" i="54"/>
  <c r="J209" i="54"/>
  <c r="J210" i="54" s="1"/>
  <c r="J203" i="54"/>
  <c r="J193" i="54"/>
  <c r="J184" i="54"/>
  <c r="J180" i="54"/>
  <c r="J169" i="54"/>
  <c r="J118" i="54"/>
  <c r="J116" i="54"/>
  <c r="J114" i="54"/>
  <c r="J112" i="54"/>
  <c r="J100" i="54"/>
  <c r="J173" i="54"/>
  <c r="J185" i="54" s="1"/>
  <c r="J271" i="54"/>
  <c r="K236" i="54" l="1"/>
  <c r="K257" i="54" s="1"/>
  <c r="J194" i="54"/>
  <c r="J236" i="54"/>
  <c r="K185" i="54"/>
  <c r="K194" i="54" s="1"/>
  <c r="L185" i="54"/>
  <c r="L194" i="54" s="1"/>
  <c r="L258" i="54" s="1"/>
  <c r="L270" i="54"/>
  <c r="J275" i="54"/>
  <c r="J102" i="54"/>
  <c r="J119" i="54" s="1"/>
  <c r="J120" i="54" s="1"/>
  <c r="J268" i="54"/>
  <c r="L268" i="54"/>
  <c r="L110" i="54"/>
  <c r="K258" i="54"/>
  <c r="J257" i="54"/>
  <c r="J258" i="54" s="1"/>
  <c r="K267" i="54"/>
  <c r="K264" i="54" s="1"/>
  <c r="K263" i="54" s="1"/>
  <c r="J265" i="54"/>
  <c r="J264" i="54" s="1"/>
  <c r="J263" i="54" s="1"/>
  <c r="J279" i="54" s="1"/>
  <c r="M185" i="54"/>
  <c r="M194" i="54" s="1"/>
  <c r="M258" i="54" s="1"/>
  <c r="K102" i="54"/>
  <c r="K119" i="54" s="1"/>
  <c r="K120" i="54" s="1"/>
  <c r="M268" i="54"/>
  <c r="K275" i="54"/>
  <c r="M275" i="54"/>
  <c r="K259" i="54" l="1"/>
  <c r="J259" i="54"/>
  <c r="J281" i="54" s="1"/>
  <c r="K279" i="54"/>
  <c r="L274" i="54"/>
  <c r="L265" i="54"/>
  <c r="L264" i="54" s="1"/>
  <c r="L102" i="54"/>
  <c r="L119" i="54" s="1"/>
  <c r="L120" i="54" s="1"/>
  <c r="L259" i="54" s="1"/>
  <c r="K281" i="54" l="1"/>
  <c r="L263" i="54"/>
  <c r="L279" i="54" s="1"/>
  <c r="L281" i="54" s="1"/>
  <c r="M265" i="54"/>
  <c r="M264" i="54" s="1"/>
  <c r="M263" i="54" s="1"/>
  <c r="M279" i="54" s="1"/>
  <c r="M281" i="54" s="1"/>
  <c r="M102" i="54"/>
  <c r="M119" i="54" s="1"/>
  <c r="M120" i="54" s="1"/>
  <c r="M259" i="54" s="1"/>
</calcChain>
</file>

<file path=xl/comments1.xml><?xml version="1.0" encoding="utf-8"?>
<comments xmlns="http://schemas.openxmlformats.org/spreadsheetml/2006/main">
  <authors>
    <author>Snieguole Kacerauskaite</author>
    <author>Ingrida Urbonaviciene</author>
    <author>Indrė Butenienė</author>
    <author>Regina Intienė</author>
    <author>Saulina Paulauskiene</author>
    <author>Inga Kubiliene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 xml:space="preserve">: 
5.1.3. Įrengta inovatyvių išmanių grupių ikimokyklinio ugdymo įstaigose, vnt. 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 
5.1.1. Ikimokyklinio ar priešmokyklinio ugdymo mokytojų, dirbančių vienoje ikimokyklinės įstaigos grupėje, etatų skaičius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  <charset val="186"/>
          </rPr>
          <t>nuo 2020-09-01
nuo 2021 m. planuojama prie įstaigų išlaikymo.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P23" authorId="0" shape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Naujos VšĮ: Smaragdinis pasaulis; Mažieji lazeriukai; Pajūrio sodelis.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 
5.1.7. Sumažintos įmokos už pailgintos dienos grupę bendrojo ugdymo mokyklų 1-4 kl. mokiniams, proc.</t>
        </r>
      </text>
    </comment>
    <comment ref="K43" authorId="1" shapeId="0">
      <text>
        <r>
          <rPr>
            <b/>
            <sz val="9"/>
            <color indexed="81"/>
            <rFont val="Tahoma"/>
            <family val="2"/>
            <charset val="186"/>
          </rPr>
          <t>Ingrida Urbonaviciene:</t>
        </r>
        <r>
          <rPr>
            <sz val="9"/>
            <color indexed="81"/>
            <rFont val="Tahoma"/>
            <family val="2"/>
            <charset val="186"/>
          </rPr>
          <t xml:space="preserve">
lėšos planuojamos prie įstaigų išlaikymo</t>
        </r>
      </text>
    </comment>
    <comment ref="P44" authorId="0" shape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progimnazija "Pajūris"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 
5.1.2. Padidintas psichologų, teikiančių paslaugas ikimokyklinio ugdymo įstaigoms, etatų skaičius BĮ Klaipėdos pedagoginė psichologinė tarnyba</t>
        </r>
      </text>
    </comment>
    <comment ref="K57" authorId="1" shapeId="0">
      <text>
        <r>
          <rPr>
            <b/>
            <sz val="9"/>
            <color indexed="81"/>
            <rFont val="Tahoma"/>
            <family val="2"/>
            <charset val="186"/>
          </rPr>
          <t>Ingrida Urbonaviciene:</t>
        </r>
        <r>
          <rPr>
            <sz val="9"/>
            <color indexed="81"/>
            <rFont val="Tahoma"/>
            <family val="2"/>
            <charset val="186"/>
          </rPr>
          <t xml:space="preserve">
iš jų baldai 12,5 tūkst. eurų</t>
        </r>
      </text>
    </comment>
    <comment ref="P59" authorId="0" shape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pagal KMT 2019-07-25 sprendimą Nr. T2-247 „Dėl Klaipėdos miesto savivaldybės 2019-2023 metų veiklos prioritetų patvirtinimo" </t>
        </r>
      </text>
    </comment>
    <comment ref="G75" authorId="2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KEPS 2.2.4. </t>
        </r>
        <r>
          <rPr>
            <sz val="9"/>
            <color indexed="81"/>
            <rFont val="Tahoma"/>
            <family val="2"/>
            <charset val="186"/>
          </rPr>
          <t xml:space="preserve"> Įsteigti gamtos mokslų, technologijų ir inžinerijos, matematikos ir menų (STEAM) centrą </t>
        </r>
      </text>
    </comment>
    <comment ref="G80" authorId="2" shapeId="0">
      <text>
        <r>
          <rPr>
            <b/>
            <sz val="9"/>
            <color indexed="81"/>
            <rFont val="Tahoma"/>
            <family val="2"/>
            <charset val="186"/>
          </rPr>
          <t>KEPS</t>
        </r>
        <r>
          <rPr>
            <sz val="9"/>
            <color indexed="81"/>
            <rFont val="Tahoma"/>
            <family val="2"/>
            <charset val="186"/>
          </rPr>
          <t xml:space="preserve"> 2.2.1. Įsteigti tarptautinių ikimokyklinio ir bendrojo ugdymo įstaigų, kuriose būtų mokoma anglų kalba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>:
5.2.1. Įgyvendintų bendrų projektų su aukštosiomis mokyklomis skaičius
5.2.2. Įsteigta universitetinių klasių, vnt.</t>
        </r>
      </text>
    </comment>
    <comment ref="G87" authorId="2" shapeId="0">
      <text>
        <r>
          <rPr>
            <b/>
            <sz val="9"/>
            <color indexed="81"/>
            <rFont val="Tahoma"/>
            <family val="2"/>
            <charset val="186"/>
          </rPr>
          <t>KEPS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  <r>
          <rPr>
            <b/>
            <sz val="9"/>
            <color indexed="81"/>
            <rFont val="Tahoma"/>
            <family val="2"/>
            <charset val="186"/>
          </rPr>
          <t>2.2.2</t>
        </r>
        <r>
          <rPr>
            <sz val="9"/>
            <color indexed="81"/>
            <rFont val="Tahoma"/>
            <family val="2"/>
            <charset val="186"/>
          </rPr>
          <t xml:space="preserve">. Įsteigti universitetinių klasių ir universitetinę ikimokyklinę įstaigą, gimnaziją ir progimnaziją, kurių ugdymo turinys būtų derinamas su Klaipėdos universitetu </t>
        </r>
      </text>
    </comment>
    <comment ref="G92" authorId="0" shapeId="0">
      <text>
        <r>
          <rPr>
            <sz val="9"/>
            <color indexed="81"/>
            <rFont val="Tahoma"/>
            <family val="2"/>
            <charset val="186"/>
          </rPr>
          <t xml:space="preserve">"Didinti švietimo ir kitų paslaugų mokiniui prieinamumą ir kompleksiškumą diegiant e. paslaugas"
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 
5.1.11. Padidintas finansavimas vasaros poilsio stovykloms, proc.</t>
        </r>
      </text>
    </comment>
    <comment ref="G12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5.1. Ikimokyklinio ir bendrojo ugdymo paslaugų prieinamumo ir kokybės gerinimas: </t>
        </r>
        <r>
          <rPr>
            <sz val="9"/>
            <color indexed="81"/>
            <rFont val="Tahoma"/>
            <family val="2"/>
            <charset val="186"/>
          </rPr>
          <t xml:space="preserve">5.1.4. Įrengta naujų ikimokyklinio ugdymo vietų centrinėje ir šiaurinėje miesto dalyse 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5.1.12. Įgyvendinta investicinių projektų bendrojo lavinimo ir neformalaus ugdymo srityje, vnt.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gerinimas:</t>
        </r>
        <r>
          <rPr>
            <sz val="9"/>
            <color indexed="81"/>
            <rFont val="Tahoma"/>
            <family val="2"/>
            <charset val="186"/>
          </rPr>
          <t xml:space="preserve">
5.1.9. Įrengta naujų bendrojo ugdymo vietų šiaurinėje miesto dalyje, vnt.
5.1.12. Įgyvendinta investicinių projektų bendrojo lavinimo ir neformalaus ugdymo srityje, vnt.</t>
        </r>
      </text>
    </comment>
    <comment ref="P140" authorId="3" shapeId="0">
      <text>
        <r>
          <rPr>
            <b/>
            <sz val="9"/>
            <color indexed="81"/>
            <rFont val="Tahoma"/>
            <family val="2"/>
            <charset val="186"/>
          </rPr>
          <t>Regina Intienė:</t>
        </r>
        <r>
          <rPr>
            <sz val="9"/>
            <color indexed="81"/>
            <rFont val="Tahoma"/>
            <family val="2"/>
            <charset val="186"/>
          </rPr>
          <t xml:space="preserve">
Gorkio</t>
        </r>
      </text>
    </comment>
    <comment ref="Q140" authorId="3" shapeId="0">
      <text>
        <r>
          <rPr>
            <b/>
            <sz val="9"/>
            <color indexed="81"/>
            <rFont val="Tahoma"/>
            <family val="2"/>
            <charset val="186"/>
          </rPr>
          <t>Gilija</t>
        </r>
      </text>
    </comment>
    <comment ref="R140" authorId="3" shapeId="0">
      <text>
        <r>
          <rPr>
            <sz val="9"/>
            <color indexed="81"/>
            <rFont val="Tahoma"/>
            <family val="2"/>
            <charset val="186"/>
          </rPr>
          <t>Baltijos</t>
        </r>
      </text>
    </comment>
    <comment ref="P141" authorId="3" shapeId="0">
      <text>
        <r>
          <rPr>
            <sz val="9"/>
            <color indexed="81"/>
            <rFont val="Tahoma"/>
            <family val="2"/>
            <charset val="186"/>
          </rPr>
          <t>Zudermanas</t>
        </r>
      </text>
    </comment>
    <comment ref="Q141" authorId="3" shapeId="0">
      <text>
        <r>
          <rPr>
            <sz val="9"/>
            <color indexed="81"/>
            <rFont val="Tahoma"/>
            <family val="2"/>
            <charset val="186"/>
          </rPr>
          <t>Gorkis, Vitė</t>
        </r>
      </text>
    </comment>
    <comment ref="R141" authorId="3" shapeId="0">
      <text>
        <r>
          <rPr>
            <sz val="9"/>
            <color indexed="81"/>
            <rFont val="Tahoma"/>
            <family val="2"/>
            <charset val="186"/>
          </rPr>
          <t>Gilija</t>
        </r>
      </text>
    </comment>
    <comment ref="K142" authorId="4" shapeId="0">
      <text>
        <r>
          <rPr>
            <sz val="9"/>
            <color indexed="81"/>
            <rFont val="Tahoma"/>
            <family val="2"/>
            <charset val="186"/>
          </rPr>
          <t>Vitės stadionui KLASCO lėšos</t>
        </r>
      </text>
    </comment>
    <comment ref="G143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5.1.12. Įgyvendinta investicinių projektų bendrojo lavinimo ir neformalaus ugdymo srityje, vnt.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5.1.12. Įgyvendinta investicinių projektų bendrojo lavinimo ir neformalaus ugdymo srityje, vnt.</t>
        </r>
      </text>
    </comment>
    <comment ref="G154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5.1.12. Įgyvendinta investicinių projektų bendrojo lavinimo ir neformalaus ugdymo srityje, vnt.</t>
        </r>
      </text>
    </comment>
    <comment ref="G156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5.1.12. Įgyvendinta investicinių projektų bendrojo lavinimo ir neformalaus ugdymo srityje, vnt.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5.1.4. Įrengta naujų ikimokyklinio ugdymo vietų centrinėje ir šiaurinėje miesto dalyse
5.1.5. Renovuota ikimokyklinio ugdymo įstaigų pastatų, vnt.
5.1.12. Įgyvendinta investicinių projektų bendrojo lavinimo ir neformalaus ugdymo srityje, vnt.</t>
        </r>
      </text>
    </comment>
    <comment ref="O165" authorId="0" shapeId="0">
      <text>
        <r>
          <rPr>
            <sz val="9"/>
            <color indexed="81"/>
            <rFont val="Tahoma"/>
            <family val="2"/>
            <charset val="186"/>
          </rPr>
          <t xml:space="preserve">m/d „Saulutė“, l/d „Vėrinėlis“ tech. projektai atlikti 2019 m.
</t>
        </r>
      </text>
    </comment>
    <comment ref="Q165" authorId="0" shapeId="0">
      <text>
        <r>
          <rPr>
            <sz val="9"/>
            <color indexed="81"/>
            <rFont val="Tahoma"/>
            <family val="2"/>
            <charset val="186"/>
          </rPr>
          <t xml:space="preserve"> l/d „Kregždutė“
</t>
        </r>
      </text>
    </comment>
    <comment ref="R165" authorId="0" shapeId="0">
      <text>
        <r>
          <rPr>
            <sz val="9"/>
            <color indexed="81"/>
            <rFont val="Tahoma"/>
            <family val="2"/>
            <charset val="186"/>
          </rPr>
          <t xml:space="preserve">l/d „Pingvinukas“, l/d „Putinėlis“
</t>
        </r>
      </text>
    </comment>
    <comment ref="R166" authorId="0" shapeId="0">
      <text>
        <r>
          <rPr>
            <sz val="9"/>
            <color indexed="81"/>
            <rFont val="Tahoma"/>
            <family val="2"/>
            <charset val="186"/>
          </rPr>
          <t xml:space="preserve">m/d „Saulutė“ ir  l/d „Kregždutė“
</t>
        </r>
      </text>
    </comment>
    <comment ref="F167" authorId="0" shapeId="0">
      <text>
        <r>
          <rPr>
            <sz val="9"/>
            <color indexed="81"/>
            <rFont val="Tahoma"/>
            <family val="2"/>
            <charset val="186"/>
          </rPr>
          <t>Abiem parengti techn. projektai</t>
        </r>
      </text>
    </comment>
    <comment ref="G169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gerinimas:</t>
        </r>
        <r>
          <rPr>
            <sz val="9"/>
            <color indexed="81"/>
            <rFont val="Tahoma"/>
            <family val="2"/>
            <charset val="186"/>
          </rPr>
          <t xml:space="preserve">
5.1.4. Įrengta naujų ikimokyklinio ugdymo vietų centrinėje ir šiaurinėje miesto dalyse 
5.1.5. Renovuota ikimokyklinio ugdymo įstaigų pastatų, vnt.
5.1.12. Įgyvendinta investicinių projektų bendrojo lavinimo ir neformalaus ugdymo srityje, vnt.</t>
        </r>
      </text>
    </comment>
    <comment ref="G176" authorId="0" shapeId="0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gerinimas:</t>
        </r>
        <r>
          <rPr>
            <sz val="9"/>
            <color indexed="81"/>
            <rFont val="Tahoma"/>
            <family val="2"/>
            <charset val="186"/>
          </rPr>
          <t xml:space="preserve">
5.1.12. Įgyvendinta investicinių projektų bendrojo lavinimo ir neformalaus ugdymo srityje, vnt.</t>
        </r>
      </text>
    </comment>
    <comment ref="P187" authorId="0" shape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atidėta 2022 m. l/d Eglutė ir Giliukas</t>
        </r>
      </text>
    </comment>
    <comment ref="K205" authorId="1" shapeId="0">
      <text>
        <r>
          <rPr>
            <b/>
            <sz val="9"/>
            <color indexed="81"/>
            <rFont val="Tahoma"/>
            <family val="2"/>
            <charset val="186"/>
          </rPr>
          <t>Ingrida Urbonaviciene:</t>
        </r>
        <r>
          <rPr>
            <sz val="9"/>
            <color indexed="81"/>
            <rFont val="Tahoma"/>
            <family val="2"/>
            <charset val="186"/>
          </rPr>
          <t xml:space="preserve">
Vyturio progimnazija</t>
        </r>
      </text>
    </comment>
    <comment ref="P214" authorId="4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>1. L/d Alksniukas;
2. L/d Bangelė;
3. L/d Pagrandukas;
4. L/d Pušaitė;
5. L/d Radastėlė;
6. L/d Sakalėlis;
7. L/d Švuturėlis;
8. L/d Žilvitis:
9. L/d Žuvėdra;
10. L/d Du gaideliai;
11.Ąžuolyno g.
12. Vydūno g.;
13. H. Zudermano g.;
14. Žemynos g.;
15. Vitės progimn.
16. M.Mažvydo progimn.;
17. Versmės progimn.
18. VLC;
19. L/d Sakalėlis;
20. M/d Saulutė;
21. L/d Pumpurėlis</t>
        </r>
        <r>
          <rPr>
            <b/>
            <sz val="9"/>
            <color indexed="81"/>
            <rFont val="Tahoma"/>
            <family val="2"/>
            <charset val="186"/>
          </rPr>
          <t>.</t>
        </r>
        <r>
          <rPr>
            <sz val="9"/>
            <color indexed="81"/>
            <rFont val="Tahoma"/>
            <family val="2"/>
            <charset val="186"/>
          </rPr>
          <t xml:space="preserve">
22. L/d Traukinukas</t>
        </r>
      </text>
    </comment>
    <comment ref="K215" authorId="4" shapeId="0">
      <text>
        <r>
          <rPr>
            <b/>
            <sz val="9"/>
            <color indexed="81"/>
            <rFont val="Tahoma"/>
            <family val="2"/>
            <charset val="186"/>
          </rPr>
          <t>Saulina Paulauskiene:</t>
        </r>
        <r>
          <rPr>
            <sz val="9"/>
            <color indexed="81"/>
            <rFont val="Tahoma"/>
            <family val="2"/>
            <charset val="186"/>
          </rPr>
          <t xml:space="preserve">
neužbaigti darbai l/d. Pušaitėje ir Žemynos gimanzijoje. 2021 metams numatyta šiose įstaigose ir kitokių darbų, todėl rodiklis nesikeičia.</t>
        </r>
      </text>
    </comment>
    <comment ref="O221" authorId="5" shapeId="0">
      <text>
        <r>
          <rPr>
            <b/>
            <sz val="9"/>
            <color indexed="81"/>
            <rFont val="Tahoma"/>
            <family val="2"/>
            <charset val="186"/>
          </rPr>
          <t>Inga Kubiliene:</t>
        </r>
        <r>
          <rPr>
            <sz val="9"/>
            <color indexed="81"/>
            <rFont val="Tahoma"/>
            <family val="2"/>
            <charset val="186"/>
          </rPr>
          <t xml:space="preserve">
l/d "Eglutė", l/d "Alksniukas", l/d "Traukinukas", Moksleivių saviraiškos centras</t>
        </r>
      </text>
    </comment>
    <comment ref="P221" authorId="3" shapeId="0">
      <text>
        <r>
          <rPr>
            <b/>
            <sz val="9"/>
            <color indexed="81"/>
            <rFont val="Tahoma"/>
            <family val="2"/>
            <charset val="186"/>
          </rPr>
          <t>Regina Intienė:</t>
        </r>
        <r>
          <rPr>
            <sz val="9"/>
            <color indexed="81"/>
            <rFont val="Tahoma"/>
            <family val="2"/>
            <charset val="186"/>
          </rPr>
          <t xml:space="preserve">
L/d Čiauškutė, Saulėtekio progimnazija, l/d Žilvitis</t>
        </r>
      </text>
    </comment>
    <comment ref="O226" authorId="5" shapeId="0">
      <text>
        <r>
          <rPr>
            <sz val="9"/>
            <color indexed="81"/>
            <rFont val="Tahoma"/>
            <family val="2"/>
            <charset val="186"/>
          </rPr>
          <t>"Varpo" gimnazija, Suaugusiųjų gimnazija, "Saulėtekio" progimnazija, Vydūno gimnazija, l/d "Alksniukas", l/d "Du gaideliai", l/d "Bangelė", l/d "Pumpurėlis", l/d "Pagrandukas", l/d "Pakalnutė",  l/d "Sakalėlis"</t>
        </r>
      </text>
    </comment>
    <comment ref="P226" authorId="3" shapeId="0">
      <text>
        <r>
          <rPr>
            <b/>
            <sz val="9"/>
            <color indexed="81"/>
            <rFont val="Tahoma"/>
            <family val="2"/>
            <charset val="186"/>
          </rPr>
          <t>Regina Intienė:</t>
        </r>
        <r>
          <rPr>
            <sz val="9"/>
            <color indexed="81"/>
            <rFont val="Tahoma"/>
            <family val="2"/>
            <charset val="186"/>
          </rPr>
          <t xml:space="preserve">
1. Ažuolyno gimanzija;
2. Jūrų kadetų mokykla;
3. Baltijos gimnazija;
4. Suaugusių gimnazija;
5. l/d Šaltinėlis;
6. d Gintarėlis;
7. l/d Linelis;
8. l/d Nykštukas.</t>
        </r>
      </text>
    </comment>
    <comment ref="O227" authorId="5" shapeId="0">
      <text>
        <r>
          <rPr>
            <b/>
            <sz val="9"/>
            <color indexed="81"/>
            <rFont val="Tahoma"/>
            <family val="2"/>
            <charset val="186"/>
          </rPr>
          <t>Inga Kubiliene:</t>
        </r>
        <r>
          <rPr>
            <sz val="9"/>
            <color indexed="81"/>
            <rFont val="Tahoma"/>
            <family val="2"/>
            <charset val="186"/>
          </rPr>
          <t xml:space="preserve">
l/d "Radatėlė", l/d "Bangelė", l/d "Berželis", l/d "Kregždutė", l/d "Pagrandukas", l/d "Nykštukas",l/d "Papartėlis", Regos ugdymo centras, l/d "Dobiliukas", "Vitės" progimnazija</t>
        </r>
      </text>
    </comment>
    <comment ref="P227" authorId="3" shapeId="0">
      <text>
        <r>
          <rPr>
            <b/>
            <sz val="9"/>
            <color indexed="81"/>
            <rFont val="Tahoma"/>
            <family val="2"/>
            <charset val="186"/>
          </rPr>
          <t>Regina Intienė:</t>
        </r>
        <r>
          <rPr>
            <sz val="9"/>
            <color indexed="81"/>
            <rFont val="Tahoma"/>
            <family val="2"/>
            <charset val="186"/>
          </rPr>
          <t xml:space="preserve">
1. VLC Švyturys;
2. Jūrų kadetų mokykla;
3. Aukuro gimnazija;
4. Aitvaro gimnazija;
5. Martyno Mažvydo progimnazija;
6. l/d Berželis;
7. l/d Inkarėlis;
8. l/d Vėrinėlis;
9. l/d Žemuogėlė
</t>
        </r>
      </text>
    </comment>
    <comment ref="O228" authorId="5" shapeId="0">
      <text>
        <r>
          <rPr>
            <sz val="9"/>
            <color indexed="81"/>
            <rFont val="Tahoma"/>
            <family val="2"/>
            <charset val="186"/>
          </rPr>
          <t>l/d "Čiauškutė", l/d "Sakalėlis", l/d "Pušaitė", Regos ugdymo centras, M. Mažvydo, "Saulėtekio", 'Pajūrio" progimnazijos, "Varpo" gimnazija, avariniams darbams</t>
        </r>
      </text>
    </comment>
    <comment ref="P228" authorId="3" shapeId="0">
      <text>
        <r>
          <rPr>
            <b/>
            <sz val="9"/>
            <color indexed="81"/>
            <rFont val="Tahoma"/>
            <family val="2"/>
            <charset val="186"/>
          </rPr>
          <t>Regina Intienė:</t>
        </r>
        <r>
          <rPr>
            <sz val="9"/>
            <color indexed="81"/>
            <rFont val="Tahoma"/>
            <family val="2"/>
            <charset val="186"/>
          </rPr>
          <t xml:space="preserve">
1. L/d Žuvėdra;
2. L/d Eglutė;
3. Montesori m/d;
4. Varpo gimn.;
5. Aukuro gimn.;
6. Suaugusių gimn.;
7. Gabijos progimn.;
8. Gilijos pradinė m.;
ir avariniams darbams</t>
        </r>
      </text>
    </comment>
    <comment ref="G229" authorId="0" shape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  <comment ref="O229" authorId="5" shapeId="0">
      <text>
        <r>
          <rPr>
            <sz val="9"/>
            <color indexed="81"/>
            <rFont val="Tahoma"/>
            <family val="2"/>
            <charset val="186"/>
          </rPr>
          <t>l/d "Dobiliukas"</t>
        </r>
      </text>
    </comment>
    <comment ref="P229" authorId="3" shapeId="0">
      <text>
        <r>
          <rPr>
            <b/>
            <sz val="9"/>
            <color indexed="81"/>
            <rFont val="Tahoma"/>
            <family val="2"/>
            <charset val="186"/>
          </rPr>
          <t>Regina Intienė:</t>
        </r>
        <r>
          <rPr>
            <sz val="9"/>
            <color indexed="81"/>
            <rFont val="Tahoma"/>
            <family val="2"/>
            <charset val="186"/>
          </rPr>
          <t xml:space="preserve">
Gorkio progimnazijos ir l/d Šermukšnėlė projektai</t>
        </r>
      </text>
    </comment>
    <comment ref="P230" authorId="3" shapeId="0">
      <text>
        <r>
          <rPr>
            <b/>
            <sz val="9"/>
            <color indexed="81"/>
            <rFont val="Tahoma"/>
            <family val="2"/>
            <charset val="186"/>
          </rPr>
          <t>Regina Intienė:</t>
        </r>
        <r>
          <rPr>
            <sz val="9"/>
            <color indexed="81"/>
            <rFont val="Tahoma"/>
            <family val="2"/>
            <charset val="186"/>
          </rPr>
          <t xml:space="preserve">
darbai - Baltijos gimnazija,
l/d "Dobiliukas",
„Švyturėlis“. </t>
        </r>
      </text>
    </comment>
    <comment ref="P232" authorId="4" shapeId="0">
      <text>
        <r>
          <rPr>
            <b/>
            <sz val="9"/>
            <color indexed="81"/>
            <rFont val="Tahoma"/>
            <family val="2"/>
            <charset val="186"/>
          </rPr>
          <t>Saulina Paulauskiene:</t>
        </r>
        <r>
          <rPr>
            <sz val="9"/>
            <color indexed="81"/>
            <rFont val="Tahoma"/>
            <family val="2"/>
            <charset val="186"/>
          </rPr>
          <t xml:space="preserve">
l/d Vėrinėlis</t>
        </r>
      </text>
    </comment>
    <comment ref="P233" authorId="0" shapeId="0">
      <text>
        <r>
          <rPr>
            <sz val="9"/>
            <color indexed="81"/>
            <rFont val="Tahoma"/>
            <family val="2"/>
            <charset val="186"/>
          </rPr>
          <t>Klaipėdos „Verdenės“ progimnazijos, adresu Kretingos g. 22, Klaipėda, sporto aikštyno apšvietimo priežiūros darbai (prožektorių pritvirtinimas, sureguliavimas, paskirstymo skydų profilaktika)</t>
        </r>
      </text>
    </comment>
    <comment ref="O235" authorId="5" shapeId="0">
      <text>
        <r>
          <rPr>
            <sz val="9"/>
            <color indexed="81"/>
            <rFont val="Tahoma"/>
            <family val="2"/>
            <charset val="186"/>
          </rPr>
          <t>"Pajūrio", P. Mašioto progimnazijos, H. Zudermano</t>
        </r>
      </text>
    </comment>
    <comment ref="K245" authorId="4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>paraiškų rengimui ir stebėsenai</t>
        </r>
      </text>
    </comment>
    <comment ref="O247" authorId="5" shapeId="0">
      <text>
        <r>
          <rPr>
            <b/>
            <sz val="9"/>
            <color indexed="81"/>
            <rFont val="Tahoma"/>
            <family val="2"/>
            <charset val="186"/>
          </rPr>
          <t>Inga Kubiliene:</t>
        </r>
        <r>
          <rPr>
            <sz val="9"/>
            <color indexed="81"/>
            <rFont val="Tahoma"/>
            <family val="2"/>
            <charset val="186"/>
          </rPr>
          <t xml:space="preserve">
planuota - L/d "Aitvarėlis" ir Verdenės progimnazija, įrengta - tik Verdenės progimnazijoje</t>
        </r>
      </text>
    </comment>
    <comment ref="K248" authorId="1" shapeId="0">
      <text>
        <r>
          <rPr>
            <b/>
            <sz val="9"/>
            <color indexed="81"/>
            <rFont val="Tahoma"/>
            <family val="2"/>
            <charset val="186"/>
          </rPr>
          <t>Ingrida Urbonaviciene:</t>
        </r>
        <r>
          <rPr>
            <sz val="9"/>
            <color indexed="81"/>
            <rFont val="Tahoma"/>
            <family val="2"/>
            <charset val="186"/>
          </rPr>
          <t xml:space="preserve">
Žemynos gimnazija, l.d."Čiauškutė", M.Mažvydo progimnazija.</t>
        </r>
      </text>
    </comment>
    <comment ref="K255" authorId="0" shapeId="0">
      <text>
        <r>
          <rPr>
            <sz val="9"/>
            <color indexed="81"/>
            <rFont val="Tahoma"/>
            <family val="2"/>
            <charset val="186"/>
          </rPr>
          <t>Pagal LR švietimo, mokslo ir sporto ministro 2021 m. sausio 8 d. įsakymą Nr. V-36 gauta dotacija - 7 tūkst. € VB lėšų elektros įsigijimui Medeinės ir Litorinos mokykloms</t>
        </r>
      </text>
    </comment>
  </commentList>
</comments>
</file>

<file path=xl/sharedStrings.xml><?xml version="1.0" encoding="utf-8"?>
<sst xmlns="http://schemas.openxmlformats.org/spreadsheetml/2006/main" count="745" uniqueCount="321">
  <si>
    <t>Finansavimo šaltinių suvestinė</t>
  </si>
  <si>
    <t>Finansavimo šaltiniai</t>
  </si>
  <si>
    <t>I</t>
  </si>
  <si>
    <t>LRVB</t>
  </si>
  <si>
    <t>ES</t>
  </si>
  <si>
    <t>10</t>
  </si>
  <si>
    <t>Iš viso tikslui:</t>
  </si>
  <si>
    <t>Iš viso programai:</t>
  </si>
  <si>
    <t>Programos tikslo kodas</t>
  </si>
  <si>
    <t>Uždavinio kodas</t>
  </si>
  <si>
    <t>Priemonės kodas</t>
  </si>
  <si>
    <t>Priemonės požymis</t>
  </si>
  <si>
    <t>Finansavimo šaltinis</t>
  </si>
  <si>
    <t>01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</si>
  <si>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</si>
  <si>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</si>
  <si>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</si>
  <si>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</si>
  <si>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</si>
  <si>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</si>
  <si>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</si>
  <si>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</si>
  <si>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Pavadinimas</t>
  </si>
  <si>
    <t>SAVIVALDYBĖS  LĖŠOS, IŠ VISO:</t>
  </si>
  <si>
    <t>KITI ŠALTINIAI, IŠ VISO:</t>
  </si>
  <si>
    <t>IŠ VISO:</t>
  </si>
  <si>
    <t>UGDYMO PROCESO UŽTIKRINIMO PROGRAMOS (NR. 10)</t>
  </si>
  <si>
    <t>10 Ugdymo proceso užtikrinimo programa</t>
  </si>
  <si>
    <t>Renovuoti ugdymo įstaigų pastatus ir patalpas</t>
  </si>
  <si>
    <t>Organizuoti materialinį, ūkinį ir techninį ugdymo įstaigų aptarnavimą</t>
  </si>
  <si>
    <t>Ugdymo įstaigų ūkinio aptarnavimo organizavimas:</t>
  </si>
  <si>
    <t>Užtikrinti kokybišką ugdymo proceso organizavimą</t>
  </si>
  <si>
    <t>Gerinti ugdymo sąlygas ir aplinką</t>
  </si>
  <si>
    <t>Ryšių kabelių kanalų nuoma</t>
  </si>
  <si>
    <t>Šilumos ir karšto vandens tiekimo sistemų renovacija ir remontas</t>
  </si>
  <si>
    <t>Švietimo įstaigų pastatų apsauga</t>
  </si>
  <si>
    <t>Priešgaisrinių reikalavimų vykdymas švietimo įstaigose</t>
  </si>
  <si>
    <t>Kabelio tinklo ilgis, km</t>
  </si>
  <si>
    <t>SB(SP)</t>
  </si>
  <si>
    <t>Veiklos organizavimo užtikrinimas švietimo įstaigose:</t>
  </si>
  <si>
    <t>1.4.3.3.</t>
  </si>
  <si>
    <t>1.4.1.8.</t>
  </si>
  <si>
    <t>1.4.3.5.</t>
  </si>
  <si>
    <t>Švietimo įstaigų sanitarinių patalpų remontas</t>
  </si>
  <si>
    <t>Iš viso priemonei:</t>
  </si>
  <si>
    <t xml:space="preserve"> TIKSLŲ, UŽDAVINIŲ, PRIEMONIŲ, PRIEMONIŲ IŠLAIDŲ IR PRODUKTO KRITERIJŲ SUVESTINĖ</t>
  </si>
  <si>
    <t>Parengtas techninis projektas, vnt.</t>
  </si>
  <si>
    <t>Vasaros poilsio organizavimas</t>
  </si>
  <si>
    <t xml:space="preserve">Brandos egzaminų administravimas </t>
  </si>
  <si>
    <t>Planas</t>
  </si>
  <si>
    <t>Atlikta statybos darbų, proc.</t>
  </si>
  <si>
    <t>SB(SPL)</t>
  </si>
  <si>
    <t xml:space="preserve">03 Strateginis tikslas. Užtikrinti gyventojams aukštą švietimo, kultūros, socialinių, sporto ir sveikatos apsaugos paslaugų kokybę ir prieinamumą </t>
  </si>
  <si>
    <t>Savivaldybės administracijos vaiko gerovės komisijos veiklos užtikrinimas</t>
  </si>
  <si>
    <t>Įsigyta įrengimų, vnt.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</si>
  <si>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</si>
  <si>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Sudaryti sąlygas ugdytis ir gerinti ugdymo proceso kokybę</t>
  </si>
  <si>
    <t xml:space="preserve">Aprūpinti švietimo įstaigas reikalingu inventoriumi 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</si>
  <si>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pradinėje mokykloje ir mokyklose-darželiuose</t>
    </r>
  </si>
  <si>
    <t>tūkst. Eur</t>
  </si>
  <si>
    <t>Neformaliojo vaikų švietimo programų įgyvendinimas ir neformaliojo vaikų švietimo paslaugų plėtra</t>
  </si>
  <si>
    <t>Švietimo įstaigų stogų remontas</t>
  </si>
  <si>
    <t>Įgyvendintas projektas, proc.</t>
  </si>
  <si>
    <t xml:space="preserve">Ugdymo prieinamumo ir ugdymo formų įvairovės užtikrinimas </t>
  </si>
  <si>
    <t>Neformaliojo vaikų ir suaugusiųjų švietimo organizavimas:</t>
  </si>
  <si>
    <t xml:space="preserve">Baldų ir įrangos atnaujinimas:  </t>
  </si>
  <si>
    <t>Automatizuotos šilumos punkto  kontrolės ir valdymo sistemų aptarnavimas švietimo įstaigų pastatuose</t>
  </si>
  <si>
    <t>Šilumos ir karšto vandens tiekimo sistemų priežiūra</t>
  </si>
  <si>
    <t xml:space="preserve">Įrenginių įsigijimas švietimo įstaigų maisto blokuose </t>
  </si>
  <si>
    <t>Švietimo įstaigų energinių išteklių efektyvinimas:</t>
  </si>
  <si>
    <t>Mokinių, aprūpintų elektroniniais pažymėjimais, skaičius, vnt.</t>
  </si>
  <si>
    <t>Atlikta sporto salės rekonstravimo darbų, proc.</t>
  </si>
  <si>
    <t>Mokymosi aplinkos pritaikymas švietimo reikmėms:</t>
  </si>
  <si>
    <t>06</t>
  </si>
  <si>
    <t>07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</si>
  <si>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</si>
  <si>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</si>
  <si>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SB(ES)</t>
  </si>
  <si>
    <t>Modernizuota edukacinių erdvių, skaičius</t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</si>
  <si>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</si>
  <si>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Maitinimo paslaugų kompensavimas</t>
  </si>
  <si>
    <t>Priemonės pavadinimas</t>
  </si>
  <si>
    <t>Produkto kriterijus</t>
  </si>
  <si>
    <t>Įsigyta įrangos, proc.</t>
  </si>
  <si>
    <t xml:space="preserve">Atlikta rangos darbų, proc.
</t>
  </si>
  <si>
    <t>Įstaigų skaičius, vnt.</t>
  </si>
  <si>
    <t>Vaikų skaičius, vnt.</t>
  </si>
  <si>
    <t>Mokinių skaičius, vnt.</t>
  </si>
  <si>
    <t>Aptarnautų asmenų skaičius, vnt.</t>
  </si>
  <si>
    <t>Kvalifikacijos pažymėjimų skaičius, vnt.</t>
  </si>
  <si>
    <t>Mokytojų skaičius, vnt.</t>
  </si>
  <si>
    <t>Mokyklų skaičius, vnt.</t>
  </si>
  <si>
    <t>Tarptautinių programų įgyvendinimas</t>
  </si>
  <si>
    <t>Egzaminų skaičius, vnt.</t>
  </si>
  <si>
    <t>Prevencinių renginių skaičius, vnt.</t>
  </si>
  <si>
    <t>Elektroninio mokinio pažymėjimo diegimas ir naudojimo užtikrinimas savivaldybės bendrojo ugdymo mokyklose, neformaliojo švietimo ir sporto įstaigose</t>
  </si>
  <si>
    <t>Įsigyta baldų, vnt.</t>
  </si>
  <si>
    <t>Atlikta rekonstrukcijos darbų, proc.</t>
  </si>
  <si>
    <t xml:space="preserve">Miesto metodinių būrelių veiklos užtikrinimas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</si>
  <si>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savivaldybės </t>
    </r>
    <r>
      <rPr>
        <sz val="10"/>
        <rFont val="Times New Roman"/>
        <family val="1"/>
        <charset val="186"/>
      </rPr>
      <t>ikimokyklinio ugdymo įstaigose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</si>
  <si>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</t>
    </r>
    <r>
      <rPr>
        <sz val="10"/>
        <rFont val="Times New Roman"/>
        <family val="1"/>
        <charset val="186"/>
      </rPr>
      <t xml:space="preserve"> bendrojo ugdymo mokyklose </t>
    </r>
  </si>
  <si>
    <t>Švietimo įstaigų persikėlimo į kitas patalpas organizavimas</t>
  </si>
  <si>
    <t xml:space="preserve">Centralizuotas ugdymo įstaigų langų valymas </t>
  </si>
  <si>
    <t xml:space="preserve">Savivaldybės švietimo įstaigų civilinės atsakomybės draudimas  </t>
  </si>
  <si>
    <r>
      <t xml:space="preserve">BĮ Klaipėdos regos ugdymo centro </t>
    </r>
    <r>
      <rPr>
        <sz val="10"/>
        <rFont val="Times New Roman"/>
        <family val="1"/>
        <charset val="186"/>
      </rPr>
      <t>veiklos užtikrinimas</t>
    </r>
  </si>
  <si>
    <r>
      <t>BĮ Klaipėdos miesto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</si>
  <si>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Vaikų, kuriems iš dalies kompensuojamas ugdymas nevalstybinėse įstaigose, skaičius, vnt.</t>
  </si>
  <si>
    <t>Programų skaičius, vnt.</t>
  </si>
  <si>
    <t>Metodinių būrelių skaičius, vnt.</t>
  </si>
  <si>
    <t>Savivaldybės bendrojo ugdymo mokyklų pastatų ir aplinkos modernizavimas bei plėtra:</t>
  </si>
  <si>
    <t>Įstaigų, kuriose įsigyta įrangos ir baldų, skaičius, vnt.</t>
  </si>
  <si>
    <r>
      <t xml:space="preserve">BĮ Klaipėdos „Žaliakalnio“ gimnazijos </t>
    </r>
    <r>
      <rPr>
        <sz val="10"/>
        <rFont val="Times New Roman"/>
        <family val="1"/>
        <charset val="186"/>
      </rPr>
      <t xml:space="preserve">pastato inžinerinių sistemų ir vidaus patalpų remontas </t>
    </r>
  </si>
  <si>
    <t>Ikimokyklinio ugdymo įstaigų pastatų modernizavimas ir plėtra:</t>
  </si>
  <si>
    <t>Neformaliojo vaikų švietimo įstaigų pastatų rekonstravimas:</t>
  </si>
  <si>
    <t>BĮ Klaipėdos karalienės Luizės jaunimo centro (Puodžių g.) modernizavimas, plėtojant neformaliojo ugdymosi galimybes</t>
  </si>
  <si>
    <t>Įstaigų, kuriose atlikti remonto darbai, skaičius, vnt.</t>
  </si>
  <si>
    <t>Renovuotų, suremontuotų sistemų, skaičius, vnt.</t>
  </si>
  <si>
    <t>Įstaigų, kuriose likviduoti pažeidimai, skaičius, vnt.</t>
  </si>
  <si>
    <t>Saugomų pastatų, objektų skaičius, vnt.</t>
  </si>
  <si>
    <t>Parengta techninių projektų, vnt.</t>
  </si>
  <si>
    <t xml:space="preserve">Parengta techninių projektų, vnt.    </t>
  </si>
  <si>
    <t>Perkeltų įstaigų skaičius, vnt.</t>
  </si>
  <si>
    <t>Aptarnaujamų įstaigų skaičius, vnt.</t>
  </si>
  <si>
    <t>Parengta techninių darbo projektų, vnt.</t>
  </si>
  <si>
    <t>SB(ESA)</t>
  </si>
  <si>
    <r>
      <t xml:space="preserve">Savivaldybės biudžeto apyvartos lėšos ES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</si>
  <si>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>Suremontuotų įstaigų skaičius, vnt.</t>
  </si>
  <si>
    <t>P4</t>
  </si>
  <si>
    <t>Bendrojo ugdymo mokyklų tinklo pertvarkos 2016–2020 metų bendrojo plano priemonių įgyvendinimas:</t>
  </si>
  <si>
    <t>________________________________________</t>
  </si>
  <si>
    <t>Mokytis plaukti vežiojamų vaikų skaičius, vnt.</t>
  </si>
  <si>
    <t>Renginių (kvalifikacijos tobulinimo ir metodiniai) skaičius, vnt.</t>
  </si>
  <si>
    <t>Edukaciniai renginiai, vnt</t>
  </si>
  <si>
    <t>Pasirengimas Gamtos mokslų, technologijų, inžinerijos, matematikos mokslų ir kūrybiškumo ugdymo (STEAM) centro įveiklinimui</t>
  </si>
  <si>
    <t>Dėstytojų etatų skaičius, vnt.</t>
  </si>
  <si>
    <t>Ugdymo proceso užtikrinimas  Klaipėdos sutrikusio vystymosi kūdikių namuose</t>
  </si>
  <si>
    <t>Švietimo įstaigų modulinių kompleksų įrengimas ir nuoma</t>
  </si>
  <si>
    <t>Išmaniųjų klasių įrengimas</t>
  </si>
  <si>
    <t>Kompiuterių mokyklose atnaujinimas</t>
  </si>
  <si>
    <t>Atlikta modernizavimo darbų, užbaigtumas proc.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</si>
  <si>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</si>
  <si>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</si>
  <si>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</si>
  <si>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</si>
  <si>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</si>
  <si>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</si>
  <si>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</si>
  <si>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</si>
  <si>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</si>
  <si>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 xml:space="preserve">Klaipėdos miesto bendrojo ugdymo mokyklų antrųjų klasių mokinių vežimo paslaugos mokyti plaukti užtikrinimas  </t>
  </si>
  <si>
    <t xml:space="preserve">Pedagogų kompetencijų tobulinimas, siekiant švietimo įstaigose įgyvendinti privalomas prevencines programas </t>
  </si>
  <si>
    <t>Papriemonės kodas</t>
  </si>
  <si>
    <t>Papariemonės kodas</t>
  </si>
  <si>
    <t>Klasių skaičius, vnt.</t>
  </si>
  <si>
    <t xml:space="preserve">iš jų mokinių skaičius, vnt. </t>
  </si>
  <si>
    <t>Pavėžėta mokinių, skaičius</t>
  </si>
  <si>
    <t>Įstaigų, kuriose įrengtos saulės (fotovoltinės) elektrinės, skaičius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</si>
  <si>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</si>
  <si>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Ikimokyklinio ir priešmokyklinio ugdymo prieinamumo didinimas Klaipėdos mieste (lopšelio-darželio „Svirpliukas“ modernizavimas)</t>
  </si>
  <si>
    <t>Lauko žaidimų aikštelių ir įrenginių atnaujinimas ikimokyklinėse ugdymo įstaigose</t>
  </si>
  <si>
    <t>Patalpų atnaujinimas užtikrinant atitiktį higienos normoms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</si>
  <si>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</si>
  <si>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</si>
  <si>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Savivaldybės biudžetas, iš jo:</t>
  </si>
  <si>
    <t>SB(ESL)</t>
  </si>
  <si>
    <t>SB(VBL)</t>
  </si>
  <si>
    <t>SB'</t>
  </si>
  <si>
    <t>Programose dalyvaujančių vaikų skaičius</t>
  </si>
  <si>
    <r>
      <t>Valstybės biudžeto tikslinės dotacijos lėšų likutis</t>
    </r>
    <r>
      <rPr>
        <b/>
        <sz val="10"/>
        <rFont val="Times New Roman"/>
        <family val="1"/>
        <charset val="186"/>
      </rPr>
      <t xml:space="preserve"> SB(VBL)</t>
    </r>
  </si>
  <si>
    <t>Patalpų pritaikymas neįgalių vaikų ugdymui</t>
  </si>
  <si>
    <t>Sporto klasių veiklos užtikrinimas</t>
  </si>
  <si>
    <r>
      <t xml:space="preserve">Ugdymo proceso užtikrinimas </t>
    </r>
    <r>
      <rPr>
        <b/>
        <sz val="10"/>
        <rFont val="Times New Roman"/>
        <family val="1"/>
        <charset val="186"/>
      </rPr>
      <t>nevalstybinėse</t>
    </r>
    <r>
      <rPr>
        <sz val="10"/>
        <rFont val="Times New Roman"/>
        <family val="1"/>
        <charset val="186"/>
      </rPr>
      <t xml:space="preserve"> ikimokyklinio ugdymo įstaigose</t>
    </r>
  </si>
  <si>
    <t>Projekto ,,Mokinių ugdymosi pasiekimų gerinimas diegiant kokybės krepšelį“ įgyvendinimas</t>
  </si>
  <si>
    <t>STEAM metodikos ir programų parengimas, vnt.</t>
  </si>
  <si>
    <t>Stadionų ir  sporto aikštynų (su dirbtinės žolės danga) priežiūros užtikrinimas</t>
  </si>
  <si>
    <t>BĮ Klaipėdos Gedminų progimnazijos dalyvavimo tarptautiniuose projektuose užtikrinimas</t>
  </si>
  <si>
    <t>Projektų skaičius, vnt.</t>
  </si>
  <si>
    <t xml:space="preserve">Mokinių pavėžėjimo užtikrinimas </t>
  </si>
  <si>
    <t>Kompiuterių skaičius, vnt.</t>
  </si>
  <si>
    <t>Mokytojų padėjėjų skaičius, vnt.</t>
  </si>
  <si>
    <t>Programoje dalyvaujančių vaikų skaičius, vnt.</t>
  </si>
  <si>
    <t>Klaipėdos jūrų kadetų mokyklos veiklos užtikrinimas:</t>
  </si>
  <si>
    <t>Įrengta nuomai grupių ikimokykliniam ir priešmokykliniam ugdymui, vnt.</t>
  </si>
  <si>
    <t>P1</t>
  </si>
  <si>
    <t>Įsteigta etatų, sk.</t>
  </si>
  <si>
    <t>Ikimokyklinio ar priešmokyklinio ugdymo mokytojų, dirbančių vienoje ikimokyklinės įstaigos grupėje, etatų skaičiaus didinimas</t>
  </si>
  <si>
    <t xml:space="preserve">Mokytojų, dirbančių vienoje ikimokyklinės įstaigos grupėje, etatų skaičius </t>
  </si>
  <si>
    <t>79 / 1739</t>
  </si>
  <si>
    <t>Prailgintos dienos grupių sk. / mokinių sk.</t>
  </si>
  <si>
    <t xml:space="preserve">Pailgintos dienos grupės paslaugos teikimas </t>
  </si>
  <si>
    <t xml:space="preserve">Pedagogų etatų skaičius </t>
  </si>
  <si>
    <t>Įrengta papildomų darbo vietų, vnt.</t>
  </si>
  <si>
    <t>Mokytojų, įgijusių kompetencijas, skaičius</t>
  </si>
  <si>
    <t>P6</t>
  </si>
  <si>
    <t>Išnuomota modulinių kompleksų, sk.</t>
  </si>
  <si>
    <t>Projektų skyrius</t>
  </si>
  <si>
    <t>Švietimo skyrius</t>
  </si>
  <si>
    <t>Statybos ir infrastruktūros plėtros skyrius</t>
  </si>
  <si>
    <t>Savivaldybės ugdymo įstaigų pastatų ir aplinkos modernizavimas bei plėtra:</t>
  </si>
  <si>
    <t xml:space="preserve">Projektų skyrius </t>
  </si>
  <si>
    <t xml:space="preserve"> </t>
  </si>
  <si>
    <t>Ugdymo proceso užtikrinimas nevalstybinėse mokyklose-darželiuose</t>
  </si>
  <si>
    <t xml:space="preserve">Švietimo įstaigų elektros instaliacijos remontas </t>
  </si>
  <si>
    <t xml:space="preserve">Savivaldybės biudžetinės įstaigos l.-d. „Klevelis“ kapitalinis remontas </t>
  </si>
  <si>
    <t xml:space="preserve">Iš viso: </t>
  </si>
  <si>
    <t>Dušinių prie mokyklų sporto salių atnaujinimas pasiruošiant Europiadai</t>
  </si>
  <si>
    <t>BĮ Klaipėdos pedagoginės psichologinės tarnybos dalyvavimas projekte pagal ES INTERREG V-A projektą</t>
  </si>
  <si>
    <t>Mokinių maitinimo ir pavėžėjimo užtikrinimas</t>
  </si>
  <si>
    <r>
      <rPr>
        <b/>
        <sz val="10"/>
        <rFont val="Times New Roman"/>
        <family val="1"/>
        <charset val="186"/>
      </rPr>
      <t>Modernių ugdymosi erdvių sukūrimas Klaipėdos miesto progimnazijose ir gimnazijose</t>
    </r>
    <r>
      <rPr>
        <sz val="10"/>
        <rFont val="Times New Roman"/>
        <family val="1"/>
        <charset val="186"/>
      </rPr>
      <t xml:space="preserve"> („Smeltės“, Liudviko Stulpino, „Sendvario“, Gedminų, „Verdenės“ progimnazijose ir  „Vėtrungės“, „Varpo“ gimnazijose)</t>
    </r>
  </si>
  <si>
    <t xml:space="preserve">Patvirtintas finansų auditas </t>
  </si>
  <si>
    <t>Statinių administravimo skyrius</t>
  </si>
  <si>
    <t>Turto valdymo skyrius</t>
  </si>
  <si>
    <t>Informacinių technologijų skyrius</t>
  </si>
  <si>
    <t>Planavimo ir analizės skyrius - programos sąmatų tvirtinimas</t>
  </si>
  <si>
    <t>Vykdytojas</t>
  </si>
  <si>
    <t xml:space="preserve">Švietimo skyrius - priemonės vykdytojas, </t>
  </si>
  <si>
    <t>BĮ Klaipėdos Sendvario progimnazijos dalyvavimas projekte „Padarykime tai!“</t>
  </si>
  <si>
    <t>18</t>
  </si>
  <si>
    <t>19</t>
  </si>
  <si>
    <t>20</t>
  </si>
  <si>
    <t>21</t>
  </si>
  <si>
    <t>22</t>
  </si>
  <si>
    <t>23</t>
  </si>
  <si>
    <t>Tarpinstitucinio koordinavimo grupė</t>
  </si>
  <si>
    <t xml:space="preserve"> Statybos ir infrastruktūros plėtros skyrius, Vyr. patarėjas G. Dovidaitis</t>
  </si>
  <si>
    <t>Atleista mokytojų, skaičius</t>
  </si>
  <si>
    <t>Aptarnauta asmenų, skaičius</t>
  </si>
  <si>
    <t>Vėdinimo ir kondicionavimo sistemų egzaminų centruose įrengimas</t>
  </si>
  <si>
    <t>Egzaminų centrų skaičius</t>
  </si>
  <si>
    <t>Administruojama sistemų, vnt.</t>
  </si>
  <si>
    <t>Priėmimo į savivaldybės bendrojo ir ikimokyklinio ugdymo įstaigas informacinių sistemų priežiūra</t>
  </si>
  <si>
    <r>
      <t xml:space="preserve">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</si>
  <si>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Aiškinamojo rašto priedas Nr.3</t>
  </si>
  <si>
    <t>2021 m. asignavimų projektas</t>
  </si>
  <si>
    <t>2022 m. asignavimų projektas</t>
  </si>
  <si>
    <t>2023 m. asignavimų projektas</t>
  </si>
  <si>
    <t>2020 m. asignavimų planas*</t>
  </si>
  <si>
    <t xml:space="preserve">2020–2023 M. KLAIPĖDOS MIESTO SAVIVALDYBĖS  </t>
  </si>
  <si>
    <t>2020-ieji metai*</t>
  </si>
  <si>
    <t>2021-ieji metai</t>
  </si>
  <si>
    <t>2022-ieji metai</t>
  </si>
  <si>
    <t>2023-ieji metai</t>
  </si>
  <si>
    <t>Įstaigų skaičius, kuriose atnaujintos sporto salės, vnt.</t>
  </si>
  <si>
    <t>Energinio efektyvumo didinimas ikimokyklinio ugdymo įstaigose:</t>
  </si>
  <si>
    <t xml:space="preserve">Atlikta modernizavimo darbų, proc.
</t>
  </si>
  <si>
    <t>Atnaujintų pastatų skaičius, vnt.</t>
  </si>
  <si>
    <t>BĮ Klaipėdos Jeronimo Kačinsko muzikos mokyklos (Statybininkų pr. 5) pastato energinio efektyvumo didinimas</t>
  </si>
  <si>
    <t>Atlikta rekonstravimo darbų, proc.</t>
  </si>
  <si>
    <t>Klaipėdos lopšelio-darželio „Žuvėdra“ patalpų pritaikymas ugdymo reikmėms</t>
  </si>
  <si>
    <t>Pritaikyta patalpų, vnt.</t>
  </si>
  <si>
    <t>Įrengtų edukacinių erdvių skaičius, vnt.</t>
  </si>
  <si>
    <t>Vaikiškų lovyčių įsigijimas savivaldybės ikimokyklinio ugdymo įstaigose</t>
  </si>
  <si>
    <t>Lovyčių skaičius, vnt.</t>
  </si>
  <si>
    <t>Neformaliojo švietimo ir pagalbos įstaigų aprūpinimas mobilia interaktyvia įranga</t>
  </si>
  <si>
    <t xml:space="preserve">Švietimo įstaigų kompiuterinių tinklų atnaujinimas </t>
  </si>
  <si>
    <t>Papildomai įsteigtų pedagogų etatų skaičius, vnt.</t>
  </si>
  <si>
    <t>Sumažintas auklėtojų padėjėjų etatų skaičius, vnt.</t>
  </si>
  <si>
    <t>BĮ Klaipėdos lopšelio darželio „Sakalėlis“ dalyvavimas projekte „Aktyviai ir linksmai nori sportuoti „Sakalėlio“ vaikai!“</t>
  </si>
  <si>
    <t>Kvalifikacijos tobulinimo programų skaičius, val.</t>
  </si>
  <si>
    <t xml:space="preserve"> Organizuotų gerosios patirties sklaidos renginių skaičius, vnt.</t>
  </si>
  <si>
    <t>Įrangos ir priemonių įsigijimas, vnt.</t>
  </si>
  <si>
    <t>Mokomosios robotikos kabineto įrengimas</t>
  </si>
  <si>
    <t>Universitetinių klasių veiklos organizavimas (2021 m. – Baltijos ir „Žemynos“ gimnazijose)</t>
  </si>
  <si>
    <t>Klaipėdos miesto pedagogų rengimo, kvalifikacijos plėtojimo, profesinių kompetencijų tobulinimo ir mokytojų pritraukimo į mokyklas 2020-2024 programos įgyvendinimas</t>
  </si>
  <si>
    <t>Finansuojama tikslinių studijų su gretutinėmis pedagogikos studijomis vietų, skaičius</t>
  </si>
  <si>
    <t>Skirta tikslinių stipendijų pasirinkusiems pedagoginių specialybių studijas, skaičius</t>
  </si>
  <si>
    <t>Kt</t>
  </si>
  <si>
    <t>Atnaujinta aikštynų, skaičius</t>
  </si>
  <si>
    <t>Vyr. patarėja I. Kubilienė</t>
  </si>
  <si>
    <t>Įstaigų, kuriose diegiamos šalto vandens valdymo sistemos, skaičius, vnt.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</si>
  <si>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</si>
  <si>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„Gilijos“ pradinės mokyklos (Taikos pr. 68) pastato energinio efektyvumo didinimas</t>
  </si>
  <si>
    <t>P2</t>
  </si>
  <si>
    <t>Parengtas techninis  projektas, vnt.</t>
  </si>
  <si>
    <t>Atlikta modernizavimo darbų, proc.</t>
  </si>
  <si>
    <t>SB(P)</t>
  </si>
  <si>
    <t xml:space="preserve">Klaipėdos „Ąžuolyno“ gimnazijos modernizavimas </t>
  </si>
  <si>
    <t>Atlikta rangos darbų, proc.</t>
  </si>
  <si>
    <t>Klaipėdos Pajūrio progimnazijos fasado apšiltinimo darbai</t>
  </si>
  <si>
    <t>Įsigyta modulių, vnt.</t>
  </si>
  <si>
    <t>Klaipėdos lopšelio-darželio „Žiogelis“ pastato Kauno g. 27 modernizavimas</t>
  </si>
  <si>
    <t>Psichologų etatų skaičius, vnt.</t>
  </si>
  <si>
    <t>Psichologų etatų  skaičius, vnt.</t>
  </si>
  <si>
    <t xml:space="preserve"> - pastatų atnaujinimas m/d „Saulutė“, l/d „Vėrinėlis“, l/d „Pingvinukas“, l/d „Putinėlis“, l/d „Kregždutė“, l/d „Radastėlė“, l/d „Boružėlė“</t>
  </si>
  <si>
    <t>Planavimo ir  analizės skyrius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</si>
  <si>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</si>
  <si>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t>Edukacinių erdvių įrengimas Klaipėdos miesto bendrojo ugdymo mokyklose (2021 m. – „Vyturio“ ir 2022 m. – „Smeltės“ progimnazijoje)</t>
  </si>
  <si>
    <t>Įrengtas technologijų kabinetas, proc.</t>
  </si>
  <si>
    <r>
      <t xml:space="preserve">Ugdymo proceso  užtikrinimas </t>
    </r>
    <r>
      <rPr>
        <b/>
        <sz val="10"/>
        <rFont val="Times New Roman"/>
        <family val="1"/>
        <charset val="186"/>
      </rPr>
      <t xml:space="preserve">nevalstybinėse </t>
    </r>
    <r>
      <rPr>
        <sz val="10"/>
        <rFont val="Times New Roman"/>
        <family val="1"/>
        <charset val="186"/>
      </rPr>
      <t xml:space="preserve">bendrojo ugdymo mokyklose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</si>
  <si>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</si>
  <si>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</si>
  <si>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rPr>
        <b/>
        <sz val="10"/>
        <rFont val="Times New Roman"/>
        <family val="1"/>
        <charset val="186"/>
      </rPr>
      <t>BĮ Klaipėdos Prano Mašioto progimnazijos</t>
    </r>
    <r>
      <rPr>
        <sz val="10"/>
        <rFont val="Times New Roman"/>
        <family val="1"/>
        <charset val="186"/>
      </rPr>
      <t xml:space="preserve"> pastato Varpų g. 3 rekonstravimas</t>
    </r>
  </si>
  <si>
    <r>
      <rPr>
        <b/>
        <sz val="10"/>
        <rFont val="Times New Roman"/>
        <family val="1"/>
        <charset val="186"/>
      </rPr>
      <t>Bendrojo ugdymo mokyklos pastato statyba</t>
    </r>
    <r>
      <rPr>
        <sz val="10"/>
        <rFont val="Times New Roman"/>
        <family val="1"/>
        <charset val="186"/>
      </rPr>
      <t xml:space="preserve"> šiaurinėje miesto dalyje</t>
    </r>
  </si>
  <si>
    <r>
      <t xml:space="preserve">Klaipėdos Tauralaukio progimnazijos pastato (Klaipėdos g. 31) rekonstravimas </t>
    </r>
    <r>
      <rPr>
        <sz val="10"/>
        <rFont val="Times New Roman"/>
        <family val="1"/>
        <charset val="186"/>
      </rPr>
      <t>į ikimokyklinio ir priešmokyklinio ugdymo įstaigą</t>
    </r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</si>
  <si>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</si>
  <si>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Pajamų įmokos už paslaugas </t>
    </r>
    <r>
      <rPr>
        <b/>
        <sz val="10"/>
        <rFont val="Times New Roman"/>
        <family val="1"/>
        <charset val="186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</si>
  <si>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</si>
  <si>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Sporto aikštynų priežiūra</t>
  </si>
  <si>
    <t>Prižiūrima aikštynų, vnt.</t>
  </si>
  <si>
    <t xml:space="preserve">Parengtas techninių projektų, vnt.  </t>
  </si>
  <si>
    <t>Ikimokyklinio ugdymo įstaigų teritorijų aptvėrimas</t>
  </si>
  <si>
    <t>01'</t>
  </si>
  <si>
    <t>Ikimokyklinio ugdymo įstaigų vadovų išeitinių kompensavimas</t>
  </si>
  <si>
    <t>Atleistas vadovų skaičius, vnt.</t>
  </si>
  <si>
    <t>Komunalinių paslaugų įsigijimas:</t>
  </si>
  <si>
    <t xml:space="preserve"> - šildymo, vandens, nuotekų</t>
  </si>
  <si>
    <t xml:space="preserve"> - elektros energijos</t>
  </si>
  <si>
    <t>* Pagal Klaipėdos miesto savivaldybės tarybos 2020-10-29 sprendimą T2-231</t>
  </si>
  <si>
    <t xml:space="preserve"> - pastatų atnaujinimas l.-d „Alksniukas“ (2022 m.) ir l.-d „Želmenėlis“ (2023 m.) </t>
  </si>
  <si>
    <t>Įsigytas sportinis inventorius ir įranga, vnt.</t>
  </si>
  <si>
    <t>Suorganizuota edukacinių ir kultūrinių renginių, skaičius</t>
  </si>
  <si>
    <r>
      <rPr>
        <b/>
        <sz val="10"/>
        <rFont val="Times New Roman"/>
        <family val="1"/>
        <charset val="186"/>
      </rPr>
      <t xml:space="preserve">Sporto salių atnaujinimas </t>
    </r>
    <r>
      <rPr>
        <sz val="10"/>
        <rFont val="Times New Roman"/>
        <family val="1"/>
        <charset val="186"/>
      </rPr>
      <t>(2022 m. – „Aitvaro“ gimnazija, 2023 m. –  „Versmės“ progimnazija)</t>
    </r>
  </si>
  <si>
    <t xml:space="preserve">Atliktas Psichologinei pedagoginei tarnybai perduotų patalpų remontas </t>
  </si>
  <si>
    <t xml:space="preserve">Švietimo įstaigų lauko inžinerinių tinklų remontas (2021 m. – Baltijos gimnazija) </t>
  </si>
  <si>
    <r>
      <rPr>
        <b/>
        <sz val="10"/>
        <rFont val="Times New Roman"/>
        <family val="1"/>
        <charset val="186"/>
      </rPr>
      <t xml:space="preserve">Sporto aikštynų atnaujinimas </t>
    </r>
    <r>
      <rPr>
        <sz val="10"/>
        <rFont val="Times New Roman"/>
        <family val="1"/>
        <charset val="186"/>
      </rPr>
      <t>(modernizavimas) (2021 m. – H. Zudermano gimnazijos, 2022 m. – Vitės ir  Maksimo Gorkio progimnazijų, 2023 m. – Gilijos pradinės mokyklos)</t>
    </r>
  </si>
  <si>
    <t>Atsinaujinančių energijos išteklių  panaudojimas švietimo įstaigų pastatuose (2021 m. – l.-d. „Čiauškutė“ Martyno Mažvydo progimnazijoje ir „Žemynos“ gimnazijoje; 2022 m. – l.-d. „Versmė“)</t>
  </si>
  <si>
    <t xml:space="preserve">Švietimo įstaigų paprastasis remontas (2021 m. – Ąžuolyno, Vydūno, Hermano Zudermano, Žemynos, Vitės gimnazijų, Martyno Mažvydo, „Versmės“ progimnazijų, m.-d. „Saulutė“, l-d „Alksniukas“, „Bangelė“, „Pagrandukas“, „Pušaitė“, „Radastėlė“, „Švyturėlis“, „Sakalėlis“, „Žilvitis“,  „Žuvėdra“, „Du gaideliai“, „Vėrinėlis“, „Pumpurėlis“,  „Traukinukas“ ir Vaikų laisvalaikio centro) </t>
  </si>
  <si>
    <t>Atlikta rangos darbų (sporto salės), proc.</t>
  </si>
  <si>
    <t>Švietimo paslaugų modernizavimo  programos priemonių įgyvendinimas:</t>
  </si>
  <si>
    <t>Klaipėdos „Žaliakalnio“ gimnazijos baldų ir įrangos atnaujinimas</t>
  </si>
  <si>
    <t>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</si>
</sst>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[$-409]General"/>
    <numFmt numFmtId="167" formatCode="[$-409]#,##0"/>
    <numFmt numFmtId="168" formatCode="[$-409]0.00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trike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0"/>
      <name val="Times New Roman"/>
      <family val="1"/>
      <charset val="186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6" fontId="10" fillId="0" borderId="0" applyBorder="0" applyProtection="0"/>
  </cellStyleXfs>
  <cellXfs count="1129">
    <xf numFmtId="0" fontId="0" fillId="0" borderId="0" xfId="0"/>
    <xf numFmtId="3" fontId="2" fillId="0" borderId="53" xfId="0" applyNumberFormat="1" applyFont="1" applyFill="1" applyBorder="1" applyAlignment="1">
      <alignment horizontal="center" vertical="top" wrapText="1"/>
    </xf>
    <xf numFmtId="3" fontId="2" fillId="4" borderId="27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center" vertical="top" wrapText="1"/>
    </xf>
    <xf numFmtId="3" fontId="2" fillId="0" borderId="16" xfId="0" applyNumberFormat="1" applyFont="1" applyFill="1" applyBorder="1" applyAlignment="1">
      <alignment horizontal="center" vertical="top" wrapText="1"/>
    </xf>
    <xf numFmtId="164" fontId="2" fillId="0" borderId="56" xfId="0" applyNumberFormat="1" applyFont="1" applyFill="1" applyBorder="1" applyAlignment="1">
      <alignment horizontal="center" vertical="top" wrapText="1"/>
    </xf>
    <xf numFmtId="3" fontId="2" fillId="4" borderId="16" xfId="0" applyNumberFormat="1" applyFont="1" applyFill="1" applyBorder="1" applyAlignment="1">
      <alignment horizontal="center" vertical="top" wrapText="1"/>
    </xf>
    <xf numFmtId="3" fontId="2" fillId="0" borderId="56" xfId="0" applyNumberFormat="1" applyFont="1" applyFill="1" applyBorder="1" applyAlignment="1">
      <alignment horizontal="center" vertical="top" wrapText="1"/>
    </xf>
    <xf numFmtId="3" fontId="2" fillId="4" borderId="56" xfId="0" applyNumberFormat="1" applyFont="1" applyFill="1" applyBorder="1" applyAlignment="1">
      <alignment horizontal="center" vertical="top" wrapText="1"/>
    </xf>
    <xf numFmtId="3" fontId="3" fillId="5" borderId="42" xfId="0" applyNumberFormat="1" applyFont="1" applyFill="1" applyBorder="1" applyAlignment="1">
      <alignment horizontal="center" vertical="top" wrapText="1"/>
    </xf>
    <xf numFmtId="164" fontId="2" fillId="4" borderId="56" xfId="0" applyNumberFormat="1" applyFont="1" applyFill="1" applyBorder="1" applyAlignment="1">
      <alignment horizontal="center" vertical="top"/>
    </xf>
    <xf numFmtId="164" fontId="2" fillId="4" borderId="53" xfId="0" applyNumberFormat="1" applyFont="1" applyFill="1" applyBorder="1" applyAlignment="1">
      <alignment horizontal="center" vertical="top"/>
    </xf>
    <xf numFmtId="164" fontId="2" fillId="4" borderId="56" xfId="0" applyNumberFormat="1" applyFont="1" applyFill="1" applyBorder="1" applyAlignment="1">
      <alignment horizontal="center" vertical="top" wrapText="1"/>
    </xf>
    <xf numFmtId="3" fontId="2" fillId="4" borderId="53" xfId="0" applyNumberFormat="1" applyFont="1" applyFill="1" applyBorder="1" applyAlignment="1">
      <alignment vertical="top" wrapText="1"/>
    </xf>
    <xf numFmtId="164" fontId="2" fillId="0" borderId="17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2" fillId="4" borderId="17" xfId="0" applyNumberFormat="1" applyFont="1" applyFill="1" applyBorder="1" applyAlignment="1">
      <alignment horizontal="center" vertical="top"/>
    </xf>
    <xf numFmtId="3" fontId="2" fillId="4" borderId="3" xfId="0" applyNumberFormat="1" applyFont="1" applyFill="1" applyBorder="1" applyAlignment="1">
      <alignment horizontal="center" vertical="top" wrapText="1"/>
    </xf>
    <xf numFmtId="3" fontId="2" fillId="4" borderId="39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vertical="top" wrapText="1"/>
    </xf>
    <xf numFmtId="3" fontId="2" fillId="0" borderId="0" xfId="0" applyNumberFormat="1" applyFont="1" applyAlignment="1">
      <alignment horizontal="center" vertical="top" wrapText="1"/>
    </xf>
    <xf numFmtId="3" fontId="6" fillId="0" borderId="0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3" fontId="2" fillId="4" borderId="4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3" fontId="2" fillId="0" borderId="39" xfId="0" applyNumberFormat="1" applyFont="1" applyBorder="1" applyAlignment="1">
      <alignment horizontal="right" vertical="top" wrapText="1"/>
    </xf>
    <xf numFmtId="49" fontId="2" fillId="3" borderId="55" xfId="0" applyNumberFormat="1" applyFont="1" applyFill="1" applyBorder="1" applyAlignment="1">
      <alignment horizontal="center" vertical="top" wrapText="1"/>
    </xf>
    <xf numFmtId="49" fontId="2" fillId="3" borderId="31" xfId="0" applyNumberFormat="1" applyFont="1" applyFill="1" applyBorder="1" applyAlignment="1">
      <alignment horizontal="center" vertical="top" wrapText="1"/>
    </xf>
    <xf numFmtId="49" fontId="2" fillId="3" borderId="59" xfId="0" applyNumberFormat="1" applyFont="1" applyFill="1" applyBorder="1" applyAlignment="1">
      <alignment horizontal="center" vertical="top" wrapText="1"/>
    </xf>
    <xf numFmtId="3" fontId="2" fillId="4" borderId="13" xfId="0" quotePrefix="1" applyNumberFormat="1" applyFont="1" applyFill="1" applyBorder="1" applyAlignment="1">
      <alignment horizontal="center" vertical="top" wrapText="1"/>
    </xf>
    <xf numFmtId="3" fontId="2" fillId="4" borderId="19" xfId="0" quotePrefix="1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horizontal="center" vertical="top" wrapText="1"/>
    </xf>
    <xf numFmtId="49" fontId="2" fillId="3" borderId="31" xfId="0" applyNumberFormat="1" applyFont="1" applyFill="1" applyBorder="1" applyAlignment="1">
      <alignment horizontal="center" vertical="top"/>
    </xf>
    <xf numFmtId="49" fontId="2" fillId="0" borderId="31" xfId="0" applyNumberFormat="1" applyFont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horizontal="center" vertical="top" wrapText="1"/>
    </xf>
    <xf numFmtId="49" fontId="2" fillId="4" borderId="18" xfId="0" applyNumberFormat="1" applyFont="1" applyFill="1" applyBorder="1" applyAlignment="1">
      <alignment horizontal="center" vertical="top" wrapText="1"/>
    </xf>
    <xf numFmtId="49" fontId="2" fillId="3" borderId="57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3" borderId="32" xfId="0" applyNumberFormat="1" applyFont="1" applyFill="1" applyBorder="1" applyAlignment="1">
      <alignment horizontal="center" vertical="top" wrapText="1"/>
    </xf>
    <xf numFmtId="49" fontId="2" fillId="3" borderId="46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 wrapText="1"/>
    </xf>
    <xf numFmtId="49" fontId="2" fillId="3" borderId="45" xfId="0" applyNumberFormat="1" applyFont="1" applyFill="1" applyBorder="1" applyAlignment="1">
      <alignment horizontal="center" vertical="top" wrapText="1"/>
    </xf>
    <xf numFmtId="3" fontId="2" fillId="4" borderId="9" xfId="0" applyNumberFormat="1" applyFont="1" applyFill="1" applyBorder="1" applyAlignment="1">
      <alignment horizontal="center" vertical="top" wrapText="1"/>
    </xf>
    <xf numFmtId="164" fontId="3" fillId="5" borderId="42" xfId="0" applyNumberFormat="1" applyFont="1" applyFill="1" applyBorder="1" applyAlignment="1">
      <alignment horizontal="center" vertical="top" wrapText="1"/>
    </xf>
    <xf numFmtId="164" fontId="2" fillId="4" borderId="16" xfId="0" applyNumberFormat="1" applyFont="1" applyFill="1" applyBorder="1" applyAlignment="1">
      <alignment horizontal="center" vertical="top" wrapText="1"/>
    </xf>
    <xf numFmtId="49" fontId="2" fillId="3" borderId="32" xfId="0" applyNumberFormat="1" applyFont="1" applyFill="1" applyBorder="1" applyAlignment="1">
      <alignment horizontal="center" vertical="top"/>
    </xf>
    <xf numFmtId="3" fontId="2" fillId="4" borderId="18" xfId="0" quotePrefix="1" applyNumberFormat="1" applyFont="1" applyFill="1" applyBorder="1" applyAlignment="1">
      <alignment horizontal="center" vertical="top" wrapText="1"/>
    </xf>
    <xf numFmtId="3" fontId="2" fillId="4" borderId="56" xfId="0" applyNumberFormat="1" applyFont="1" applyFill="1" applyBorder="1" applyAlignment="1">
      <alignment horizontal="left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3" fontId="3" fillId="5" borderId="48" xfId="0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horizontal="center" vertical="top"/>
    </xf>
    <xf numFmtId="164" fontId="2" fillId="0" borderId="16" xfId="0" applyNumberFormat="1" applyFont="1" applyFill="1" applyBorder="1" applyAlignment="1">
      <alignment horizontal="center" vertical="top" wrapText="1"/>
    </xf>
    <xf numFmtId="164" fontId="2" fillId="4" borderId="54" xfId="0" applyNumberFormat="1" applyFont="1" applyFill="1" applyBorder="1" applyAlignment="1">
      <alignment horizontal="center" vertical="top"/>
    </xf>
    <xf numFmtId="3" fontId="2" fillId="4" borderId="57" xfId="0" applyNumberFormat="1" applyFont="1" applyFill="1" applyBorder="1" applyAlignment="1">
      <alignment vertical="top" wrapText="1"/>
    </xf>
    <xf numFmtId="3" fontId="2" fillId="4" borderId="27" xfId="0" applyNumberFormat="1" applyFont="1" applyFill="1" applyBorder="1" applyAlignment="1">
      <alignment vertical="top" wrapText="1"/>
    </xf>
    <xf numFmtId="3" fontId="2" fillId="4" borderId="39" xfId="0" applyNumberFormat="1" applyFont="1" applyFill="1" applyBorder="1" applyAlignment="1">
      <alignment vertical="top" wrapText="1"/>
    </xf>
    <xf numFmtId="3" fontId="2" fillId="4" borderId="40" xfId="0" applyNumberFormat="1" applyFont="1" applyFill="1" applyBorder="1" applyAlignment="1">
      <alignment vertical="top" wrapText="1"/>
    </xf>
    <xf numFmtId="3" fontId="2" fillId="4" borderId="48" xfId="0" applyNumberFormat="1" applyFont="1" applyFill="1" applyBorder="1" applyAlignment="1">
      <alignment horizontal="center" vertical="top" wrapText="1"/>
    </xf>
    <xf numFmtId="0" fontId="2" fillId="0" borderId="53" xfId="0" applyFont="1" applyFill="1" applyBorder="1" applyAlignment="1">
      <alignment horizontal="center" vertical="top" wrapText="1"/>
    </xf>
    <xf numFmtId="164" fontId="2" fillId="4" borderId="2" xfId="0" applyNumberFormat="1" applyFont="1" applyFill="1" applyBorder="1" applyAlignment="1">
      <alignment horizontal="center" vertical="top" wrapText="1"/>
    </xf>
    <xf numFmtId="164" fontId="2" fillId="4" borderId="9" xfId="0" applyNumberFormat="1" applyFont="1" applyFill="1" applyBorder="1" applyAlignment="1">
      <alignment horizontal="center" vertical="top"/>
    </xf>
    <xf numFmtId="164" fontId="2" fillId="4" borderId="10" xfId="0" applyNumberFormat="1" applyFont="1" applyFill="1" applyBorder="1" applyAlignment="1">
      <alignment horizontal="center" vertical="top" wrapText="1"/>
    </xf>
    <xf numFmtId="3" fontId="3" fillId="4" borderId="13" xfId="0" applyNumberFormat="1" applyFont="1" applyFill="1" applyBorder="1" applyAlignment="1">
      <alignment vertical="top" wrapText="1"/>
    </xf>
    <xf numFmtId="3" fontId="3" fillId="4" borderId="29" xfId="0" applyNumberFormat="1" applyFont="1" applyFill="1" applyBorder="1" applyAlignment="1">
      <alignment horizontal="left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164" fontId="2" fillId="0" borderId="63" xfId="0" applyNumberFormat="1" applyFont="1" applyFill="1" applyBorder="1" applyAlignment="1">
      <alignment horizontal="center" vertical="top"/>
    </xf>
    <xf numFmtId="164" fontId="2" fillId="0" borderId="53" xfId="0" applyNumberFormat="1" applyFont="1" applyFill="1" applyBorder="1" applyAlignment="1">
      <alignment horizontal="center" vertical="top"/>
    </xf>
    <xf numFmtId="49" fontId="2" fillId="3" borderId="55" xfId="0" applyNumberFormat="1" applyFont="1" applyFill="1" applyBorder="1" applyAlignment="1">
      <alignment horizontal="center" vertical="top"/>
    </xf>
    <xf numFmtId="3" fontId="3" fillId="4" borderId="0" xfId="0" applyNumberFormat="1" applyFont="1" applyFill="1" applyBorder="1" applyAlignment="1">
      <alignment horizontal="center" vertical="top" wrapText="1"/>
    </xf>
    <xf numFmtId="164" fontId="2" fillId="3" borderId="16" xfId="0" applyNumberFormat="1" applyFont="1" applyFill="1" applyBorder="1" applyAlignment="1">
      <alignment horizontal="center" vertical="top" wrapText="1"/>
    </xf>
    <xf numFmtId="3" fontId="2" fillId="0" borderId="17" xfId="0" applyNumberFormat="1" applyFont="1" applyFill="1" applyBorder="1" applyAlignment="1">
      <alignment horizontal="center" vertical="top" wrapText="1"/>
    </xf>
    <xf numFmtId="164" fontId="2" fillId="3" borderId="54" xfId="0" applyNumberFormat="1" applyFont="1" applyFill="1" applyBorder="1" applyAlignment="1">
      <alignment horizontal="center" vertical="top" wrapText="1"/>
    </xf>
    <xf numFmtId="3" fontId="2" fillId="3" borderId="57" xfId="0" applyNumberFormat="1" applyFont="1" applyFill="1" applyBorder="1" applyAlignment="1">
      <alignment vertical="top" wrapText="1"/>
    </xf>
    <xf numFmtId="3" fontId="2" fillId="3" borderId="38" xfId="0" applyNumberFormat="1" applyFont="1" applyFill="1" applyBorder="1" applyAlignment="1">
      <alignment vertical="top" wrapText="1"/>
    </xf>
    <xf numFmtId="3" fontId="2" fillId="0" borderId="54" xfId="0" applyNumberFormat="1" applyFont="1" applyFill="1" applyBorder="1" applyAlignment="1">
      <alignment horizontal="center" vertical="top" wrapText="1"/>
    </xf>
    <xf numFmtId="164" fontId="2" fillId="0" borderId="56" xfId="0" applyNumberFormat="1" applyFont="1" applyFill="1" applyBorder="1" applyAlignment="1">
      <alignment horizontal="center" vertical="top"/>
    </xf>
    <xf numFmtId="3" fontId="2" fillId="4" borderId="53" xfId="0" applyNumberFormat="1" applyFont="1" applyFill="1" applyBorder="1" applyAlignment="1">
      <alignment horizontal="center" vertical="top"/>
    </xf>
    <xf numFmtId="3" fontId="2" fillId="4" borderId="8" xfId="0" applyNumberFormat="1" applyFont="1" applyFill="1" applyBorder="1" applyAlignment="1">
      <alignment vertical="top" wrapText="1"/>
    </xf>
    <xf numFmtId="3" fontId="2" fillId="0" borderId="16" xfId="0" applyNumberFormat="1" applyFont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164" fontId="2" fillId="4" borderId="66" xfId="0" applyNumberFormat="1" applyFont="1" applyFill="1" applyBorder="1" applyAlignment="1">
      <alignment horizontal="center" vertical="top"/>
    </xf>
    <xf numFmtId="0" fontId="2" fillId="0" borderId="5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2" fillId="4" borderId="2" xfId="0" applyNumberFormat="1" applyFont="1" applyFill="1" applyBorder="1" applyAlignment="1">
      <alignment horizontal="center" vertical="top"/>
    </xf>
    <xf numFmtId="0" fontId="3" fillId="5" borderId="42" xfId="0" applyFont="1" applyFill="1" applyBorder="1" applyAlignment="1">
      <alignment horizontal="center" vertical="top" wrapText="1"/>
    </xf>
    <xf numFmtId="49" fontId="2" fillId="3" borderId="59" xfId="0" applyNumberFormat="1" applyFont="1" applyFill="1" applyBorder="1" applyAlignment="1">
      <alignment horizontal="center" vertical="top"/>
    </xf>
    <xf numFmtId="49" fontId="2" fillId="3" borderId="29" xfId="0" applyNumberFormat="1" applyFont="1" applyFill="1" applyBorder="1" applyAlignment="1">
      <alignment horizontal="center" vertical="top" wrapText="1"/>
    </xf>
    <xf numFmtId="3" fontId="2" fillId="4" borderId="29" xfId="0" applyNumberFormat="1" applyFont="1" applyFill="1" applyBorder="1" applyAlignment="1">
      <alignment horizontal="left" vertical="top" wrapText="1"/>
    </xf>
    <xf numFmtId="3" fontId="2" fillId="0" borderId="10" xfId="0" applyNumberFormat="1" applyFont="1" applyFill="1" applyBorder="1" applyAlignment="1">
      <alignment vertical="top" wrapText="1"/>
    </xf>
    <xf numFmtId="3" fontId="2" fillId="4" borderId="47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top" wrapText="1"/>
    </xf>
    <xf numFmtId="165" fontId="3" fillId="4" borderId="0" xfId="0" applyNumberFormat="1" applyFont="1" applyFill="1" applyBorder="1" applyAlignment="1">
      <alignment horizontal="center" vertical="top" wrapText="1"/>
    </xf>
    <xf numFmtId="49" fontId="8" fillId="3" borderId="18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Border="1" applyAlignment="1">
      <alignment vertical="top" wrapText="1"/>
    </xf>
    <xf numFmtId="49" fontId="8" fillId="3" borderId="57" xfId="0" applyNumberFormat="1" applyFont="1" applyFill="1" applyBorder="1" applyAlignment="1">
      <alignment horizontal="center" vertical="top" wrapText="1"/>
    </xf>
    <xf numFmtId="3" fontId="11" fillId="4" borderId="57" xfId="0" applyNumberFormat="1" applyFont="1" applyFill="1" applyBorder="1" applyAlignment="1">
      <alignment vertical="top" wrapText="1"/>
    </xf>
    <xf numFmtId="49" fontId="8" fillId="3" borderId="52" xfId="0" applyNumberFormat="1" applyFont="1" applyFill="1" applyBorder="1" applyAlignment="1">
      <alignment horizontal="center" vertical="top" wrapText="1"/>
    </xf>
    <xf numFmtId="49" fontId="11" fillId="3" borderId="52" xfId="0" applyNumberFormat="1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horizontal="center" vertical="top"/>
    </xf>
    <xf numFmtId="164" fontId="2" fillId="4" borderId="5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49" fontId="2" fillId="4" borderId="27" xfId="2" applyNumberFormat="1" applyFont="1" applyFill="1" applyBorder="1" applyAlignment="1">
      <alignment horizontal="center" vertical="top"/>
    </xf>
    <xf numFmtId="49" fontId="2" fillId="4" borderId="33" xfId="2" applyNumberFormat="1" applyFont="1" applyFill="1" applyBorder="1" applyAlignment="1">
      <alignment horizontal="center" vertical="top"/>
    </xf>
    <xf numFmtId="49" fontId="2" fillId="4" borderId="0" xfId="2" applyNumberFormat="1" applyFont="1" applyFill="1" applyBorder="1" applyAlignment="1">
      <alignment horizontal="center" vertical="top"/>
    </xf>
    <xf numFmtId="3" fontId="3" fillId="5" borderId="27" xfId="0" applyNumberFormat="1" applyFont="1" applyFill="1" applyBorder="1" applyAlignment="1">
      <alignment horizontal="center" vertical="top" wrapText="1"/>
    </xf>
    <xf numFmtId="3" fontId="2" fillId="4" borderId="16" xfId="0" applyNumberFormat="1" applyFont="1" applyFill="1" applyBorder="1" applyAlignment="1">
      <alignment vertical="top" wrapText="1"/>
    </xf>
    <xf numFmtId="49" fontId="3" fillId="5" borderId="27" xfId="2" applyNumberFormat="1" applyFont="1" applyFill="1" applyBorder="1" applyAlignment="1">
      <alignment horizontal="right" vertical="top"/>
    </xf>
    <xf numFmtId="3" fontId="2" fillId="4" borderId="17" xfId="0" applyNumberFormat="1" applyFont="1" applyFill="1" applyBorder="1" applyAlignment="1">
      <alignment vertical="top" wrapText="1"/>
    </xf>
    <xf numFmtId="3" fontId="2" fillId="4" borderId="57" xfId="0" applyNumberFormat="1" applyFont="1" applyFill="1" applyBorder="1" applyAlignment="1">
      <alignment horizontal="left" vertical="top" wrapText="1"/>
    </xf>
    <xf numFmtId="3" fontId="2" fillId="3" borderId="43" xfId="0" applyNumberFormat="1" applyFont="1" applyFill="1" applyBorder="1" applyAlignment="1">
      <alignment horizontal="center" vertical="top" wrapText="1"/>
    </xf>
    <xf numFmtId="165" fontId="2" fillId="4" borderId="0" xfId="0" applyNumberFormat="1" applyFont="1" applyFill="1" applyBorder="1" applyAlignment="1">
      <alignment horizontal="left" vertical="top" wrapText="1"/>
    </xf>
    <xf numFmtId="3" fontId="4" fillId="4" borderId="13" xfId="0" applyNumberFormat="1" applyFont="1" applyFill="1" applyBorder="1" applyAlignment="1">
      <alignment horizontal="left" vertical="top" wrapText="1"/>
    </xf>
    <xf numFmtId="3" fontId="8" fillId="4" borderId="50" xfId="0" applyNumberFormat="1" applyFont="1" applyFill="1" applyBorder="1" applyAlignment="1">
      <alignment horizontal="center" vertical="top" wrapText="1"/>
    </xf>
    <xf numFmtId="49" fontId="2" fillId="4" borderId="50" xfId="2" applyNumberFormat="1" applyFont="1" applyFill="1" applyBorder="1" applyAlignment="1">
      <alignment horizontal="center" vertical="top"/>
    </xf>
    <xf numFmtId="3" fontId="2" fillId="0" borderId="60" xfId="0" applyNumberFormat="1" applyFont="1" applyBorder="1" applyAlignment="1">
      <alignment horizontal="center" vertical="center" textRotation="90" wrapText="1"/>
    </xf>
    <xf numFmtId="3" fontId="2" fillId="4" borderId="62" xfId="0" applyNumberFormat="1" applyFont="1" applyFill="1" applyBorder="1" applyAlignment="1">
      <alignment horizontal="center" vertical="top" wrapText="1"/>
    </xf>
    <xf numFmtId="3" fontId="2" fillId="4" borderId="7" xfId="0" applyNumberFormat="1" applyFont="1" applyFill="1" applyBorder="1" applyAlignment="1">
      <alignment horizontal="center" vertical="top" wrapText="1"/>
    </xf>
    <xf numFmtId="0" fontId="2" fillId="4" borderId="53" xfId="0" applyFont="1" applyFill="1" applyBorder="1" applyAlignment="1">
      <alignment vertical="top" wrapText="1"/>
    </xf>
    <xf numFmtId="3" fontId="2" fillId="4" borderId="56" xfId="0" applyNumberFormat="1" applyFont="1" applyFill="1" applyBorder="1" applyAlignment="1">
      <alignment vertical="top" wrapText="1"/>
    </xf>
    <xf numFmtId="3" fontId="2" fillId="4" borderId="49" xfId="0" applyNumberFormat="1" applyFont="1" applyFill="1" applyBorder="1" applyAlignment="1">
      <alignment vertical="top" wrapText="1"/>
    </xf>
    <xf numFmtId="0" fontId="2" fillId="4" borderId="49" xfId="0" applyFont="1" applyFill="1" applyBorder="1" applyAlignment="1">
      <alignment vertical="top" wrapText="1"/>
    </xf>
    <xf numFmtId="164" fontId="2" fillId="12" borderId="8" xfId="2" applyNumberFormat="1" applyFont="1" applyFill="1" applyBorder="1" applyAlignment="1">
      <alignment horizontal="center" vertical="top"/>
    </xf>
    <xf numFmtId="49" fontId="3" fillId="3" borderId="13" xfId="0" applyNumberFormat="1" applyFont="1" applyFill="1" applyBorder="1" applyAlignment="1">
      <alignment horizontal="center" vertical="top" wrapText="1"/>
    </xf>
    <xf numFmtId="165" fontId="2" fillId="4" borderId="0" xfId="0" applyNumberFormat="1" applyFont="1" applyFill="1" applyBorder="1" applyAlignment="1">
      <alignment horizontal="center" vertical="top" wrapText="1"/>
    </xf>
    <xf numFmtId="3" fontId="2" fillId="4" borderId="53" xfId="0" applyNumberFormat="1" applyFont="1" applyFill="1" applyBorder="1" applyAlignment="1">
      <alignment horizontal="center" vertical="top" wrapText="1"/>
    </xf>
    <xf numFmtId="164" fontId="2" fillId="4" borderId="5" xfId="2" applyNumberFormat="1" applyFont="1" applyFill="1" applyBorder="1" applyAlignment="1">
      <alignment horizontal="center" vertical="top"/>
    </xf>
    <xf numFmtId="168" fontId="2" fillId="9" borderId="17" xfId="2" applyNumberFormat="1" applyFont="1" applyFill="1" applyBorder="1" applyAlignment="1">
      <alignment vertical="top" wrapText="1"/>
    </xf>
    <xf numFmtId="3" fontId="2" fillId="4" borderId="17" xfId="0" applyNumberFormat="1" applyFont="1" applyFill="1" applyBorder="1" applyAlignment="1">
      <alignment horizontal="center" vertical="top" wrapText="1"/>
    </xf>
    <xf numFmtId="167" fontId="2" fillId="9" borderId="17" xfId="2" applyNumberFormat="1" applyFont="1" applyFill="1" applyBorder="1" applyAlignment="1">
      <alignment vertical="top" wrapText="1"/>
    </xf>
    <xf numFmtId="167" fontId="2" fillId="9" borderId="5" xfId="2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horizontal="center" vertical="top"/>
    </xf>
    <xf numFmtId="3" fontId="2" fillId="4" borderId="28" xfId="0" applyNumberFormat="1" applyFont="1" applyFill="1" applyBorder="1" applyAlignment="1">
      <alignment horizontal="center" vertical="top" wrapText="1"/>
    </xf>
    <xf numFmtId="3" fontId="2" fillId="4" borderId="60" xfId="0" applyNumberFormat="1" applyFont="1" applyFill="1" applyBorder="1" applyAlignment="1">
      <alignment horizontal="center" vertical="top" wrapText="1"/>
    </xf>
    <xf numFmtId="167" fontId="2" fillId="9" borderId="6" xfId="2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horizontal="center" vertical="top" wrapText="1"/>
    </xf>
    <xf numFmtId="3" fontId="2" fillId="0" borderId="39" xfId="0" applyNumberFormat="1" applyFont="1" applyBorder="1" applyAlignment="1">
      <alignment horizontal="center" vertical="center" textRotation="90" wrapText="1"/>
    </xf>
    <xf numFmtId="3" fontId="2" fillId="0" borderId="4" xfId="0" applyNumberFormat="1" applyFont="1" applyBorder="1" applyAlignment="1">
      <alignment horizontal="center" vertical="center" textRotation="90" wrapText="1"/>
    </xf>
    <xf numFmtId="3" fontId="2" fillId="4" borderId="32" xfId="0" applyNumberFormat="1" applyFont="1" applyFill="1" applyBorder="1" applyAlignment="1">
      <alignment horizontal="center" vertical="top" wrapText="1"/>
    </xf>
    <xf numFmtId="3" fontId="2" fillId="4" borderId="41" xfId="0" applyNumberFormat="1" applyFont="1" applyFill="1" applyBorder="1" applyAlignment="1">
      <alignment horizontal="center" vertical="top" wrapText="1"/>
    </xf>
    <xf numFmtId="3" fontId="2" fillId="0" borderId="19" xfId="0" applyNumberFormat="1" applyFont="1" applyFill="1" applyBorder="1" applyAlignment="1">
      <alignment horizontal="center" vertical="top" wrapText="1"/>
    </xf>
    <xf numFmtId="3" fontId="2" fillId="0" borderId="60" xfId="0" applyNumberFormat="1" applyFont="1" applyFill="1" applyBorder="1" applyAlignment="1">
      <alignment horizontal="center" vertical="top" wrapText="1"/>
    </xf>
    <xf numFmtId="3" fontId="2" fillId="4" borderId="52" xfId="0" applyNumberFormat="1" applyFont="1" applyFill="1" applyBorder="1" applyAlignment="1">
      <alignment horizontal="center" vertical="top" wrapText="1"/>
    </xf>
    <xf numFmtId="3" fontId="2" fillId="4" borderId="4" xfId="0" applyNumberFormat="1" applyFont="1" applyFill="1" applyBorder="1" applyAlignment="1">
      <alignment horizontal="center" vertical="top" wrapText="1"/>
    </xf>
    <xf numFmtId="3" fontId="2" fillId="4" borderId="57" xfId="0" applyNumberFormat="1" applyFont="1" applyFill="1" applyBorder="1" applyAlignment="1">
      <alignment horizontal="center" vertical="top" wrapText="1"/>
    </xf>
    <xf numFmtId="3" fontId="2" fillId="4" borderId="26" xfId="0" applyNumberFormat="1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0" fontId="2" fillId="4" borderId="50" xfId="0" applyFont="1" applyFill="1" applyBorder="1" applyAlignment="1">
      <alignment horizontal="center" vertical="top" wrapText="1"/>
    </xf>
    <xf numFmtId="3" fontId="2" fillId="4" borderId="38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vertical="top" wrapText="1"/>
    </xf>
    <xf numFmtId="0" fontId="2" fillId="4" borderId="52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 wrapText="1"/>
    </xf>
    <xf numFmtId="49" fontId="2" fillId="0" borderId="52" xfId="0" applyNumberFormat="1" applyFont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vertical="top" wrapText="1"/>
    </xf>
    <xf numFmtId="167" fontId="2" fillId="9" borderId="0" xfId="2" applyNumberFormat="1" applyFont="1" applyFill="1" applyBorder="1" applyAlignment="1">
      <alignment horizontal="center" vertical="top" wrapText="1"/>
    </xf>
    <xf numFmtId="49" fontId="2" fillId="3" borderId="57" xfId="0" applyNumberFormat="1" applyFont="1" applyFill="1" applyBorder="1" applyAlignment="1">
      <alignment horizontal="center" vertical="top"/>
    </xf>
    <xf numFmtId="3" fontId="2" fillId="4" borderId="27" xfId="0" applyNumberFormat="1" applyFont="1" applyFill="1" applyBorder="1" applyAlignment="1">
      <alignment horizontal="center" vertical="top"/>
    </xf>
    <xf numFmtId="3" fontId="2" fillId="4" borderId="0" xfId="0" applyNumberFormat="1" applyFont="1" applyFill="1" applyBorder="1" applyAlignment="1">
      <alignment horizontal="center" vertical="top"/>
    </xf>
    <xf numFmtId="3" fontId="2" fillId="4" borderId="33" xfId="0" applyNumberFormat="1" applyFont="1" applyFill="1" applyBorder="1" applyAlignment="1">
      <alignment horizontal="center" vertical="top"/>
    </xf>
    <xf numFmtId="164" fontId="2" fillId="4" borderId="16" xfId="0" applyNumberFormat="1" applyFont="1" applyFill="1" applyBorder="1" applyAlignment="1">
      <alignment horizontal="center" vertical="top"/>
    </xf>
    <xf numFmtId="164" fontId="2" fillId="4" borderId="53" xfId="0" applyNumberFormat="1" applyFont="1" applyFill="1" applyBorder="1" applyAlignment="1">
      <alignment horizontal="center" vertical="top" wrapText="1"/>
    </xf>
    <xf numFmtId="164" fontId="2" fillId="4" borderId="54" xfId="0" applyNumberFormat="1" applyFont="1" applyFill="1" applyBorder="1" applyAlignment="1">
      <alignment horizontal="center" vertical="top" wrapText="1"/>
    </xf>
    <xf numFmtId="164" fontId="2" fillId="4" borderId="17" xfId="0" applyNumberFormat="1" applyFont="1" applyFill="1" applyBorder="1" applyAlignment="1">
      <alignment horizontal="center" vertical="top" wrapText="1"/>
    </xf>
    <xf numFmtId="164" fontId="2" fillId="4" borderId="63" xfId="0" applyNumberFormat="1" applyFont="1" applyFill="1" applyBorder="1" applyAlignment="1">
      <alignment horizontal="center" vertical="top"/>
    </xf>
    <xf numFmtId="164" fontId="2" fillId="4" borderId="49" xfId="0" applyNumberFormat="1" applyFont="1" applyFill="1" applyBorder="1" applyAlignment="1">
      <alignment horizontal="center" vertical="top" wrapText="1"/>
    </xf>
    <xf numFmtId="164" fontId="2" fillId="4" borderId="42" xfId="0" applyNumberFormat="1" applyFont="1" applyFill="1" applyBorder="1" applyAlignment="1">
      <alignment horizontal="center" vertical="top" wrapText="1"/>
    </xf>
    <xf numFmtId="164" fontId="2" fillId="4" borderId="24" xfId="0" applyNumberFormat="1" applyFont="1" applyFill="1" applyBorder="1" applyAlignment="1">
      <alignment horizontal="center" vertical="top"/>
    </xf>
    <xf numFmtId="164" fontId="2" fillId="4" borderId="26" xfId="0" applyNumberFormat="1" applyFont="1" applyFill="1" applyBorder="1" applyAlignment="1">
      <alignment horizontal="center" vertical="top"/>
    </xf>
    <xf numFmtId="164" fontId="2" fillId="4" borderId="26" xfId="0" applyNumberFormat="1" applyFont="1" applyFill="1" applyBorder="1" applyAlignment="1">
      <alignment horizontal="center" vertical="top" wrapText="1"/>
    </xf>
    <xf numFmtId="164" fontId="2" fillId="4" borderId="24" xfId="0" applyNumberFormat="1" applyFont="1" applyFill="1" applyBorder="1" applyAlignment="1">
      <alignment horizontal="center" vertical="top" wrapText="1"/>
    </xf>
    <xf numFmtId="164" fontId="2" fillId="4" borderId="15" xfId="0" applyNumberFormat="1" applyFont="1" applyFill="1" applyBorder="1" applyAlignment="1">
      <alignment horizontal="center" vertical="top" wrapText="1"/>
    </xf>
    <xf numFmtId="164" fontId="2" fillId="4" borderId="7" xfId="0" applyNumberFormat="1" applyFont="1" applyFill="1" applyBorder="1" applyAlignment="1">
      <alignment horizontal="center" vertical="top" wrapText="1"/>
    </xf>
    <xf numFmtId="164" fontId="2" fillId="4" borderId="62" xfId="0" applyNumberFormat="1" applyFont="1" applyFill="1" applyBorder="1" applyAlignment="1">
      <alignment horizontal="center" vertical="top"/>
    </xf>
    <xf numFmtId="164" fontId="2" fillId="4" borderId="60" xfId="0" applyNumberFormat="1" applyFont="1" applyFill="1" applyBorder="1" applyAlignment="1">
      <alignment horizontal="center" vertical="top" wrapText="1"/>
    </xf>
    <xf numFmtId="164" fontId="2" fillId="4" borderId="7" xfId="0" applyNumberFormat="1" applyFont="1" applyFill="1" applyBorder="1" applyAlignment="1">
      <alignment horizontal="center" vertical="top"/>
    </xf>
    <xf numFmtId="164" fontId="2" fillId="4" borderId="28" xfId="0" applyNumberFormat="1" applyFont="1" applyFill="1" applyBorder="1" applyAlignment="1">
      <alignment horizontal="center" vertical="top"/>
    </xf>
    <xf numFmtId="164" fontId="2" fillId="4" borderId="13" xfId="0" applyNumberFormat="1" applyFont="1" applyFill="1" applyBorder="1" applyAlignment="1">
      <alignment horizontal="center" vertical="top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57" xfId="0" applyNumberFormat="1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164" fontId="2" fillId="4" borderId="3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164" fontId="2" fillId="4" borderId="29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/>
    </xf>
    <xf numFmtId="164" fontId="2" fillId="4" borderId="38" xfId="0" applyNumberFormat="1" applyFont="1" applyFill="1" applyBorder="1" applyAlignment="1">
      <alignment horizontal="center" vertical="top"/>
    </xf>
    <xf numFmtId="164" fontId="2" fillId="4" borderId="52" xfId="0" applyNumberFormat="1" applyFont="1" applyFill="1" applyBorder="1" applyAlignment="1">
      <alignment horizontal="center" vertical="top"/>
    </xf>
    <xf numFmtId="164" fontId="2" fillId="4" borderId="33" xfId="0" applyNumberFormat="1" applyFont="1" applyFill="1" applyBorder="1" applyAlignment="1">
      <alignment horizontal="center" vertical="top" wrapText="1"/>
    </xf>
    <xf numFmtId="164" fontId="3" fillId="5" borderId="40" xfId="0" applyNumberFormat="1" applyFont="1" applyFill="1" applyBorder="1" applyAlignment="1">
      <alignment horizontal="center" vertical="top" wrapText="1"/>
    </xf>
    <xf numFmtId="164" fontId="8" fillId="4" borderId="15" xfId="0" applyNumberFormat="1" applyFont="1" applyFill="1" applyBorder="1" applyAlignment="1">
      <alignment horizontal="center" vertical="top" wrapText="1"/>
    </xf>
    <xf numFmtId="164" fontId="2" fillId="11" borderId="28" xfId="2" applyNumberFormat="1" applyFont="1" applyFill="1" applyBorder="1" applyAlignment="1">
      <alignment horizontal="center" vertical="top"/>
    </xf>
    <xf numFmtId="164" fontId="2" fillId="11" borderId="26" xfId="2" applyNumberFormat="1" applyFont="1" applyFill="1" applyBorder="1" applyAlignment="1">
      <alignment horizontal="center" vertical="top"/>
    </xf>
    <xf numFmtId="164" fontId="2" fillId="12" borderId="28" xfId="2" applyNumberFormat="1" applyFont="1" applyFill="1" applyBorder="1" applyAlignment="1">
      <alignment horizontal="center" vertical="top"/>
    </xf>
    <xf numFmtId="164" fontId="2" fillId="12" borderId="7" xfId="2" applyNumberFormat="1" applyFont="1" applyFill="1" applyBorder="1" applyAlignment="1">
      <alignment horizontal="center" vertical="top"/>
    </xf>
    <xf numFmtId="164" fontId="2" fillId="4" borderId="15" xfId="2" applyNumberFormat="1" applyFont="1" applyFill="1" applyBorder="1" applyAlignment="1">
      <alignment horizontal="center" vertical="top"/>
    </xf>
    <xf numFmtId="164" fontId="3" fillId="14" borderId="26" xfId="2" applyNumberFormat="1" applyFont="1" applyFill="1" applyBorder="1" applyAlignment="1">
      <alignment horizontal="center" vertical="top"/>
    </xf>
    <xf numFmtId="164" fontId="8" fillId="4" borderId="54" xfId="0" applyNumberFormat="1" applyFont="1" applyFill="1" applyBorder="1" applyAlignment="1">
      <alignment horizontal="center" vertical="top" wrapText="1"/>
    </xf>
    <xf numFmtId="164" fontId="2" fillId="11" borderId="53" xfId="2" applyNumberFormat="1" applyFont="1" applyFill="1" applyBorder="1" applyAlignment="1">
      <alignment horizontal="center" vertical="top"/>
    </xf>
    <xf numFmtId="164" fontId="2" fillId="11" borderId="56" xfId="2" applyNumberFormat="1" applyFont="1" applyFill="1" applyBorder="1" applyAlignment="1">
      <alignment horizontal="center" vertical="top"/>
    </xf>
    <xf numFmtId="164" fontId="2" fillId="12" borderId="53" xfId="2" applyNumberFormat="1" applyFont="1" applyFill="1" applyBorder="1" applyAlignment="1">
      <alignment horizontal="center" vertical="top"/>
    </xf>
    <xf numFmtId="164" fontId="2" fillId="12" borderId="56" xfId="2" applyNumberFormat="1" applyFont="1" applyFill="1" applyBorder="1" applyAlignment="1">
      <alignment horizontal="center" vertical="top"/>
    </xf>
    <xf numFmtId="164" fontId="2" fillId="12" borderId="17" xfId="2" applyNumberFormat="1" applyFont="1" applyFill="1" applyBorder="1" applyAlignment="1">
      <alignment horizontal="center" vertical="top"/>
    </xf>
    <xf numFmtId="164" fontId="2" fillId="0" borderId="53" xfId="0" applyNumberFormat="1" applyFont="1" applyFill="1" applyBorder="1" applyAlignment="1">
      <alignment horizontal="center" vertical="top" wrapText="1"/>
    </xf>
    <xf numFmtId="164" fontId="2" fillId="4" borderId="54" xfId="2" applyNumberFormat="1" applyFont="1" applyFill="1" applyBorder="1" applyAlignment="1">
      <alignment horizontal="center" vertical="top"/>
    </xf>
    <xf numFmtId="164" fontId="3" fillId="14" borderId="56" xfId="2" applyNumberFormat="1" applyFont="1" applyFill="1" applyBorder="1" applyAlignment="1">
      <alignment horizontal="center" vertical="top"/>
    </xf>
    <xf numFmtId="164" fontId="2" fillId="0" borderId="57" xfId="0" applyNumberFormat="1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top" wrapText="1"/>
    </xf>
    <xf numFmtId="164" fontId="8" fillId="4" borderId="38" xfId="0" applyNumberFormat="1" applyFont="1" applyFill="1" applyBorder="1" applyAlignment="1">
      <alignment horizontal="center" vertical="top" wrapText="1"/>
    </xf>
    <xf numFmtId="164" fontId="2" fillId="11" borderId="52" xfId="2" applyNumberFormat="1" applyFont="1" applyFill="1" applyBorder="1" applyAlignment="1">
      <alignment horizontal="center" vertical="top"/>
    </xf>
    <xf numFmtId="164" fontId="2" fillId="11" borderId="57" xfId="2" applyNumberFormat="1" applyFont="1" applyFill="1" applyBorder="1" applyAlignment="1">
      <alignment horizontal="center" vertical="top"/>
    </xf>
    <xf numFmtId="164" fontId="2" fillId="12" borderId="52" xfId="2" applyNumberFormat="1" applyFont="1" applyFill="1" applyBorder="1" applyAlignment="1">
      <alignment horizontal="center" vertical="top"/>
    </xf>
    <xf numFmtId="164" fontId="2" fillId="12" borderId="57" xfId="2" applyNumberFormat="1" applyFont="1" applyFill="1" applyBorder="1" applyAlignment="1">
      <alignment horizontal="center" vertical="top"/>
    </xf>
    <xf numFmtId="164" fontId="2" fillId="12" borderId="18" xfId="2" applyNumberFormat="1" applyFont="1" applyFill="1" applyBorder="1" applyAlignment="1">
      <alignment horizontal="center" vertical="top"/>
    </xf>
    <xf numFmtId="164" fontId="2" fillId="4" borderId="38" xfId="2" applyNumberFormat="1" applyFont="1" applyFill="1" applyBorder="1" applyAlignment="1">
      <alignment horizontal="center" vertical="top"/>
    </xf>
    <xf numFmtId="164" fontId="3" fillId="14" borderId="57" xfId="2" applyNumberFormat="1" applyFont="1" applyFill="1" applyBorder="1" applyAlignment="1">
      <alignment horizontal="center" vertical="top"/>
    </xf>
    <xf numFmtId="164" fontId="2" fillId="0" borderId="51" xfId="0" applyNumberFormat="1" applyFont="1" applyFill="1" applyBorder="1" applyAlignment="1">
      <alignment horizontal="center" vertical="top"/>
    </xf>
    <xf numFmtId="164" fontId="2" fillId="0" borderId="29" xfId="0" applyNumberFormat="1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3" borderId="50" xfId="0" applyNumberFormat="1" applyFont="1" applyFill="1" applyBorder="1" applyAlignment="1">
      <alignment horizontal="center" vertical="top" wrapText="1"/>
    </xf>
    <xf numFmtId="164" fontId="2" fillId="4" borderId="27" xfId="0" applyNumberFormat="1" applyFont="1" applyFill="1" applyBorder="1" applyAlignment="1">
      <alignment horizontal="center" vertical="top"/>
    </xf>
    <xf numFmtId="164" fontId="2" fillId="4" borderId="33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164" fontId="2" fillId="4" borderId="0" xfId="0" applyNumberFormat="1" applyFont="1" applyFill="1" applyBorder="1" applyAlignment="1">
      <alignment horizontal="center" vertical="top"/>
    </xf>
    <xf numFmtId="164" fontId="3" fillId="5" borderId="40" xfId="0" applyNumberFormat="1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>
      <alignment horizontal="center" vertical="top" wrapText="1"/>
    </xf>
    <xf numFmtId="164" fontId="3" fillId="5" borderId="44" xfId="0" applyNumberFormat="1" applyFont="1" applyFill="1" applyBorder="1" applyAlignment="1">
      <alignment horizontal="center" vertical="top" wrapText="1"/>
    </xf>
    <xf numFmtId="164" fontId="2" fillId="3" borderId="13" xfId="0" applyNumberFormat="1" applyFont="1" applyFill="1" applyBorder="1" applyAlignment="1">
      <alignment horizontal="center" vertical="top" wrapText="1"/>
    </xf>
    <xf numFmtId="164" fontId="2" fillId="3" borderId="38" xfId="0" applyNumberFormat="1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top"/>
    </xf>
    <xf numFmtId="164" fontId="2" fillId="0" borderId="18" xfId="0" applyNumberFormat="1" applyFont="1" applyFill="1" applyBorder="1" applyAlignment="1">
      <alignment horizontal="center" vertical="top" wrapText="1"/>
    </xf>
    <xf numFmtId="165" fontId="2" fillId="0" borderId="16" xfId="0" applyNumberFormat="1" applyFont="1" applyBorder="1" applyAlignment="1">
      <alignment horizontal="center" vertical="center" textRotation="90" wrapText="1"/>
    </xf>
    <xf numFmtId="164" fontId="2" fillId="5" borderId="56" xfId="0" applyNumberFormat="1" applyFont="1" applyFill="1" applyBorder="1" applyAlignment="1">
      <alignment horizontal="center" vertical="top" wrapText="1"/>
    </xf>
    <xf numFmtId="164" fontId="2" fillId="0" borderId="54" xfId="0" applyNumberFormat="1" applyFont="1" applyBorder="1" applyAlignment="1">
      <alignment horizontal="center" vertical="top" wrapText="1"/>
    </xf>
    <xf numFmtId="164" fontId="2" fillId="0" borderId="56" xfId="0" applyNumberFormat="1" applyFont="1" applyBorder="1" applyAlignment="1">
      <alignment horizontal="center" vertical="top" wrapText="1"/>
    </xf>
    <xf numFmtId="165" fontId="2" fillId="0" borderId="24" xfId="0" applyNumberFormat="1" applyFont="1" applyBorder="1" applyAlignment="1">
      <alignment horizontal="center" vertical="center" textRotation="90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2" fillId="5" borderId="26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5" fontId="2" fillId="0" borderId="13" xfId="0" applyNumberFormat="1" applyFont="1" applyBorder="1" applyAlignment="1">
      <alignment horizontal="center" vertical="center" textRotation="90" wrapText="1"/>
    </xf>
    <xf numFmtId="164" fontId="2" fillId="5" borderId="57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Border="1" applyAlignment="1">
      <alignment horizontal="center" vertical="top" wrapText="1"/>
    </xf>
    <xf numFmtId="164" fontId="2" fillId="0" borderId="57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24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3" fontId="2" fillId="4" borderId="28" xfId="0" applyNumberFormat="1" applyFont="1" applyFill="1" applyBorder="1" applyAlignment="1">
      <alignment horizontal="center" vertical="top"/>
    </xf>
    <xf numFmtId="3" fontId="2" fillId="4" borderId="7" xfId="0" applyNumberFormat="1" applyFont="1" applyFill="1" applyBorder="1" applyAlignment="1">
      <alignment horizontal="center" vertical="top"/>
    </xf>
    <xf numFmtId="3" fontId="2" fillId="4" borderId="26" xfId="0" applyNumberFormat="1" applyFont="1" applyFill="1" applyBorder="1" applyAlignment="1">
      <alignment horizontal="center" vertical="top"/>
    </xf>
    <xf numFmtId="3" fontId="2" fillId="0" borderId="44" xfId="0" applyNumberFormat="1" applyFont="1" applyBorder="1" applyAlignment="1">
      <alignment horizontal="center" vertical="top" wrapText="1"/>
    </xf>
    <xf numFmtId="3" fontId="2" fillId="0" borderId="13" xfId="0" applyNumberFormat="1" applyFont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top" wrapText="1"/>
    </xf>
    <xf numFmtId="3" fontId="2" fillId="4" borderId="52" xfId="0" applyNumberFormat="1" applyFont="1" applyFill="1" applyBorder="1" applyAlignment="1">
      <alignment horizontal="center" vertical="top"/>
    </xf>
    <xf numFmtId="3" fontId="2" fillId="4" borderId="57" xfId="0" applyNumberFormat="1" applyFont="1" applyFill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 wrapText="1"/>
    </xf>
    <xf numFmtId="167" fontId="2" fillId="9" borderId="28" xfId="2" applyNumberFormat="1" applyFont="1" applyFill="1" applyBorder="1" applyAlignment="1">
      <alignment horizontal="center" vertical="top" wrapText="1"/>
    </xf>
    <xf numFmtId="167" fontId="2" fillId="9" borderId="15" xfId="2" applyNumberFormat="1" applyFont="1" applyFill="1" applyBorder="1" applyAlignment="1">
      <alignment horizontal="center" vertical="top" wrapText="1"/>
    </xf>
    <xf numFmtId="167" fontId="2" fillId="9" borderId="7" xfId="2" applyNumberFormat="1" applyFont="1" applyFill="1" applyBorder="1" applyAlignment="1">
      <alignment horizontal="center" vertical="top" wrapText="1"/>
    </xf>
    <xf numFmtId="167" fontId="2" fillId="9" borderId="28" xfId="2" applyNumberFormat="1" applyFont="1" applyFill="1" applyBorder="1" applyAlignment="1">
      <alignment horizontal="center" vertical="top"/>
    </xf>
    <xf numFmtId="167" fontId="2" fillId="9" borderId="7" xfId="2" applyNumberFormat="1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3" fontId="2" fillId="3" borderId="28" xfId="0" applyNumberFormat="1" applyFont="1" applyFill="1" applyBorder="1" applyAlignment="1">
      <alignment horizontal="center" vertical="top" wrapText="1"/>
    </xf>
    <xf numFmtId="167" fontId="2" fillId="9" borderId="77" xfId="2" applyNumberFormat="1" applyFont="1" applyFill="1" applyBorder="1" applyAlignment="1">
      <alignment horizontal="center" vertical="top" wrapText="1"/>
    </xf>
    <xf numFmtId="167" fontId="2" fillId="9" borderId="77" xfId="2" applyNumberFormat="1" applyFont="1" applyFill="1" applyBorder="1" applyAlignment="1">
      <alignment horizontal="center" vertical="top"/>
    </xf>
    <xf numFmtId="3" fontId="2" fillId="4" borderId="29" xfId="0" applyNumberFormat="1" applyFont="1" applyFill="1" applyBorder="1" applyAlignment="1">
      <alignment horizontal="center" vertical="top" wrapText="1"/>
    </xf>
    <xf numFmtId="167" fontId="2" fillId="9" borderId="52" xfId="2" applyNumberFormat="1" applyFont="1" applyFill="1" applyBorder="1" applyAlignment="1">
      <alignment horizontal="center" vertical="top" wrapText="1"/>
    </xf>
    <xf numFmtId="167" fontId="2" fillId="9" borderId="38" xfId="2" applyNumberFormat="1" applyFont="1" applyFill="1" applyBorder="1" applyAlignment="1">
      <alignment horizontal="center" vertical="top" wrapText="1"/>
    </xf>
    <xf numFmtId="167" fontId="2" fillId="9" borderId="18" xfId="2" applyNumberFormat="1" applyFont="1" applyFill="1" applyBorder="1" applyAlignment="1">
      <alignment horizontal="center" vertical="top" wrapText="1"/>
    </xf>
    <xf numFmtId="167" fontId="2" fillId="9" borderId="18" xfId="2" applyNumberFormat="1" applyFont="1" applyFill="1" applyBorder="1" applyAlignment="1">
      <alignment horizontal="center" vertical="top"/>
    </xf>
    <xf numFmtId="167" fontId="2" fillId="9" borderId="78" xfId="2" applyNumberFormat="1" applyFont="1" applyFill="1" applyBorder="1" applyAlignment="1">
      <alignment horizontal="center" vertical="top" wrapText="1"/>
    </xf>
    <xf numFmtId="167" fontId="2" fillId="9" borderId="78" xfId="2" applyNumberFormat="1" applyFont="1" applyFill="1" applyBorder="1" applyAlignment="1">
      <alignment horizontal="center" vertical="top"/>
    </xf>
    <xf numFmtId="167" fontId="2" fillId="9" borderId="27" xfId="2" applyNumberFormat="1" applyFont="1" applyFill="1" applyBorder="1" applyAlignment="1">
      <alignment horizontal="center" vertical="top" wrapText="1"/>
    </xf>
    <xf numFmtId="167" fontId="2" fillId="9" borderId="50" xfId="2" applyNumberFormat="1" applyFont="1" applyFill="1" applyBorder="1" applyAlignment="1">
      <alignment horizontal="center" vertical="top" wrapText="1"/>
    </xf>
    <xf numFmtId="167" fontId="2" fillId="9" borderId="0" xfId="2" applyNumberFormat="1" applyFont="1" applyFill="1" applyBorder="1" applyAlignment="1">
      <alignment horizontal="center" vertical="top"/>
    </xf>
    <xf numFmtId="3" fontId="2" fillId="4" borderId="24" xfId="0" applyNumberFormat="1" applyFont="1" applyFill="1" applyBorder="1" applyAlignment="1">
      <alignment horizontal="center" vertical="top" wrapText="1"/>
    </xf>
    <xf numFmtId="3" fontId="2" fillId="4" borderId="44" xfId="0" applyNumberFormat="1" applyFont="1" applyFill="1" applyBorder="1" applyAlignment="1">
      <alignment horizontal="center" vertical="top" wrapText="1"/>
    </xf>
    <xf numFmtId="3" fontId="2" fillId="4" borderId="15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vertical="top" wrapText="1"/>
    </xf>
    <xf numFmtId="3" fontId="2" fillId="4" borderId="69" xfId="0" applyNumberFormat="1" applyFont="1" applyFill="1" applyBorder="1" applyAlignment="1">
      <alignment horizontal="center" vertical="top" wrapText="1"/>
    </xf>
    <xf numFmtId="164" fontId="2" fillId="4" borderId="80" xfId="0" applyNumberFormat="1" applyFont="1" applyFill="1" applyBorder="1" applyAlignment="1">
      <alignment horizontal="center" vertical="top" wrapText="1"/>
    </xf>
    <xf numFmtId="164" fontId="2" fillId="4" borderId="0" xfId="0" applyNumberFormat="1" applyFont="1" applyFill="1" applyBorder="1" applyAlignment="1">
      <alignment horizontal="center" vertical="top" wrapText="1"/>
    </xf>
    <xf numFmtId="164" fontId="2" fillId="4" borderId="37" xfId="0" applyNumberFormat="1" applyFont="1" applyFill="1" applyBorder="1" applyAlignment="1">
      <alignment horizontal="center" vertical="top" wrapText="1"/>
    </xf>
    <xf numFmtId="164" fontId="2" fillId="4" borderId="30" xfId="0" applyNumberFormat="1" applyFont="1" applyFill="1" applyBorder="1" applyAlignment="1">
      <alignment horizontal="center" vertical="top" wrapText="1"/>
    </xf>
    <xf numFmtId="3" fontId="2" fillId="4" borderId="63" xfId="0" applyNumberFormat="1" applyFont="1" applyFill="1" applyBorder="1" applyAlignment="1">
      <alignment vertical="top" wrapText="1"/>
    </xf>
    <xf numFmtId="3" fontId="2" fillId="4" borderId="83" xfId="0" applyNumberFormat="1" applyFont="1" applyFill="1" applyBorder="1" applyAlignment="1">
      <alignment horizontal="center" vertical="top" wrapText="1"/>
    </xf>
    <xf numFmtId="3" fontId="2" fillId="0" borderId="53" xfId="0" applyNumberFormat="1" applyFont="1" applyBorder="1" applyAlignment="1">
      <alignment horizontal="center" vertical="top" wrapText="1"/>
    </xf>
    <xf numFmtId="3" fontId="2" fillId="0" borderId="27" xfId="0" applyNumberFormat="1" applyFont="1" applyBorder="1" applyAlignment="1">
      <alignment horizontal="center" vertical="top" wrapText="1"/>
    </xf>
    <xf numFmtId="164" fontId="2" fillId="0" borderId="52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49" fontId="2" fillId="13" borderId="27" xfId="2" applyNumberFormat="1" applyFont="1" applyFill="1" applyBorder="1" applyAlignment="1">
      <alignment horizontal="center" vertical="top" wrapText="1"/>
    </xf>
    <xf numFmtId="167" fontId="2" fillId="9" borderId="56" xfId="2" applyNumberFormat="1" applyFont="1" applyFill="1" applyBorder="1" applyAlignment="1">
      <alignment horizontal="left" vertical="top" wrapText="1"/>
    </xf>
    <xf numFmtId="3" fontId="2" fillId="3" borderId="7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49" fontId="11" fillId="3" borderId="18" xfId="0" applyNumberFormat="1" applyFont="1" applyFill="1" applyBorder="1" applyAlignment="1">
      <alignment horizontal="center" vertical="top" wrapText="1"/>
    </xf>
    <xf numFmtId="3" fontId="2" fillId="3" borderId="60" xfId="0" applyNumberFormat="1" applyFont="1" applyFill="1" applyBorder="1" applyAlignment="1">
      <alignment horizontal="center" vertical="top" wrapText="1"/>
    </xf>
    <xf numFmtId="49" fontId="2" fillId="3" borderId="18" xfId="0" applyNumberFormat="1" applyFont="1" applyFill="1" applyBorder="1" applyAlignment="1">
      <alignment vertical="top" wrapText="1"/>
    </xf>
    <xf numFmtId="49" fontId="2" fillId="3" borderId="52" xfId="0" applyNumberFormat="1" applyFont="1" applyFill="1" applyBorder="1" applyAlignment="1">
      <alignment vertical="top" wrapText="1"/>
    </xf>
    <xf numFmtId="49" fontId="2" fillId="0" borderId="57" xfId="0" applyNumberFormat="1" applyFont="1" applyBorder="1" applyAlignment="1">
      <alignment horizontal="center" vertical="top" wrapText="1"/>
    </xf>
    <xf numFmtId="167" fontId="2" fillId="9" borderId="70" xfId="2" applyNumberFormat="1" applyFont="1" applyFill="1" applyBorder="1" applyAlignment="1">
      <alignment horizontal="center" vertical="top"/>
    </xf>
    <xf numFmtId="3" fontId="13" fillId="0" borderId="0" xfId="0" applyNumberFormat="1" applyFont="1" applyFill="1" applyBorder="1" applyAlignment="1">
      <alignment horizontal="center" vertical="top" textRotation="90" wrapText="1"/>
    </xf>
    <xf numFmtId="49" fontId="2" fillId="3" borderId="0" xfId="0" applyNumberFormat="1" applyFont="1" applyFill="1" applyBorder="1" applyAlignment="1">
      <alignment horizontal="center" vertical="top" wrapText="1"/>
    </xf>
    <xf numFmtId="49" fontId="2" fillId="3" borderId="84" xfId="0" applyNumberFormat="1" applyFont="1" applyFill="1" applyBorder="1" applyAlignment="1">
      <alignment horizontal="center" vertical="top" wrapText="1"/>
    </xf>
    <xf numFmtId="164" fontId="2" fillId="4" borderId="52" xfId="0" applyNumberFormat="1" applyFont="1" applyFill="1" applyBorder="1" applyAlignment="1">
      <alignment horizontal="center" vertical="top" wrapText="1"/>
    </xf>
    <xf numFmtId="164" fontId="2" fillId="4" borderId="28" xfId="0" applyNumberFormat="1" applyFont="1" applyFill="1" applyBorder="1" applyAlignment="1">
      <alignment horizontal="center" vertical="top" wrapText="1"/>
    </xf>
    <xf numFmtId="3" fontId="2" fillId="4" borderId="34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left" vertical="top" wrapText="1"/>
    </xf>
    <xf numFmtId="3" fontId="2" fillId="4" borderId="49" xfId="0" applyNumberFormat="1" applyFont="1" applyFill="1" applyBorder="1" applyAlignment="1">
      <alignment horizontal="center" vertical="top" wrapText="1"/>
    </xf>
    <xf numFmtId="3" fontId="2" fillId="4" borderId="9" xfId="0" applyNumberFormat="1" applyFont="1" applyFill="1" applyBorder="1" applyAlignment="1">
      <alignment vertical="top" wrapText="1"/>
    </xf>
    <xf numFmtId="3" fontId="2" fillId="4" borderId="31" xfId="0" applyNumberFormat="1" applyFont="1" applyFill="1" applyBorder="1" applyAlignment="1">
      <alignment horizontal="center" vertical="top" wrapText="1"/>
    </xf>
    <xf numFmtId="164" fontId="2" fillId="4" borderId="81" xfId="0" applyNumberFormat="1" applyFont="1" applyFill="1" applyBorder="1" applyAlignment="1">
      <alignment horizontal="center" vertical="top" wrapText="1"/>
    </xf>
    <xf numFmtId="164" fontId="2" fillId="4" borderId="36" xfId="0" applyNumberFormat="1" applyFont="1" applyFill="1" applyBorder="1" applyAlignment="1">
      <alignment horizontal="center" vertical="top" wrapText="1"/>
    </xf>
    <xf numFmtId="3" fontId="2" fillId="4" borderId="36" xfId="0" applyNumberFormat="1" applyFont="1" applyFill="1" applyBorder="1" applyAlignment="1">
      <alignment horizontal="center" vertical="top" wrapText="1"/>
    </xf>
    <xf numFmtId="3" fontId="2" fillId="4" borderId="73" xfId="0" applyNumberFormat="1" applyFont="1" applyFill="1" applyBorder="1" applyAlignment="1">
      <alignment horizontal="center" vertical="top" wrapText="1"/>
    </xf>
    <xf numFmtId="4" fontId="2" fillId="4" borderId="57" xfId="0" applyNumberFormat="1" applyFont="1" applyFill="1" applyBorder="1" applyAlignment="1">
      <alignment horizontal="center" vertical="top" wrapText="1"/>
    </xf>
    <xf numFmtId="3" fontId="2" fillId="4" borderId="63" xfId="0" applyNumberFormat="1" applyFont="1" applyFill="1" applyBorder="1" applyAlignment="1">
      <alignment horizontal="center" vertical="top" wrapText="1"/>
    </xf>
    <xf numFmtId="164" fontId="2" fillId="4" borderId="27" xfId="0" applyNumberFormat="1" applyFont="1" applyFill="1" applyBorder="1" applyAlignment="1">
      <alignment horizontal="center" vertical="top" wrapText="1"/>
    </xf>
    <xf numFmtId="164" fontId="2" fillId="0" borderId="52" xfId="0" applyNumberFormat="1" applyFont="1" applyFill="1" applyBorder="1" applyAlignment="1">
      <alignment horizontal="center" vertical="top" wrapText="1"/>
    </xf>
    <xf numFmtId="3" fontId="2" fillId="4" borderId="4" xfId="0" applyNumberFormat="1" applyFont="1" applyFill="1" applyBorder="1" applyAlignment="1">
      <alignment horizontal="left" vertical="top" wrapText="1"/>
    </xf>
    <xf numFmtId="3" fontId="2" fillId="4" borderId="51" xfId="0" applyNumberFormat="1" applyFont="1" applyFill="1" applyBorder="1" applyAlignment="1">
      <alignment vertical="top" wrapText="1"/>
    </xf>
    <xf numFmtId="3" fontId="2" fillId="4" borderId="72" xfId="0" applyNumberFormat="1" applyFont="1" applyFill="1" applyBorder="1" applyAlignment="1">
      <alignment horizontal="center" vertical="top" wrapText="1"/>
    </xf>
    <xf numFmtId="3" fontId="13" fillId="4" borderId="0" xfId="0" applyNumberFormat="1" applyFont="1" applyFill="1" applyBorder="1" applyAlignment="1">
      <alignment horizontal="center" vertical="top" wrapText="1"/>
    </xf>
    <xf numFmtId="3" fontId="13" fillId="4" borderId="0" xfId="0" applyNumberFormat="1" applyFont="1" applyFill="1" applyBorder="1" applyAlignment="1">
      <alignment horizontal="center" vertical="center" wrapText="1"/>
    </xf>
    <xf numFmtId="164" fontId="2" fillId="4" borderId="39" xfId="0" applyNumberFormat="1" applyFont="1" applyFill="1" applyBorder="1" applyAlignment="1">
      <alignment horizontal="center" vertical="top" wrapText="1"/>
    </xf>
    <xf numFmtId="3" fontId="13" fillId="4" borderId="0" xfId="0" applyNumberFormat="1" applyFont="1" applyFill="1" applyBorder="1" applyAlignment="1">
      <alignment horizontal="center" vertical="top" textRotation="180" wrapText="1"/>
    </xf>
    <xf numFmtId="164" fontId="2" fillId="4" borderId="9" xfId="0" applyNumberFormat="1" applyFont="1" applyFill="1" applyBorder="1" applyAlignment="1">
      <alignment horizontal="center" vertical="top" wrapText="1"/>
    </xf>
    <xf numFmtId="164" fontId="2" fillId="4" borderId="63" xfId="0" applyNumberFormat="1" applyFont="1" applyFill="1" applyBorder="1" applyAlignment="1">
      <alignment horizontal="center" vertical="top" wrapText="1"/>
    </xf>
    <xf numFmtId="164" fontId="2" fillId="4" borderId="29" xfId="0" applyNumberFormat="1" applyFont="1" applyFill="1" applyBorder="1" applyAlignment="1">
      <alignment horizontal="center" vertical="top" wrapText="1"/>
    </xf>
    <xf numFmtId="164" fontId="2" fillId="4" borderId="62" xfId="0" applyNumberFormat="1" applyFont="1" applyFill="1" applyBorder="1" applyAlignment="1">
      <alignment horizontal="center" vertical="top" wrapText="1"/>
    </xf>
    <xf numFmtId="3" fontId="2" fillId="4" borderId="62" xfId="0" applyNumberFormat="1" applyFont="1" applyFill="1" applyBorder="1" applyAlignment="1">
      <alignment vertical="top" wrapText="1"/>
    </xf>
    <xf numFmtId="164" fontId="2" fillId="4" borderId="56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center" wrapText="1"/>
    </xf>
    <xf numFmtId="164" fontId="2" fillId="4" borderId="26" xfId="0" applyNumberFormat="1" applyFont="1" applyFill="1" applyBorder="1" applyAlignment="1">
      <alignment horizontal="center" vertical="center" wrapText="1"/>
    </xf>
    <xf numFmtId="3" fontId="2" fillId="4" borderId="28" xfId="0" applyNumberFormat="1" applyFont="1" applyFill="1" applyBorder="1" applyAlignment="1">
      <alignment vertical="top" wrapText="1"/>
    </xf>
    <xf numFmtId="3" fontId="2" fillId="4" borderId="45" xfId="0" applyNumberFormat="1" applyFont="1" applyFill="1" applyBorder="1" applyAlignment="1">
      <alignment horizontal="center" vertical="top" wrapText="1"/>
    </xf>
    <xf numFmtId="3" fontId="13" fillId="4" borderId="3" xfId="0" applyNumberFormat="1" applyFont="1" applyFill="1" applyBorder="1" applyAlignment="1">
      <alignment horizontal="center" vertical="top" wrapText="1"/>
    </xf>
    <xf numFmtId="3" fontId="2" fillId="4" borderId="24" xfId="0" applyNumberFormat="1" applyFont="1" applyFill="1" applyBorder="1" applyAlignment="1">
      <alignment vertical="top" wrapText="1"/>
    </xf>
    <xf numFmtId="3" fontId="2" fillId="4" borderId="55" xfId="0" applyNumberFormat="1" applyFont="1" applyFill="1" applyBorder="1" applyAlignment="1">
      <alignment horizontal="center" vertical="top" wrapText="1"/>
    </xf>
    <xf numFmtId="3" fontId="13" fillId="4" borderId="0" xfId="0" applyNumberFormat="1" applyFont="1" applyFill="1" applyBorder="1" applyAlignment="1">
      <alignment horizontal="center" vertical="top" textRotation="90" wrapText="1"/>
    </xf>
    <xf numFmtId="3" fontId="2" fillId="4" borderId="26" xfId="0" applyNumberFormat="1" applyFont="1" applyFill="1" applyBorder="1" applyAlignment="1">
      <alignment horizontal="left" vertical="top" wrapText="1"/>
    </xf>
    <xf numFmtId="3" fontId="13" fillId="4" borderId="31" xfId="0" applyNumberFormat="1" applyFont="1" applyFill="1" applyBorder="1" applyAlignment="1">
      <alignment horizontal="center" vertical="top" textRotation="90" wrapText="1"/>
    </xf>
    <xf numFmtId="164" fontId="2" fillId="4" borderId="4" xfId="0" applyNumberFormat="1" applyFont="1" applyFill="1" applyBorder="1" applyAlignment="1">
      <alignment horizontal="center" vertical="top" wrapText="1"/>
    </xf>
    <xf numFmtId="164" fontId="2" fillId="4" borderId="44" xfId="0" applyNumberFormat="1" applyFont="1" applyFill="1" applyBorder="1" applyAlignment="1">
      <alignment horizontal="center" vertical="top" wrapText="1"/>
    </xf>
    <xf numFmtId="3" fontId="2" fillId="4" borderId="60" xfId="0" applyNumberFormat="1" applyFont="1" applyFill="1" applyBorder="1" applyAlignment="1">
      <alignment horizontal="left" vertical="top" wrapText="1"/>
    </xf>
    <xf numFmtId="3" fontId="2" fillId="4" borderId="59" xfId="0" applyNumberFormat="1" applyFont="1" applyFill="1" applyBorder="1" applyAlignment="1">
      <alignment horizontal="center" vertical="top" wrapText="1"/>
    </xf>
    <xf numFmtId="3" fontId="2" fillId="4" borderId="82" xfId="0" applyNumberFormat="1" applyFont="1" applyFill="1" applyBorder="1" applyAlignment="1">
      <alignment horizontal="center" vertical="top" wrapText="1"/>
    </xf>
    <xf numFmtId="3" fontId="2" fillId="4" borderId="70" xfId="0" applyNumberFormat="1" applyFont="1" applyFill="1" applyBorder="1" applyAlignment="1">
      <alignment vertical="top" wrapText="1"/>
    </xf>
    <xf numFmtId="3" fontId="2" fillId="4" borderId="42" xfId="0" applyNumberFormat="1" applyFont="1" applyFill="1" applyBorder="1" applyAlignment="1">
      <alignment vertical="top" wrapText="1"/>
    </xf>
    <xf numFmtId="164" fontId="2" fillId="4" borderId="72" xfId="0" applyNumberFormat="1" applyFont="1" applyFill="1" applyBorder="1" applyAlignment="1">
      <alignment horizontal="center" vertical="top" wrapText="1"/>
    </xf>
    <xf numFmtId="3" fontId="2" fillId="4" borderId="9" xfId="0" applyNumberFormat="1" applyFont="1" applyFill="1" applyBorder="1" applyAlignment="1">
      <alignment horizontal="left" vertical="top" wrapText="1"/>
    </xf>
    <xf numFmtId="3" fontId="2" fillId="4" borderId="85" xfId="0" applyNumberFormat="1" applyFont="1" applyFill="1" applyBorder="1" applyAlignment="1">
      <alignment horizontal="center" vertical="top" wrapText="1"/>
    </xf>
    <xf numFmtId="164" fontId="2" fillId="4" borderId="45" xfId="0" applyNumberFormat="1" applyFont="1" applyFill="1" applyBorder="1" applyAlignment="1">
      <alignment horizontal="center" vertical="top" wrapText="1"/>
    </xf>
    <xf numFmtId="3" fontId="2" fillId="4" borderId="81" xfId="0" applyNumberFormat="1" applyFont="1" applyFill="1" applyBorder="1" applyAlignment="1">
      <alignment horizontal="center" vertical="top" wrapText="1"/>
    </xf>
    <xf numFmtId="4" fontId="2" fillId="4" borderId="6" xfId="0" applyNumberFormat="1" applyFont="1" applyFill="1" applyBorder="1" applyAlignment="1">
      <alignment horizontal="center" vertical="top" wrapText="1"/>
    </xf>
    <xf numFmtId="4" fontId="2" fillId="4" borderId="73" xfId="0" applyNumberFormat="1" applyFont="1" applyFill="1" applyBorder="1" applyAlignment="1">
      <alignment horizontal="center" vertical="top" wrapText="1"/>
    </xf>
    <xf numFmtId="4" fontId="2" fillId="4" borderId="69" xfId="0" applyNumberFormat="1" applyFont="1" applyFill="1" applyBorder="1" applyAlignment="1">
      <alignment horizontal="center" vertical="top" wrapText="1"/>
    </xf>
    <xf numFmtId="3" fontId="2" fillId="4" borderId="84" xfId="0" applyNumberFormat="1" applyFont="1" applyFill="1" applyBorder="1" applyAlignment="1">
      <alignment horizontal="center" vertical="top" wrapText="1"/>
    </xf>
    <xf numFmtId="3" fontId="2" fillId="4" borderId="10" xfId="0" applyNumberFormat="1" applyFont="1" applyFill="1" applyBorder="1" applyAlignment="1">
      <alignment vertical="top" wrapText="1"/>
    </xf>
    <xf numFmtId="49" fontId="2" fillId="4" borderId="53" xfId="2" applyNumberFormat="1" applyFont="1" applyFill="1" applyBorder="1" applyAlignment="1">
      <alignment horizontal="center" vertical="top"/>
    </xf>
    <xf numFmtId="167" fontId="2" fillId="9" borderId="67" xfId="2" applyNumberFormat="1" applyFont="1" applyFill="1" applyBorder="1" applyAlignment="1">
      <alignment horizontal="center" vertical="center"/>
    </xf>
    <xf numFmtId="167" fontId="2" fillId="9" borderId="92" xfId="2" applyNumberFormat="1" applyFont="1" applyFill="1" applyBorder="1" applyAlignment="1">
      <alignment horizontal="center" vertical="center"/>
    </xf>
    <xf numFmtId="167" fontId="2" fillId="9" borderId="93" xfId="2" applyNumberFormat="1" applyFont="1" applyFill="1" applyBorder="1" applyAlignment="1">
      <alignment horizontal="center" vertical="center"/>
    </xf>
    <xf numFmtId="164" fontId="2" fillId="12" borderId="26" xfId="2" applyNumberFormat="1" applyFont="1" applyFill="1" applyBorder="1" applyAlignment="1">
      <alignment horizontal="center" vertical="top"/>
    </xf>
    <xf numFmtId="167" fontId="2" fillId="9" borderId="89" xfId="2" applyNumberFormat="1" applyFont="1" applyFill="1" applyBorder="1" applyAlignment="1">
      <alignment horizontal="center" vertical="center"/>
    </xf>
    <xf numFmtId="167" fontId="2" fillId="9" borderId="90" xfId="2" applyNumberFormat="1" applyFont="1" applyFill="1" applyBorder="1" applyAlignment="1">
      <alignment horizontal="center" vertical="center"/>
    </xf>
    <xf numFmtId="167" fontId="2" fillId="9" borderId="91" xfId="2" applyNumberFormat="1" applyFont="1" applyFill="1" applyBorder="1" applyAlignment="1">
      <alignment horizontal="center" vertical="center"/>
    </xf>
    <xf numFmtId="3" fontId="13" fillId="4" borderId="52" xfId="0" applyNumberFormat="1" applyFont="1" applyFill="1" applyBorder="1" applyAlignment="1">
      <alignment vertical="top" wrapText="1"/>
    </xf>
    <xf numFmtId="49" fontId="2" fillId="13" borderId="33" xfId="2" applyNumberFormat="1" applyFont="1" applyFill="1" applyBorder="1" applyAlignment="1">
      <alignment horizontal="center" vertical="top" wrapText="1"/>
    </xf>
    <xf numFmtId="168" fontId="2" fillId="9" borderId="53" xfId="2" applyNumberFormat="1" applyFont="1" applyFill="1" applyBorder="1" applyAlignment="1">
      <alignment vertical="top" wrapText="1"/>
    </xf>
    <xf numFmtId="167" fontId="2" fillId="9" borderId="6" xfId="2" applyNumberFormat="1" applyFont="1" applyFill="1" applyBorder="1" applyAlignment="1">
      <alignment horizontal="center" vertical="top"/>
    </xf>
    <xf numFmtId="167" fontId="2" fillId="9" borderId="52" xfId="2" applyNumberFormat="1" applyFont="1" applyFill="1" applyBorder="1" applyAlignment="1">
      <alignment horizontal="center" vertical="top"/>
    </xf>
    <xf numFmtId="3" fontId="13" fillId="4" borderId="18" xfId="0" applyNumberFormat="1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164" fontId="2" fillId="0" borderId="54" xfId="0" applyNumberFormat="1" applyFont="1" applyFill="1" applyBorder="1" applyAlignment="1">
      <alignment horizontal="center" vertical="top" wrapText="1"/>
    </xf>
    <xf numFmtId="164" fontId="2" fillId="0" borderId="52" xfId="0" applyNumberFormat="1" applyFont="1" applyFill="1" applyBorder="1" applyAlignment="1">
      <alignment horizontal="center" vertical="top"/>
    </xf>
    <xf numFmtId="3" fontId="2" fillId="0" borderId="57" xfId="0" applyNumberFormat="1" applyFont="1" applyFill="1" applyBorder="1" applyAlignment="1">
      <alignment horizontal="center" vertical="top" wrapText="1"/>
    </xf>
    <xf numFmtId="164" fontId="2" fillId="12" borderId="36" xfId="2" applyNumberFormat="1" applyFont="1" applyFill="1" applyBorder="1" applyAlignment="1">
      <alignment horizontal="center" vertical="top"/>
    </xf>
    <xf numFmtId="3" fontId="13" fillId="4" borderId="36" xfId="0" applyNumberFormat="1" applyFont="1" applyFill="1" applyBorder="1" applyAlignment="1">
      <alignment vertical="top" wrapText="1"/>
    </xf>
    <xf numFmtId="0" fontId="2" fillId="4" borderId="95" xfId="2" applyNumberFormat="1" applyFont="1" applyFill="1" applyBorder="1" applyAlignment="1">
      <alignment horizontal="center" vertical="center"/>
    </xf>
    <xf numFmtId="164" fontId="2" fillId="12" borderId="32" xfId="2" applyNumberFormat="1" applyFont="1" applyFill="1" applyBorder="1" applyAlignment="1">
      <alignment horizontal="center" vertical="top"/>
    </xf>
    <xf numFmtId="0" fontId="2" fillId="4" borderId="17" xfId="0" applyFont="1" applyFill="1" applyBorder="1" applyAlignment="1">
      <alignment vertical="top" wrapText="1"/>
    </xf>
    <xf numFmtId="167" fontId="2" fillId="9" borderId="8" xfId="2" applyNumberFormat="1" applyFont="1" applyFill="1" applyBorder="1" applyAlignment="1">
      <alignment horizontal="center" vertical="center"/>
    </xf>
    <xf numFmtId="167" fontId="2" fillId="9" borderId="94" xfId="2" applyNumberFormat="1" applyFont="1" applyFill="1" applyBorder="1" applyAlignment="1">
      <alignment horizontal="center" vertical="center"/>
    </xf>
    <xf numFmtId="167" fontId="2" fillId="9" borderId="86" xfId="2" applyNumberFormat="1" applyFont="1" applyFill="1" applyBorder="1" applyAlignment="1">
      <alignment horizontal="center" vertical="center"/>
    </xf>
    <xf numFmtId="3" fontId="13" fillId="4" borderId="70" xfId="0" applyNumberFormat="1" applyFont="1" applyFill="1" applyBorder="1" applyAlignment="1">
      <alignment vertical="top" wrapText="1"/>
    </xf>
    <xf numFmtId="0" fontId="2" fillId="4" borderId="88" xfId="2" applyNumberFormat="1" applyFont="1" applyFill="1" applyBorder="1" applyAlignment="1">
      <alignment horizontal="center" vertical="center"/>
    </xf>
    <xf numFmtId="164" fontId="2" fillId="4" borderId="36" xfId="2" applyNumberFormat="1" applyFont="1" applyFill="1" applyBorder="1" applyAlignment="1">
      <alignment horizontal="center" vertical="top"/>
    </xf>
    <xf numFmtId="167" fontId="2" fillId="9" borderId="6" xfId="2" applyNumberFormat="1" applyFont="1" applyFill="1" applyBorder="1" applyAlignment="1">
      <alignment horizontal="center" vertical="center"/>
    </xf>
    <xf numFmtId="167" fontId="2" fillId="9" borderId="98" xfId="2" applyNumberFormat="1" applyFont="1" applyFill="1" applyBorder="1" applyAlignment="1">
      <alignment horizontal="center" vertical="center"/>
    </xf>
    <xf numFmtId="167" fontId="2" fillId="9" borderId="99" xfId="2" applyNumberFormat="1" applyFont="1" applyFill="1" applyBorder="1" applyAlignment="1">
      <alignment horizontal="center" vertical="center"/>
    </xf>
    <xf numFmtId="3" fontId="13" fillId="4" borderId="30" xfId="0" applyNumberFormat="1" applyFont="1" applyFill="1" applyBorder="1" applyAlignment="1">
      <alignment vertical="top" wrapText="1"/>
    </xf>
    <xf numFmtId="164" fontId="2" fillId="12" borderId="45" xfId="2" applyNumberFormat="1" applyFont="1" applyFill="1" applyBorder="1" applyAlignment="1">
      <alignment horizontal="center" vertical="top"/>
    </xf>
    <xf numFmtId="164" fontId="2" fillId="4" borderId="69" xfId="2" applyNumberFormat="1" applyFont="1" applyFill="1" applyBorder="1" applyAlignment="1">
      <alignment horizontal="center" vertical="top"/>
    </xf>
    <xf numFmtId="3" fontId="13" fillId="4" borderId="21" xfId="0" applyNumberFormat="1" applyFont="1" applyFill="1" applyBorder="1" applyAlignment="1">
      <alignment vertical="top" wrapText="1"/>
    </xf>
    <xf numFmtId="167" fontId="2" fillId="9" borderId="43" xfId="2" applyNumberFormat="1" applyFont="1" applyFill="1" applyBorder="1" applyAlignment="1">
      <alignment horizontal="center" vertical="center"/>
    </xf>
    <xf numFmtId="167" fontId="2" fillId="9" borderId="96" xfId="2" applyNumberFormat="1" applyFont="1" applyFill="1" applyBorder="1" applyAlignment="1">
      <alignment horizontal="center" vertical="center"/>
    </xf>
    <xf numFmtId="167" fontId="2" fillId="9" borderId="97" xfId="2" applyNumberFormat="1" applyFont="1" applyFill="1" applyBorder="1" applyAlignment="1">
      <alignment horizontal="center" vertical="center"/>
    </xf>
    <xf numFmtId="164" fontId="2" fillId="12" borderId="2" xfId="2" applyNumberFormat="1" applyFont="1" applyFill="1" applyBorder="1" applyAlignment="1">
      <alignment horizontal="center" vertical="top"/>
    </xf>
    <xf numFmtId="164" fontId="2" fillId="12" borderId="6" xfId="2" applyNumberFormat="1" applyFont="1" applyFill="1" applyBorder="1" applyAlignment="1">
      <alignment horizontal="center" vertical="top"/>
    </xf>
    <xf numFmtId="167" fontId="2" fillId="9" borderId="2" xfId="2" applyNumberFormat="1" applyFont="1" applyFill="1" applyBorder="1" applyAlignment="1">
      <alignment horizontal="center" vertical="top"/>
    </xf>
    <xf numFmtId="164" fontId="2" fillId="4" borderId="33" xfId="2" applyNumberFormat="1" applyFont="1" applyFill="1" applyBorder="1" applyAlignment="1"/>
    <xf numFmtId="167" fontId="2" fillId="9" borderId="57" xfId="2" applyNumberFormat="1" applyFont="1" applyFill="1" applyBorder="1" applyAlignment="1">
      <alignment horizontal="center" vertical="top"/>
    </xf>
    <xf numFmtId="0" fontId="2" fillId="4" borderId="57" xfId="0" applyFont="1" applyFill="1" applyBorder="1" applyAlignment="1">
      <alignment horizontal="left" vertical="top" wrapText="1"/>
    </xf>
    <xf numFmtId="0" fontId="2" fillId="4" borderId="52" xfId="0" applyFont="1" applyFill="1" applyBorder="1" applyAlignment="1">
      <alignment vertical="top" wrapText="1"/>
    </xf>
    <xf numFmtId="0" fontId="2" fillId="4" borderId="38" xfId="0" applyFont="1" applyFill="1" applyBorder="1" applyAlignment="1">
      <alignment vertical="top" wrapText="1"/>
    </xf>
    <xf numFmtId="49" fontId="2" fillId="4" borderId="27" xfId="2" applyNumberFormat="1" applyFont="1" applyFill="1" applyBorder="1" applyAlignment="1">
      <alignment horizontal="center" vertical="top" wrapText="1"/>
    </xf>
    <xf numFmtId="3" fontId="13" fillId="0" borderId="31" xfId="0" applyNumberFormat="1" applyFont="1" applyFill="1" applyBorder="1" applyAlignment="1">
      <alignment horizontal="center" vertical="top" textRotation="90" wrapText="1"/>
    </xf>
    <xf numFmtId="164" fontId="2" fillId="0" borderId="28" xfId="0" applyNumberFormat="1" applyFont="1" applyFill="1" applyBorder="1" applyAlignment="1">
      <alignment horizontal="center" vertical="top" wrapText="1"/>
    </xf>
    <xf numFmtId="3" fontId="2" fillId="0" borderId="52" xfId="0" applyNumberFormat="1" applyFont="1" applyBorder="1" applyAlignment="1">
      <alignment horizontal="center" vertical="top" wrapText="1"/>
    </xf>
    <xf numFmtId="3" fontId="2" fillId="0" borderId="28" xfId="0" applyNumberFormat="1" applyFont="1" applyBorder="1" applyAlignment="1">
      <alignment horizontal="center" vertical="top" wrapText="1"/>
    </xf>
    <xf numFmtId="164" fontId="2" fillId="0" borderId="27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top"/>
    </xf>
    <xf numFmtId="164" fontId="2" fillId="0" borderId="18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3" fontId="2" fillId="0" borderId="52" xfId="0" applyNumberFormat="1" applyFont="1" applyBorder="1" applyAlignment="1">
      <alignment vertical="top"/>
    </xf>
    <xf numFmtId="3" fontId="2" fillId="0" borderId="26" xfId="0" applyNumberFormat="1" applyFont="1" applyBorder="1" applyAlignment="1">
      <alignment horizontal="center" vertical="top"/>
    </xf>
    <xf numFmtId="3" fontId="2" fillId="4" borderId="17" xfId="0" applyNumberFormat="1" applyFont="1" applyFill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  <xf numFmtId="3" fontId="2" fillId="4" borderId="38" xfId="0" applyNumberFormat="1" applyFont="1" applyFill="1" applyBorder="1" applyAlignment="1">
      <alignment horizontal="center" vertical="top"/>
    </xf>
    <xf numFmtId="3" fontId="2" fillId="4" borderId="15" xfId="0" applyNumberFormat="1" applyFont="1" applyFill="1" applyBorder="1" applyAlignment="1">
      <alignment horizontal="center" vertical="top"/>
    </xf>
    <xf numFmtId="164" fontId="2" fillId="0" borderId="57" xfId="0" applyNumberFormat="1" applyFont="1" applyFill="1" applyBorder="1" applyAlignment="1">
      <alignment horizontal="center" vertical="top"/>
    </xf>
    <xf numFmtId="0" fontId="2" fillId="0" borderId="57" xfId="0" applyNumberFormat="1" applyFont="1" applyFill="1" applyBorder="1" applyAlignment="1">
      <alignment horizontal="center" vertical="top"/>
    </xf>
    <xf numFmtId="0" fontId="2" fillId="0" borderId="26" xfId="0" applyNumberFormat="1" applyFont="1" applyFill="1" applyBorder="1" applyAlignment="1">
      <alignment horizontal="center" vertical="top"/>
    </xf>
    <xf numFmtId="3" fontId="2" fillId="0" borderId="57" xfId="0" applyNumberFormat="1" applyFont="1" applyFill="1" applyBorder="1" applyAlignment="1">
      <alignment horizontal="center" vertical="top"/>
    </xf>
    <xf numFmtId="164" fontId="2" fillId="0" borderId="13" xfId="0" applyNumberFormat="1" applyFont="1" applyFill="1" applyBorder="1" applyAlignment="1">
      <alignment horizontal="center" vertical="top"/>
    </xf>
    <xf numFmtId="164" fontId="2" fillId="0" borderId="3" xfId="0" applyNumberFormat="1" applyFont="1" applyFill="1" applyBorder="1" applyAlignment="1">
      <alignment horizontal="center" vertical="top"/>
    </xf>
    <xf numFmtId="3" fontId="2" fillId="4" borderId="10" xfId="0" applyNumberFormat="1" applyFont="1" applyFill="1" applyBorder="1" applyAlignment="1">
      <alignment horizontal="center" vertical="top"/>
    </xf>
    <xf numFmtId="3" fontId="2" fillId="4" borderId="3" xfId="0" applyNumberFormat="1" applyFont="1" applyFill="1" applyBorder="1" applyAlignment="1">
      <alignment horizontal="center" vertical="top"/>
    </xf>
    <xf numFmtId="3" fontId="2" fillId="4" borderId="13" xfId="0" applyNumberFormat="1" applyFont="1" applyFill="1" applyBorder="1" applyAlignment="1">
      <alignment horizontal="center" vertical="top"/>
    </xf>
    <xf numFmtId="3" fontId="2" fillId="4" borderId="24" xfId="0" applyNumberFormat="1" applyFont="1" applyFill="1" applyBorder="1" applyAlignment="1">
      <alignment horizontal="center" vertical="top"/>
    </xf>
    <xf numFmtId="3" fontId="2" fillId="4" borderId="43" xfId="0" applyNumberFormat="1" applyFont="1" applyFill="1" applyBorder="1" applyAlignment="1">
      <alignment horizontal="center" vertical="top"/>
    </xf>
    <xf numFmtId="3" fontId="2" fillId="4" borderId="39" xfId="0" applyNumberFormat="1" applyFont="1" applyFill="1" applyBorder="1" applyAlignment="1">
      <alignment horizontal="center" vertical="top"/>
    </xf>
    <xf numFmtId="3" fontId="2" fillId="4" borderId="60" xfId="0" applyNumberFormat="1" applyFont="1" applyFill="1" applyBorder="1" applyAlignment="1">
      <alignment horizontal="center" vertical="top"/>
    </xf>
    <xf numFmtId="164" fontId="2" fillId="0" borderId="13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75" xfId="0" applyNumberFormat="1" applyFont="1" applyFill="1" applyBorder="1" applyAlignment="1">
      <alignment horizontal="center" vertical="top"/>
    </xf>
    <xf numFmtId="164" fontId="2" fillId="0" borderId="74" xfId="0" applyNumberFormat="1" applyFont="1" applyFill="1" applyBorder="1" applyAlignment="1">
      <alignment horizontal="center" vertical="top"/>
    </xf>
    <xf numFmtId="0" fontId="2" fillId="4" borderId="56" xfId="0" applyFont="1" applyFill="1" applyBorder="1" applyAlignment="1">
      <alignment horizontal="left" vertical="top" wrapText="1"/>
    </xf>
    <xf numFmtId="3" fontId="2" fillId="4" borderId="68" xfId="0" applyNumberFormat="1" applyFont="1" applyFill="1" applyBorder="1" applyAlignment="1">
      <alignment horizontal="center" vertical="top"/>
    </xf>
    <xf numFmtId="3" fontId="2" fillId="4" borderId="76" xfId="0" applyNumberFormat="1" applyFont="1" applyFill="1" applyBorder="1" applyAlignment="1">
      <alignment horizontal="center" vertical="top"/>
    </xf>
    <xf numFmtId="0" fontId="2" fillId="4" borderId="56" xfId="0" applyFont="1" applyFill="1" applyBorder="1" applyAlignment="1">
      <alignment vertical="top" wrapText="1"/>
    </xf>
    <xf numFmtId="49" fontId="2" fillId="0" borderId="0" xfId="0" applyNumberFormat="1" applyFont="1" applyAlignment="1">
      <alignment vertical="top" wrapText="1"/>
    </xf>
    <xf numFmtId="3" fontId="12" fillId="0" borderId="0" xfId="0" applyNumberFormat="1" applyFont="1" applyAlignment="1">
      <alignment horizontal="center" vertical="top" wrapText="1"/>
    </xf>
    <xf numFmtId="3" fontId="12" fillId="0" borderId="39" xfId="0" applyNumberFormat="1" applyFont="1" applyBorder="1" applyAlignment="1">
      <alignment horizontal="right" wrapText="1"/>
    </xf>
    <xf numFmtId="49" fontId="3" fillId="8" borderId="17" xfId="0" applyNumberFormat="1" applyFont="1" applyFill="1" applyBorder="1" applyAlignment="1">
      <alignment vertical="top" wrapText="1"/>
    </xf>
    <xf numFmtId="49" fontId="3" fillId="8" borderId="42" xfId="0" applyNumberFormat="1" applyFont="1" applyFill="1" applyBorder="1" applyAlignment="1">
      <alignment horizontal="center" vertical="top" wrapText="1"/>
    </xf>
    <xf numFmtId="49" fontId="3" fillId="2" borderId="41" xfId="0" applyNumberFormat="1" applyFont="1" applyFill="1" applyBorder="1" applyAlignment="1">
      <alignment horizontal="center" vertical="top" wrapText="1"/>
    </xf>
    <xf numFmtId="49" fontId="3" fillId="8" borderId="16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49" fontId="3" fillId="3" borderId="55" xfId="0" applyNumberFormat="1" applyFont="1" applyFill="1" applyBorder="1" applyAlignment="1">
      <alignment horizontal="center" vertical="top" wrapText="1"/>
    </xf>
    <xf numFmtId="3" fontId="13" fillId="4" borderId="55" xfId="0" applyNumberFormat="1" applyFont="1" applyFill="1" applyBorder="1" applyAlignment="1">
      <alignment vertical="top" wrapText="1"/>
    </xf>
    <xf numFmtId="49" fontId="3" fillId="2" borderId="18" xfId="0" applyNumberFormat="1" applyFont="1" applyFill="1" applyBorder="1" applyAlignment="1">
      <alignment horizontal="center" vertical="top" wrapText="1"/>
    </xf>
    <xf numFmtId="49" fontId="3" fillId="3" borderId="31" xfId="0" applyNumberFormat="1" applyFont="1" applyFill="1" applyBorder="1" applyAlignment="1">
      <alignment vertical="top" wrapText="1"/>
    </xf>
    <xf numFmtId="3" fontId="13" fillId="4" borderId="27" xfId="0" applyNumberFormat="1" applyFont="1" applyFill="1" applyBorder="1" applyAlignment="1">
      <alignment horizontal="center" vertical="top" wrapText="1"/>
    </xf>
    <xf numFmtId="49" fontId="3" fillId="2" borderId="18" xfId="0" applyNumberFormat="1" applyFont="1" applyFill="1" applyBorder="1" applyAlignment="1">
      <alignment vertical="top" wrapText="1"/>
    </xf>
    <xf numFmtId="3" fontId="13" fillId="4" borderId="50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left" vertical="top" wrapText="1"/>
    </xf>
    <xf numFmtId="49" fontId="3" fillId="8" borderId="37" xfId="0" applyNumberFormat="1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center" vertical="top" wrapText="1"/>
    </xf>
    <xf numFmtId="49" fontId="3" fillId="3" borderId="31" xfId="0" applyNumberFormat="1" applyFont="1" applyFill="1" applyBorder="1" applyAlignment="1">
      <alignment horizontal="center" vertical="top" wrapText="1"/>
    </xf>
    <xf numFmtId="49" fontId="3" fillId="8" borderId="17" xfId="0" applyNumberFormat="1" applyFont="1" applyFill="1" applyBorder="1" applyAlignment="1">
      <alignment horizontal="center" vertical="top" wrapText="1"/>
    </xf>
    <xf numFmtId="164" fontId="2" fillId="4" borderId="80" xfId="0" applyNumberFormat="1" applyFont="1" applyFill="1" applyBorder="1" applyAlignment="1">
      <alignment vertical="top" wrapText="1"/>
    </xf>
    <xf numFmtId="164" fontId="2" fillId="4" borderId="38" xfId="0" applyNumberFormat="1" applyFont="1" applyFill="1" applyBorder="1" applyAlignment="1">
      <alignment vertical="top" wrapText="1"/>
    </xf>
    <xf numFmtId="164" fontId="2" fillId="4" borderId="17" xfId="0" applyNumberFormat="1" applyFont="1" applyFill="1" applyBorder="1" applyAlignment="1">
      <alignment vertical="top" wrapText="1"/>
    </xf>
    <xf numFmtId="164" fontId="2" fillId="4" borderId="18" xfId="0" applyNumberFormat="1" applyFont="1" applyFill="1" applyBorder="1" applyAlignment="1">
      <alignment vertical="top" wrapText="1"/>
    </xf>
    <xf numFmtId="3" fontId="2" fillId="4" borderId="48" xfId="0" applyNumberFormat="1" applyFont="1" applyFill="1" applyBorder="1" applyAlignment="1">
      <alignment vertical="top" wrapText="1"/>
    </xf>
    <xf numFmtId="3" fontId="8" fillId="4" borderId="38" xfId="0" applyNumberFormat="1" applyFont="1" applyFill="1" applyBorder="1" applyAlignment="1">
      <alignment horizontal="left" vertical="top" wrapText="1"/>
    </xf>
    <xf numFmtId="3" fontId="13" fillId="4" borderId="45" xfId="0" applyNumberFormat="1" applyFont="1" applyFill="1" applyBorder="1" applyAlignment="1">
      <alignment horizontal="center" vertical="top" wrapText="1"/>
    </xf>
    <xf numFmtId="164" fontId="8" fillId="4" borderId="42" xfId="0" applyNumberFormat="1" applyFont="1" applyFill="1" applyBorder="1" applyAlignment="1">
      <alignment horizontal="center"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164" fontId="8" fillId="4" borderId="44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wrapText="1"/>
    </xf>
    <xf numFmtId="49" fontId="3" fillId="8" borderId="37" xfId="0" applyNumberFormat="1" applyFont="1" applyFill="1" applyBorder="1" applyAlignment="1">
      <alignment vertical="top" wrapText="1"/>
    </xf>
    <xf numFmtId="3" fontId="12" fillId="4" borderId="31" xfId="0" applyNumberFormat="1" applyFont="1" applyFill="1" applyBorder="1" applyAlignment="1">
      <alignment horizontal="center" vertical="top" wrapText="1"/>
    </xf>
    <xf numFmtId="3" fontId="13" fillId="4" borderId="55" xfId="0" applyNumberFormat="1" applyFont="1" applyFill="1" applyBorder="1" applyAlignment="1">
      <alignment horizontal="center" vertical="top" wrapText="1"/>
    </xf>
    <xf numFmtId="3" fontId="13" fillId="4" borderId="59" xfId="0" applyNumberFormat="1" applyFont="1" applyFill="1" applyBorder="1" applyAlignment="1">
      <alignment horizontal="center" vertical="top" textRotation="90" wrapText="1"/>
    </xf>
    <xf numFmtId="49" fontId="3" fillId="3" borderId="18" xfId="0" applyNumberFormat="1" applyFont="1" applyFill="1" applyBorder="1" applyAlignment="1">
      <alignment vertical="top" wrapText="1"/>
    </xf>
    <xf numFmtId="3" fontId="13" fillId="4" borderId="59" xfId="0" applyNumberFormat="1" applyFont="1" applyFill="1" applyBorder="1" applyAlignment="1">
      <alignment horizontal="center" vertical="top" wrapText="1"/>
    </xf>
    <xf numFmtId="3" fontId="13" fillId="4" borderId="3" xfId="0" applyNumberFormat="1" applyFont="1" applyFill="1" applyBorder="1" applyAlignment="1">
      <alignment horizontal="center" vertical="top" textRotation="90" wrapText="1"/>
    </xf>
    <xf numFmtId="164" fontId="2" fillId="4" borderId="51" xfId="0" applyNumberFormat="1" applyFont="1" applyFill="1" applyBorder="1" applyAlignment="1">
      <alignment horizontal="center" vertical="top" wrapText="1"/>
    </xf>
    <xf numFmtId="3" fontId="2" fillId="0" borderId="16" xfId="0" applyNumberFormat="1" applyFont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52" xfId="0" applyFont="1" applyFill="1" applyBorder="1" applyAlignment="1">
      <alignment horizontal="center" vertical="top" wrapText="1"/>
    </xf>
    <xf numFmtId="0" fontId="12" fillId="4" borderId="28" xfId="0" applyFont="1" applyFill="1" applyBorder="1" applyAlignment="1">
      <alignment horizontal="center" vertical="top" wrapText="1"/>
    </xf>
    <xf numFmtId="164" fontId="2" fillId="4" borderId="35" xfId="0" applyNumberFormat="1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62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49" fontId="3" fillId="8" borderId="49" xfId="0" applyNumberFormat="1" applyFont="1" applyFill="1" applyBorder="1" applyAlignment="1">
      <alignment vertical="top" wrapText="1"/>
    </xf>
    <xf numFmtId="49" fontId="3" fillId="2" borderId="19" xfId="0" applyNumberFormat="1" applyFont="1" applyFill="1" applyBorder="1" applyAlignment="1">
      <alignment vertical="top" wrapText="1"/>
    </xf>
    <xf numFmtId="49" fontId="3" fillId="3" borderId="59" xfId="0" applyNumberFormat="1" applyFont="1" applyFill="1" applyBorder="1" applyAlignment="1">
      <alignment vertical="top" wrapText="1"/>
    </xf>
    <xf numFmtId="0" fontId="2" fillId="4" borderId="43" xfId="0" applyFont="1" applyFill="1" applyBorder="1" applyAlignment="1">
      <alignment horizontal="center" vertical="top" wrapText="1"/>
    </xf>
    <xf numFmtId="0" fontId="2" fillId="4" borderId="60" xfId="0" applyFont="1" applyFill="1" applyBorder="1" applyAlignment="1">
      <alignment horizontal="center" vertical="top" wrapText="1"/>
    </xf>
    <xf numFmtId="49" fontId="3" fillId="8" borderId="16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 wrapText="1"/>
    </xf>
    <xf numFmtId="3" fontId="13" fillId="4" borderId="65" xfId="0" applyNumberFormat="1" applyFont="1" applyFill="1" applyBorder="1" applyAlignment="1">
      <alignment horizontal="center" vertical="top" textRotation="90" wrapText="1"/>
    </xf>
    <xf numFmtId="3" fontId="2" fillId="4" borderId="3" xfId="0" applyNumberFormat="1" applyFont="1" applyFill="1" applyBorder="1" applyAlignment="1">
      <alignment vertical="top" wrapText="1"/>
    </xf>
    <xf numFmtId="3" fontId="13" fillId="4" borderId="58" xfId="0" applyNumberFormat="1" applyFont="1" applyFill="1" applyBorder="1" applyAlignment="1">
      <alignment horizontal="center" vertical="top" textRotation="90" wrapText="1"/>
    </xf>
    <xf numFmtId="3" fontId="2" fillId="4" borderId="33" xfId="0" applyNumberFormat="1" applyFont="1" applyFill="1" applyBorder="1" applyAlignment="1">
      <alignment vertical="top" wrapText="1"/>
    </xf>
    <xf numFmtId="3" fontId="13" fillId="4" borderId="52" xfId="0" applyNumberFormat="1" applyFont="1" applyFill="1" applyBorder="1" applyAlignment="1">
      <alignment horizontal="center" vertical="top" textRotation="90" wrapText="1"/>
    </xf>
    <xf numFmtId="3" fontId="2" fillId="0" borderId="26" xfId="0" applyNumberFormat="1" applyFont="1" applyFill="1" applyBorder="1" applyAlignment="1">
      <alignment horizontal="center" vertical="top" wrapText="1"/>
    </xf>
    <xf numFmtId="49" fontId="3" fillId="8" borderId="49" xfId="0" applyNumberFormat="1" applyFont="1" applyFill="1" applyBorder="1" applyAlignment="1">
      <alignment horizontal="center" vertical="top" wrapText="1"/>
    </xf>
    <xf numFmtId="49" fontId="3" fillId="2" borderId="19" xfId="0" applyNumberFormat="1" applyFont="1" applyFill="1" applyBorder="1" applyAlignment="1">
      <alignment horizontal="center" vertical="top" wrapText="1"/>
    </xf>
    <xf numFmtId="49" fontId="3" fillId="3" borderId="59" xfId="0" applyNumberFormat="1" applyFont="1" applyFill="1" applyBorder="1" applyAlignment="1">
      <alignment horizontal="center" vertical="top" wrapText="1"/>
    </xf>
    <xf numFmtId="3" fontId="13" fillId="4" borderId="64" xfId="0" applyNumberFormat="1" applyFont="1" applyFill="1" applyBorder="1" applyAlignment="1">
      <alignment horizontal="center" vertical="top" textRotation="90" wrapText="1"/>
    </xf>
    <xf numFmtId="3" fontId="3" fillId="5" borderId="40" xfId="0" applyNumberFormat="1" applyFont="1" applyFill="1" applyBorder="1" applyAlignment="1">
      <alignment horizontal="center" vertical="top" wrapText="1"/>
    </xf>
    <xf numFmtId="3" fontId="2" fillId="4" borderId="43" xfId="0" applyNumberFormat="1" applyFont="1" applyFill="1" applyBorder="1" applyAlignment="1">
      <alignment vertical="top" wrapText="1"/>
    </xf>
    <xf numFmtId="3" fontId="2" fillId="0" borderId="55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center" vertical="top" wrapText="1"/>
    </xf>
    <xf numFmtId="3" fontId="2" fillId="0" borderId="24" xfId="0" applyNumberFormat="1" applyFont="1" applyFill="1" applyBorder="1" applyAlignment="1">
      <alignment horizontal="center" vertical="top" wrapText="1"/>
    </xf>
    <xf numFmtId="3" fontId="2" fillId="0" borderId="59" xfId="0" applyNumberFormat="1" applyFont="1" applyFill="1" applyBorder="1" applyAlignment="1">
      <alignment horizontal="center" vertical="top" wrapText="1"/>
    </xf>
    <xf numFmtId="3" fontId="13" fillId="0" borderId="65" xfId="0" applyNumberFormat="1" applyFont="1" applyFill="1" applyBorder="1" applyAlignment="1">
      <alignment horizontal="center" vertical="top" textRotation="90" wrapText="1"/>
    </xf>
    <xf numFmtId="3" fontId="2" fillId="0" borderId="3" xfId="0" applyNumberFormat="1" applyFont="1" applyFill="1" applyBorder="1" applyAlignment="1">
      <alignment horizontal="center" vertical="top" wrapText="1"/>
    </xf>
    <xf numFmtId="3" fontId="13" fillId="0" borderId="64" xfId="0" applyNumberFormat="1" applyFont="1" applyFill="1" applyBorder="1" applyAlignment="1">
      <alignment horizontal="center" vertical="top" textRotation="90" wrapText="1"/>
    </xf>
    <xf numFmtId="49" fontId="3" fillId="8" borderId="12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164" fontId="3" fillId="2" borderId="12" xfId="0" applyNumberFormat="1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4" fontId="3" fillId="2" borderId="61" xfId="0" applyNumberFormat="1" applyFont="1" applyFill="1" applyBorder="1" applyAlignment="1">
      <alignment horizontal="center" vertical="top" wrapText="1"/>
    </xf>
    <xf numFmtId="164" fontId="3" fillId="8" borderId="12" xfId="0" applyNumberFormat="1" applyFont="1" applyFill="1" applyBorder="1" applyAlignment="1">
      <alignment horizontal="center" vertical="top" wrapText="1"/>
    </xf>
    <xf numFmtId="164" fontId="3" fillId="8" borderId="11" xfId="0" applyNumberFormat="1" applyFont="1" applyFill="1" applyBorder="1" applyAlignment="1">
      <alignment horizontal="center" vertical="top" wrapText="1"/>
    </xf>
    <xf numFmtId="164" fontId="3" fillId="8" borderId="61" xfId="0" applyNumberFormat="1" applyFont="1" applyFill="1" applyBorder="1" applyAlignment="1">
      <alignment horizontal="center" vertical="top" wrapText="1"/>
    </xf>
    <xf numFmtId="3" fontId="3" fillId="8" borderId="47" xfId="0" applyNumberFormat="1" applyFont="1" applyFill="1" applyBorder="1" applyAlignment="1">
      <alignment horizontal="center" vertical="top" wrapText="1"/>
    </xf>
    <xf numFmtId="3" fontId="3" fillId="8" borderId="61" xfId="0" applyNumberFormat="1" applyFont="1" applyFill="1" applyBorder="1" applyAlignment="1">
      <alignment horizontal="center" vertical="top" wrapText="1"/>
    </xf>
    <xf numFmtId="49" fontId="3" fillId="2" borderId="14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vertical="top"/>
    </xf>
    <xf numFmtId="49" fontId="11" fillId="8" borderId="17" xfId="0" applyNumberFormat="1" applyFont="1" applyFill="1" applyBorder="1" applyAlignment="1">
      <alignment horizontal="center" vertical="top" wrapText="1"/>
    </xf>
    <xf numFmtId="49" fontId="11" fillId="2" borderId="18" xfId="0" applyNumberFormat="1" applyFont="1" applyFill="1" applyBorder="1" applyAlignment="1">
      <alignment horizontal="center" vertical="top" wrapText="1"/>
    </xf>
    <xf numFmtId="49" fontId="11" fillId="3" borderId="31" xfId="0" applyNumberFormat="1" applyFont="1" applyFill="1" applyBorder="1" applyAlignment="1">
      <alignment horizontal="center" vertical="top" wrapText="1"/>
    </xf>
    <xf numFmtId="3" fontId="14" fillId="4" borderId="0" xfId="0" applyNumberFormat="1" applyFont="1" applyFill="1" applyBorder="1" applyAlignment="1">
      <alignment horizontal="center" vertical="top" wrapText="1"/>
    </xf>
    <xf numFmtId="49" fontId="3" fillId="4" borderId="31" xfId="0" applyNumberFormat="1" applyFont="1" applyFill="1" applyBorder="1" applyAlignment="1">
      <alignment horizontal="center" vertical="top" wrapText="1"/>
    </xf>
    <xf numFmtId="49" fontId="3" fillId="3" borderId="19" xfId="0" applyNumberFormat="1" applyFont="1" applyFill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top" wrapText="1"/>
    </xf>
    <xf numFmtId="164" fontId="2" fillId="4" borderId="28" xfId="2" applyNumberFormat="1" applyFont="1" applyFill="1" applyBorder="1" applyAlignment="1">
      <alignment horizontal="center" vertical="top"/>
    </xf>
    <xf numFmtId="164" fontId="2" fillId="12" borderId="38" xfId="2" applyNumberFormat="1" applyFont="1" applyFill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 wrapText="1"/>
    </xf>
    <xf numFmtId="0" fontId="2" fillId="4" borderId="53" xfId="0" applyFont="1" applyFill="1" applyBorder="1" applyAlignment="1">
      <alignment horizontal="center" vertical="top" wrapText="1"/>
    </xf>
    <xf numFmtId="164" fontId="2" fillId="4" borderId="18" xfId="2" applyNumberFormat="1" applyFont="1" applyFill="1" applyBorder="1" applyAlignment="1">
      <alignment horizontal="center" vertical="top"/>
    </xf>
    <xf numFmtId="164" fontId="2" fillId="4" borderId="7" xfId="2" applyNumberFormat="1" applyFont="1" applyFill="1" applyBorder="1" applyAlignment="1">
      <alignment horizontal="center" vertical="top"/>
    </xf>
    <xf numFmtId="3" fontId="2" fillId="4" borderId="30" xfId="0" applyNumberFormat="1" applyFont="1" applyFill="1" applyBorder="1" applyAlignment="1">
      <alignment horizontal="center" vertical="top"/>
    </xf>
    <xf numFmtId="49" fontId="2" fillId="4" borderId="33" xfId="2" applyNumberFormat="1" applyFont="1" applyFill="1" applyBorder="1" applyAlignment="1">
      <alignment horizontal="center" vertical="top" wrapText="1"/>
    </xf>
    <xf numFmtId="167" fontId="2" fillId="9" borderId="71" xfId="2" applyNumberFormat="1" applyFont="1" applyFill="1" applyBorder="1" applyAlignment="1">
      <alignment vertical="top" wrapText="1"/>
    </xf>
    <xf numFmtId="167" fontId="2" fillId="9" borderId="67" xfId="2" applyNumberFormat="1" applyFont="1" applyFill="1" applyBorder="1" applyAlignment="1">
      <alignment horizontal="center" vertical="top" wrapText="1"/>
    </xf>
    <xf numFmtId="167" fontId="2" fillId="9" borderId="79" xfId="2" applyNumberFormat="1" applyFont="1" applyFill="1" applyBorder="1" applyAlignment="1">
      <alignment horizontal="center" vertical="top" wrapText="1"/>
    </xf>
    <xf numFmtId="167" fontId="2" fillId="9" borderId="67" xfId="2" applyNumberFormat="1" applyFont="1" applyFill="1" applyBorder="1" applyAlignment="1">
      <alignment horizontal="center" vertical="top"/>
    </xf>
    <xf numFmtId="167" fontId="2" fillId="9" borderId="79" xfId="2" applyNumberFormat="1" applyFont="1" applyFill="1" applyBorder="1" applyAlignment="1">
      <alignment horizontal="center" vertical="top"/>
    </xf>
    <xf numFmtId="164" fontId="3" fillId="5" borderId="53" xfId="0" applyNumberFormat="1" applyFont="1" applyFill="1" applyBorder="1" applyAlignment="1">
      <alignment horizontal="center" vertical="top" wrapText="1"/>
    </xf>
    <xf numFmtId="164" fontId="3" fillId="5" borderId="52" xfId="0" applyNumberFormat="1" applyFont="1" applyFill="1" applyBorder="1" applyAlignment="1">
      <alignment horizontal="center" vertical="top" wrapText="1"/>
    </xf>
    <xf numFmtId="164" fontId="3" fillId="5" borderId="28" xfId="0" applyNumberFormat="1" applyFont="1" applyFill="1" applyBorder="1" applyAlignment="1">
      <alignment horizontal="center" vertical="top" wrapText="1"/>
    </xf>
    <xf numFmtId="3" fontId="2" fillId="0" borderId="27" xfId="0" applyNumberFormat="1" applyFont="1" applyBorder="1" applyAlignment="1">
      <alignment vertical="top" wrapText="1"/>
    </xf>
    <xf numFmtId="3" fontId="13" fillId="4" borderId="27" xfId="0" applyNumberFormat="1" applyFont="1" applyFill="1" applyBorder="1" applyAlignment="1">
      <alignment horizontal="center" vertical="top" textRotation="180" wrapText="1"/>
    </xf>
    <xf numFmtId="167" fontId="2" fillId="9" borderId="53" xfId="2" applyNumberFormat="1" applyFont="1" applyFill="1" applyBorder="1" applyAlignment="1">
      <alignment vertical="top" wrapText="1"/>
    </xf>
    <xf numFmtId="3" fontId="2" fillId="11" borderId="0" xfId="2" applyNumberFormat="1" applyFont="1" applyFill="1" applyBorder="1" applyAlignment="1">
      <alignment horizontal="center" vertical="top"/>
    </xf>
    <xf numFmtId="3" fontId="2" fillId="0" borderId="0" xfId="0" applyNumberFormat="1" applyFont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3" borderId="0" xfId="0" applyNumberFormat="1" applyFont="1" applyFill="1" applyBorder="1" applyAlignment="1">
      <alignment horizontal="center" vertical="top"/>
    </xf>
    <xf numFmtId="164" fontId="3" fillId="2" borderId="47" xfId="0" applyNumberFormat="1" applyFont="1" applyFill="1" applyBorder="1" applyAlignment="1">
      <alignment horizontal="center" vertical="top" wrapText="1"/>
    </xf>
    <xf numFmtId="3" fontId="3" fillId="2" borderId="12" xfId="0" applyNumberFormat="1" applyFont="1" applyFill="1" applyBorder="1" applyAlignment="1">
      <alignment horizontal="center" vertical="top" wrapText="1"/>
    </xf>
    <xf numFmtId="49" fontId="3" fillId="3" borderId="13" xfId="0" applyNumberFormat="1" applyFont="1" applyFill="1" applyBorder="1" applyAlignment="1">
      <alignment vertical="top" wrapText="1"/>
    </xf>
    <xf numFmtId="3" fontId="13" fillId="0" borderId="55" xfId="0" applyNumberFormat="1" applyFont="1" applyFill="1" applyBorder="1" applyAlignment="1">
      <alignment horizontal="center" vertical="top" textRotation="90" wrapText="1"/>
    </xf>
    <xf numFmtId="3" fontId="2" fillId="0" borderId="28" xfId="0" applyNumberFormat="1" applyFont="1" applyBorder="1" applyAlignment="1">
      <alignment horizontal="center" vertical="top"/>
    </xf>
    <xf numFmtId="3" fontId="2" fillId="0" borderId="15" xfId="0" applyNumberFormat="1" applyFont="1" applyBorder="1" applyAlignment="1">
      <alignment horizontal="center" vertical="top"/>
    </xf>
    <xf numFmtId="49" fontId="3" fillId="3" borderId="31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3" borderId="55" xfId="0" applyNumberFormat="1" applyFont="1" applyFill="1" applyBorder="1" applyAlignment="1">
      <alignment vertical="top"/>
    </xf>
    <xf numFmtId="3" fontId="3" fillId="4" borderId="55" xfId="0" applyNumberFormat="1" applyFont="1" applyFill="1" applyBorder="1" applyAlignment="1">
      <alignment horizontal="left" vertical="top" wrapText="1"/>
    </xf>
    <xf numFmtId="3" fontId="13" fillId="4" borderId="35" xfId="0" applyNumberFormat="1" applyFont="1" applyFill="1" applyBorder="1" applyAlignment="1">
      <alignment horizontal="center" vertical="top" wrapText="1"/>
    </xf>
    <xf numFmtId="3" fontId="2" fillId="0" borderId="9" xfId="0" applyNumberFormat="1" applyFont="1" applyBorder="1" applyAlignment="1">
      <alignment vertical="top"/>
    </xf>
    <xf numFmtId="3" fontId="2" fillId="0" borderId="63" xfId="0" applyNumberFormat="1" applyFont="1" applyBorder="1" applyAlignment="1">
      <alignment vertical="top"/>
    </xf>
    <xf numFmtId="3" fontId="2" fillId="0" borderId="16" xfId="0" applyNumberFormat="1" applyFont="1" applyBorder="1" applyAlignment="1">
      <alignment vertical="top"/>
    </xf>
    <xf numFmtId="3" fontId="2" fillId="0" borderId="13" xfId="0" applyNumberFormat="1" applyFont="1" applyBorder="1" applyAlignment="1">
      <alignment vertical="top"/>
    </xf>
    <xf numFmtId="3" fontId="2" fillId="0" borderId="24" xfId="0" applyNumberFormat="1" applyFont="1" applyBorder="1" applyAlignment="1">
      <alignment vertical="top"/>
    </xf>
    <xf numFmtId="164" fontId="2" fillId="0" borderId="28" xfId="0" applyNumberFormat="1" applyFont="1" applyFill="1" applyBorder="1" applyAlignment="1">
      <alignment horizontal="center" vertical="top"/>
    </xf>
    <xf numFmtId="3" fontId="2" fillId="0" borderId="56" xfId="0" applyNumberFormat="1" applyFont="1" applyBorder="1" applyAlignment="1">
      <alignment horizontal="center" vertical="top"/>
    </xf>
    <xf numFmtId="164" fontId="2" fillId="0" borderId="73" xfId="0" applyNumberFormat="1" applyFont="1" applyFill="1" applyBorder="1" applyAlignment="1">
      <alignment horizontal="center" vertical="top"/>
    </xf>
    <xf numFmtId="3" fontId="2" fillId="4" borderId="54" xfId="0" applyNumberFormat="1" applyFont="1" applyFill="1" applyBorder="1" applyAlignment="1">
      <alignment horizontal="center" vertical="top" wrapText="1"/>
    </xf>
    <xf numFmtId="3" fontId="13" fillId="4" borderId="7" xfId="0" applyNumberFormat="1" applyFont="1" applyFill="1" applyBorder="1" applyAlignment="1">
      <alignment horizontal="center" vertical="top" wrapText="1"/>
    </xf>
    <xf numFmtId="49" fontId="3" fillId="2" borderId="19" xfId="0" applyNumberFormat="1" applyFont="1" applyFill="1" applyBorder="1" applyAlignment="1">
      <alignment horizontal="center" vertical="top"/>
    </xf>
    <xf numFmtId="49" fontId="3" fillId="3" borderId="59" xfId="0" applyNumberFormat="1" applyFont="1" applyFill="1" applyBorder="1" applyAlignment="1">
      <alignment vertical="top"/>
    </xf>
    <xf numFmtId="3" fontId="13" fillId="4" borderId="60" xfId="0" applyNumberFormat="1" applyFont="1" applyFill="1" applyBorder="1" applyAlignment="1">
      <alignment horizontal="center" vertical="top" wrapText="1"/>
    </xf>
    <xf numFmtId="164" fontId="3" fillId="2" borderId="49" xfId="0" applyNumberFormat="1" applyFont="1" applyFill="1" applyBorder="1" applyAlignment="1">
      <alignment horizontal="center" vertical="top" wrapText="1"/>
    </xf>
    <xf numFmtId="164" fontId="3" fillId="2" borderId="19" xfId="0" applyNumberFormat="1" applyFont="1" applyFill="1" applyBorder="1" applyAlignment="1">
      <alignment horizontal="center" vertical="top" wrapText="1"/>
    </xf>
    <xf numFmtId="164" fontId="3" fillId="2" borderId="39" xfId="0" applyNumberFormat="1" applyFont="1" applyFill="1" applyBorder="1" applyAlignment="1">
      <alignment horizontal="center" vertical="top" wrapText="1"/>
    </xf>
    <xf numFmtId="3" fontId="3" fillId="2" borderId="49" xfId="0" applyNumberFormat="1" applyFont="1" applyFill="1" applyBorder="1" applyAlignment="1">
      <alignment horizontal="center" vertical="top" wrapText="1"/>
    </xf>
    <xf numFmtId="3" fontId="3" fillId="2" borderId="39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left" vertical="top" wrapText="1"/>
    </xf>
    <xf numFmtId="49" fontId="3" fillId="3" borderId="18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wrapText="1"/>
    </xf>
    <xf numFmtId="3" fontId="12" fillId="4" borderId="18" xfId="0" applyNumberFormat="1" applyFont="1" applyFill="1" applyBorder="1" applyAlignment="1">
      <alignment horizontal="center" vertical="top" wrapText="1"/>
    </xf>
    <xf numFmtId="3" fontId="12" fillId="4" borderId="38" xfId="0" applyNumberFormat="1" applyFont="1" applyFill="1" applyBorder="1" applyAlignment="1">
      <alignment horizontal="center" vertical="top" wrapText="1"/>
    </xf>
    <xf numFmtId="3" fontId="13" fillId="4" borderId="57" xfId="0" applyNumberFormat="1" applyFont="1" applyFill="1" applyBorder="1" applyAlignment="1">
      <alignment horizontal="center" vertical="center" textRotation="90" wrapText="1"/>
    </xf>
    <xf numFmtId="3" fontId="2" fillId="0" borderId="52" xfId="0" applyNumberFormat="1" applyFont="1" applyFill="1" applyBorder="1" applyAlignment="1">
      <alignment vertical="top" wrapText="1"/>
    </xf>
    <xf numFmtId="3" fontId="13" fillId="4" borderId="18" xfId="0" applyNumberFormat="1" applyFont="1" applyFill="1" applyBorder="1" applyAlignment="1">
      <alignment horizontal="center" vertical="center" textRotation="90" wrapText="1"/>
    </xf>
    <xf numFmtId="49" fontId="3" fillId="3" borderId="19" xfId="0" applyNumberFormat="1" applyFont="1" applyFill="1" applyBorder="1" applyAlignment="1">
      <alignment vertical="top"/>
    </xf>
    <xf numFmtId="49" fontId="3" fillId="3" borderId="19" xfId="0" applyNumberFormat="1" applyFont="1" applyFill="1" applyBorder="1" applyAlignment="1">
      <alignment vertical="top" wrapText="1"/>
    </xf>
    <xf numFmtId="3" fontId="13" fillId="0" borderId="4" xfId="0" applyNumberFormat="1" applyFont="1" applyFill="1" applyBorder="1" applyAlignment="1">
      <alignment vertical="top" wrapText="1"/>
    </xf>
    <xf numFmtId="3" fontId="13" fillId="0" borderId="3" xfId="0" applyNumberFormat="1" applyFont="1" applyFill="1" applyBorder="1" applyAlignment="1">
      <alignment horizontal="center" vertical="top" textRotation="90" wrapText="1"/>
    </xf>
    <xf numFmtId="3" fontId="13" fillId="0" borderId="27" xfId="0" applyNumberFormat="1" applyFont="1" applyFill="1" applyBorder="1" applyAlignment="1">
      <alignment horizontal="center" vertical="top" textRotation="180" wrapText="1"/>
    </xf>
    <xf numFmtId="3" fontId="13" fillId="0" borderId="0" xfId="0" applyNumberFormat="1" applyFont="1" applyFill="1" applyBorder="1" applyAlignment="1">
      <alignment horizontal="center" vertical="top" textRotation="180" wrapText="1"/>
    </xf>
    <xf numFmtId="3" fontId="13" fillId="0" borderId="31" xfId="0" applyNumberFormat="1" applyFont="1" applyFill="1" applyBorder="1" applyAlignment="1">
      <alignment horizontal="center" vertical="top" textRotation="180" wrapText="1"/>
    </xf>
    <xf numFmtId="49" fontId="3" fillId="3" borderId="55" xfId="0" applyNumberFormat="1" applyFont="1" applyFill="1" applyBorder="1" applyAlignment="1">
      <alignment vertical="top" wrapText="1"/>
    </xf>
    <xf numFmtId="3" fontId="13" fillId="0" borderId="24" xfId="0" applyNumberFormat="1" applyFont="1" applyFill="1" applyBorder="1" applyAlignment="1">
      <alignment horizontal="center" vertical="top" textRotation="90" wrapText="1"/>
    </xf>
    <xf numFmtId="3" fontId="13" fillId="0" borderId="7" xfId="0" applyNumberFormat="1" applyFont="1" applyFill="1" applyBorder="1" applyAlignment="1">
      <alignment horizontal="center" vertical="top" textRotation="90" wrapText="1"/>
    </xf>
    <xf numFmtId="49" fontId="3" fillId="8" borderId="1" xfId="0" applyNumberFormat="1" applyFont="1" applyFill="1" applyBorder="1" applyAlignment="1">
      <alignment horizontal="center" vertical="top" wrapText="1"/>
    </xf>
    <xf numFmtId="49" fontId="3" fillId="2" borderId="25" xfId="0" applyNumberFormat="1" applyFont="1" applyFill="1" applyBorder="1" applyAlignment="1">
      <alignment horizontal="center" vertical="top" wrapText="1"/>
    </xf>
    <xf numFmtId="164" fontId="3" fillId="8" borderId="49" xfId="0" applyNumberFormat="1" applyFont="1" applyFill="1" applyBorder="1" applyAlignment="1">
      <alignment horizontal="center" vertical="top" wrapText="1"/>
    </xf>
    <xf numFmtId="164" fontId="3" fillId="8" borderId="19" xfId="0" applyNumberFormat="1" applyFont="1" applyFill="1" applyBorder="1" applyAlignment="1">
      <alignment horizontal="center" vertical="top" wrapText="1"/>
    </xf>
    <xf numFmtId="164" fontId="3" fillId="8" borderId="39" xfId="0" applyNumberFormat="1" applyFont="1" applyFill="1" applyBorder="1" applyAlignment="1">
      <alignment horizontal="center" vertical="top" wrapText="1"/>
    </xf>
    <xf numFmtId="3" fontId="3" fillId="8" borderId="12" xfId="0" applyNumberFormat="1" applyFont="1" applyFill="1" applyBorder="1" applyAlignment="1">
      <alignment horizontal="center" vertical="top" wrapText="1"/>
    </xf>
    <xf numFmtId="49" fontId="3" fillId="7" borderId="1" xfId="0" applyNumberFormat="1" applyFont="1" applyFill="1" applyBorder="1" applyAlignment="1">
      <alignment horizontal="center" vertical="top" wrapText="1"/>
    </xf>
    <xf numFmtId="164" fontId="3" fillId="7" borderId="49" xfId="0" applyNumberFormat="1" applyFont="1" applyFill="1" applyBorder="1" applyAlignment="1">
      <alignment horizontal="center" vertical="top" wrapText="1"/>
    </xf>
    <xf numFmtId="164" fontId="3" fillId="7" borderId="19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horizontal="center" vertical="top" wrapText="1"/>
    </xf>
    <xf numFmtId="3" fontId="3" fillId="7" borderId="49" xfId="0" applyNumberFormat="1" applyFont="1" applyFill="1" applyBorder="1" applyAlignment="1">
      <alignment horizontal="center" vertical="top" wrapText="1"/>
    </xf>
    <xf numFmtId="3" fontId="3" fillId="7" borderId="39" xfId="0" applyNumberFormat="1" applyFont="1" applyFill="1" applyBorder="1" applyAlignment="1">
      <alignment horizontal="center" vertical="top" wrapText="1"/>
    </xf>
    <xf numFmtId="3" fontId="3" fillId="7" borderId="60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wrapText="1"/>
    </xf>
    <xf numFmtId="165" fontId="3" fillId="7" borderId="63" xfId="0" applyNumberFormat="1" applyFont="1" applyFill="1" applyBorder="1" applyAlignment="1">
      <alignment horizontal="center" vertical="top" wrapText="1"/>
    </xf>
    <xf numFmtId="165" fontId="3" fillId="7" borderId="29" xfId="0" applyNumberFormat="1" applyFont="1" applyFill="1" applyBorder="1" applyAlignment="1">
      <alignment horizontal="center" vertical="top" wrapText="1"/>
    </xf>
    <xf numFmtId="165" fontId="3" fillId="7" borderId="62" xfId="0" applyNumberFormat="1" applyFont="1" applyFill="1" applyBorder="1" applyAlignment="1">
      <alignment horizontal="center" vertical="top" wrapText="1"/>
    </xf>
    <xf numFmtId="165" fontId="3" fillId="5" borderId="54" xfId="0" applyNumberFormat="1" applyFont="1" applyFill="1" applyBorder="1" applyAlignment="1">
      <alignment horizontal="center" vertical="top" wrapText="1"/>
    </xf>
    <xf numFmtId="165" fontId="3" fillId="5" borderId="38" xfId="0" applyNumberFormat="1" applyFont="1" applyFill="1" applyBorder="1" applyAlignment="1">
      <alignment horizontal="center" vertical="top" wrapText="1"/>
    </xf>
    <xf numFmtId="165" fontId="3" fillId="5" borderId="15" xfId="0" applyNumberFormat="1" applyFont="1" applyFill="1" applyBorder="1" applyAlignment="1">
      <alignment horizontal="center" vertical="top" wrapText="1"/>
    </xf>
    <xf numFmtId="3" fontId="1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165" fontId="2" fillId="0" borderId="0" xfId="0" applyNumberFormat="1" applyFont="1" applyAlignment="1">
      <alignment horizontal="center" vertical="top" wrapText="1"/>
    </xf>
    <xf numFmtId="3" fontId="2" fillId="4" borderId="39" xfId="0" applyNumberFormat="1" applyFont="1" applyFill="1" applyBorder="1" applyAlignment="1">
      <alignment horizontal="right" wrapText="1"/>
    </xf>
    <xf numFmtId="164" fontId="2" fillId="4" borderId="10" xfId="0" applyNumberFormat="1" applyFont="1" applyFill="1" applyBorder="1" applyAlignment="1">
      <alignment horizontal="center" vertical="top"/>
    </xf>
    <xf numFmtId="164" fontId="2" fillId="4" borderId="6" xfId="0" applyNumberFormat="1" applyFont="1" applyFill="1" applyBorder="1" applyAlignment="1">
      <alignment horizontal="center" vertical="top" wrapText="1"/>
    </xf>
    <xf numFmtId="164" fontId="2" fillId="4" borderId="8" xfId="0" applyNumberFormat="1" applyFont="1" applyFill="1" applyBorder="1" applyAlignment="1">
      <alignment horizontal="center" vertical="top" wrapText="1"/>
    </xf>
    <xf numFmtId="164" fontId="2" fillId="4" borderId="43" xfId="0" applyNumberFormat="1" applyFont="1" applyFill="1" applyBorder="1" applyAlignment="1">
      <alignment horizontal="center" vertical="top" wrapText="1"/>
    </xf>
    <xf numFmtId="164" fontId="8" fillId="4" borderId="48" xfId="0" applyNumberFormat="1" applyFont="1" applyFill="1" applyBorder="1" applyAlignment="1">
      <alignment horizontal="center" vertical="top" wrapText="1"/>
    </xf>
    <xf numFmtId="164" fontId="2" fillId="4" borderId="8" xfId="0" applyNumberFormat="1" applyFont="1" applyFill="1" applyBorder="1" applyAlignment="1">
      <alignment horizontal="center" vertical="top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48" xfId="0" applyNumberFormat="1" applyFont="1" applyFill="1" applyBorder="1" applyAlignment="1">
      <alignment horizontal="center" vertical="top" wrapText="1"/>
    </xf>
    <xf numFmtId="164" fontId="2" fillId="4" borderId="5" xfId="0" applyNumberFormat="1" applyFont="1" applyFill="1" applyBorder="1" applyAlignment="1">
      <alignment horizontal="center" vertical="top"/>
    </xf>
    <xf numFmtId="164" fontId="2" fillId="4" borderId="6" xfId="0" applyNumberFormat="1" applyFont="1" applyFill="1" applyBorder="1" applyAlignment="1">
      <alignment horizontal="center" vertical="top"/>
    </xf>
    <xf numFmtId="164" fontId="3" fillId="4" borderId="63" xfId="0" applyNumberFormat="1" applyFont="1" applyFill="1" applyBorder="1" applyAlignment="1">
      <alignment horizontal="center" vertical="top" wrapText="1"/>
    </xf>
    <xf numFmtId="164" fontId="2" fillId="4" borderId="34" xfId="0" applyNumberFormat="1" applyFont="1" applyFill="1" applyBorder="1" applyAlignment="1">
      <alignment horizontal="center" vertical="top"/>
    </xf>
    <xf numFmtId="165" fontId="2" fillId="4" borderId="10" xfId="0" applyNumberFormat="1" applyFont="1" applyFill="1" applyBorder="1" applyAlignment="1">
      <alignment horizontal="center" vertical="center" textRotation="90" wrapText="1"/>
    </xf>
    <xf numFmtId="165" fontId="2" fillId="4" borderId="0" xfId="0" applyNumberFormat="1" applyFont="1" applyFill="1" applyAlignment="1">
      <alignment horizontal="center" vertical="top" wrapText="1"/>
    </xf>
    <xf numFmtId="164" fontId="3" fillId="4" borderId="17" xfId="0" applyNumberFormat="1" applyFont="1" applyFill="1" applyBorder="1" applyAlignment="1">
      <alignment horizontal="center" vertical="top" wrapText="1"/>
    </xf>
    <xf numFmtId="164" fontId="3" fillId="4" borderId="18" xfId="0" applyNumberFormat="1" applyFont="1" applyFill="1" applyBorder="1" applyAlignment="1">
      <alignment horizontal="center" vertical="top" wrapText="1"/>
    </xf>
    <xf numFmtId="164" fontId="3" fillId="4" borderId="7" xfId="0" applyNumberFormat="1" applyFont="1" applyFill="1" applyBorder="1" applyAlignment="1">
      <alignment horizontal="center" vertical="top" wrapText="1"/>
    </xf>
    <xf numFmtId="3" fontId="2" fillId="0" borderId="17" xfId="0" applyNumberFormat="1" applyFont="1" applyBorder="1" applyAlignment="1">
      <alignment horizontal="center" vertical="top" wrapText="1"/>
    </xf>
    <xf numFmtId="164" fontId="3" fillId="5" borderId="49" xfId="0" applyNumberFormat="1" applyFont="1" applyFill="1" applyBorder="1" applyAlignment="1">
      <alignment horizontal="center" vertical="top" wrapText="1"/>
    </xf>
    <xf numFmtId="164" fontId="3" fillId="5" borderId="19" xfId="0" applyNumberFormat="1" applyFont="1" applyFill="1" applyBorder="1" applyAlignment="1">
      <alignment horizontal="center" vertical="top" wrapText="1"/>
    </xf>
    <xf numFmtId="164" fontId="3" fillId="5" borderId="60" xfId="0" applyNumberFormat="1" applyFont="1" applyFill="1" applyBorder="1" applyAlignment="1">
      <alignment horizontal="center" vertical="top" wrapText="1"/>
    </xf>
    <xf numFmtId="0" fontId="2" fillId="4" borderId="63" xfId="0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center" vertical="top" wrapText="1"/>
    </xf>
    <xf numFmtId="0" fontId="2" fillId="4" borderId="57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164" fontId="2" fillId="4" borderId="85" xfId="0" applyNumberFormat="1" applyFont="1" applyFill="1" applyBorder="1" applyAlignment="1">
      <alignment horizontal="center" vertical="top" wrapText="1"/>
    </xf>
    <xf numFmtId="164" fontId="2" fillId="4" borderId="34" xfId="0" applyNumberFormat="1" applyFont="1" applyFill="1" applyBorder="1" applyAlignment="1">
      <alignment horizontal="center" vertical="top" wrapText="1"/>
    </xf>
    <xf numFmtId="165" fontId="2" fillId="4" borderId="49" xfId="0" applyNumberFormat="1" applyFont="1" applyFill="1" applyBorder="1" applyAlignment="1">
      <alignment horizontal="center" vertical="top" wrapText="1"/>
    </xf>
    <xf numFmtId="164" fontId="3" fillId="5" borderId="6" xfId="0" applyNumberFormat="1" applyFont="1" applyFill="1" applyBorder="1" applyAlignment="1">
      <alignment horizontal="center" vertical="top" wrapText="1"/>
    </xf>
    <xf numFmtId="164" fontId="3" fillId="14" borderId="2" xfId="2" applyNumberFormat="1" applyFont="1" applyFill="1" applyBorder="1" applyAlignment="1">
      <alignment horizontal="center" vertical="top"/>
    </xf>
    <xf numFmtId="164" fontId="3" fillId="5" borderId="48" xfId="0" applyNumberFormat="1" applyFont="1" applyFill="1" applyBorder="1" applyAlignment="1">
      <alignment horizontal="center" vertical="top" wrapText="1"/>
    </xf>
    <xf numFmtId="164" fontId="3" fillId="10" borderId="23" xfId="0" applyNumberFormat="1" applyFont="1" applyFill="1" applyBorder="1" applyAlignment="1">
      <alignment horizontal="center" vertical="top" wrapText="1"/>
    </xf>
    <xf numFmtId="164" fontId="3" fillId="8" borderId="23" xfId="0" applyNumberFormat="1" applyFont="1" applyFill="1" applyBorder="1" applyAlignment="1">
      <alignment horizontal="center" vertical="top" wrapText="1"/>
    </xf>
    <xf numFmtId="164" fontId="3" fillId="10" borderId="12" xfId="0" applyNumberFormat="1" applyFont="1" applyFill="1" applyBorder="1" applyAlignment="1">
      <alignment horizontal="center" vertical="top" wrapText="1"/>
    </xf>
    <xf numFmtId="165" fontId="3" fillId="7" borderId="9" xfId="0" applyNumberFormat="1" applyFont="1" applyFill="1" applyBorder="1" applyAlignment="1">
      <alignment horizontal="center" vertical="top" wrapText="1"/>
    </xf>
    <xf numFmtId="165" fontId="3" fillId="5" borderId="5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>
      <alignment horizontal="center" vertical="top" wrapText="1"/>
    </xf>
    <xf numFmtId="164" fontId="3" fillId="10" borderId="49" xfId="0" applyNumberFormat="1" applyFont="1" applyFill="1" applyBorder="1" applyAlignment="1">
      <alignment horizontal="center" vertical="top" wrapText="1"/>
    </xf>
    <xf numFmtId="164" fontId="3" fillId="7" borderId="2" xfId="0" applyNumberFormat="1" applyFont="1" applyFill="1" applyBorder="1" applyAlignment="1">
      <alignment horizontal="center" vertical="top" wrapText="1"/>
    </xf>
    <xf numFmtId="164" fontId="3" fillId="7" borderId="56" xfId="0" applyNumberFormat="1" applyFont="1" applyFill="1" applyBorder="1" applyAlignment="1">
      <alignment horizontal="center" vertical="top" wrapText="1"/>
    </xf>
    <xf numFmtId="164" fontId="3" fillId="7" borderId="57" xfId="0" applyNumberFormat="1" applyFont="1" applyFill="1" applyBorder="1" applyAlignment="1">
      <alignment horizontal="center" vertical="top" wrapText="1"/>
    </xf>
    <xf numFmtId="164" fontId="3" fillId="7" borderId="26" xfId="0" applyNumberFormat="1" applyFont="1" applyFill="1" applyBorder="1" applyAlignment="1">
      <alignment horizontal="center" vertical="top" wrapText="1"/>
    </xf>
    <xf numFmtId="164" fontId="2" fillId="4" borderId="50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vertical="top" wrapText="1"/>
    </xf>
    <xf numFmtId="3" fontId="13" fillId="0" borderId="50" xfId="0" applyNumberFormat="1" applyFont="1" applyFill="1" applyBorder="1" applyAlignment="1">
      <alignment horizontal="center" vertical="top" textRotation="90" wrapText="1"/>
    </xf>
    <xf numFmtId="165" fontId="2" fillId="4" borderId="10" xfId="0" applyNumberFormat="1" applyFont="1" applyFill="1" applyBorder="1" applyAlignment="1">
      <alignment horizontal="center" vertical="top" wrapText="1"/>
    </xf>
    <xf numFmtId="3" fontId="2" fillId="0" borderId="50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4" fontId="2" fillId="4" borderId="5" xfId="0" applyNumberFormat="1" applyFont="1" applyFill="1" applyBorder="1" applyAlignment="1">
      <alignment horizontal="center" vertical="center"/>
    </xf>
    <xf numFmtId="1" fontId="2" fillId="4" borderId="54" xfId="0" applyNumberFormat="1" applyFont="1" applyFill="1" applyBorder="1" applyAlignment="1">
      <alignment horizontal="center" vertical="top"/>
    </xf>
    <xf numFmtId="1" fontId="2" fillId="4" borderId="38" xfId="0" applyNumberFormat="1" applyFont="1" applyFill="1" applyBorder="1" applyAlignment="1">
      <alignment horizontal="center" vertical="top"/>
    </xf>
    <xf numFmtId="1" fontId="2" fillId="4" borderId="15" xfId="0" applyNumberFormat="1" applyFont="1" applyFill="1" applyBorder="1" applyAlignment="1">
      <alignment horizontal="center" vertical="top"/>
    </xf>
    <xf numFmtId="3" fontId="2" fillId="4" borderId="69" xfId="0" applyNumberFormat="1" applyFont="1" applyFill="1" applyBorder="1" applyAlignment="1">
      <alignment horizontal="center" vertical="top"/>
    </xf>
    <xf numFmtId="3" fontId="2" fillId="4" borderId="70" xfId="0" applyNumberFormat="1" applyFont="1" applyFill="1" applyBorder="1" applyAlignment="1">
      <alignment horizontal="center" vertical="top"/>
    </xf>
    <xf numFmtId="49" fontId="8" fillId="4" borderId="57" xfId="0" applyNumberFormat="1" applyFont="1" applyFill="1" applyBorder="1" applyAlignment="1">
      <alignment horizontal="center" vertical="top" wrapText="1"/>
    </xf>
    <xf numFmtId="49" fontId="2" fillId="4" borderId="57" xfId="0" applyNumberFormat="1" applyFont="1" applyFill="1" applyBorder="1" applyAlignment="1">
      <alignment horizontal="center" vertical="top" wrapText="1"/>
    </xf>
    <xf numFmtId="3" fontId="8" fillId="4" borderId="57" xfId="0" applyNumberFormat="1" applyFont="1" applyFill="1" applyBorder="1" applyAlignment="1">
      <alignment horizontal="left" vertical="top" wrapText="1"/>
    </xf>
    <xf numFmtId="165" fontId="2" fillId="0" borderId="13" xfId="0" applyNumberFormat="1" applyFont="1" applyBorder="1" applyAlignment="1">
      <alignment horizontal="center" vertical="top" wrapText="1"/>
    </xf>
    <xf numFmtId="167" fontId="2" fillId="11" borderId="6" xfId="2" applyNumberFormat="1" applyFont="1" applyFill="1" applyBorder="1" applyAlignment="1">
      <alignment horizontal="center" vertical="top"/>
    </xf>
    <xf numFmtId="167" fontId="2" fillId="11" borderId="27" xfId="2" applyNumberFormat="1" applyFont="1" applyFill="1" applyBorder="1" applyAlignment="1">
      <alignment horizontal="center" vertical="top"/>
    </xf>
    <xf numFmtId="167" fontId="2" fillId="11" borderId="52" xfId="2" applyNumberFormat="1" applyFont="1" applyFill="1" applyBorder="1" applyAlignment="1">
      <alignment horizontal="center" vertical="top"/>
    </xf>
    <xf numFmtId="167" fontId="2" fillId="11" borderId="28" xfId="2" applyNumberFormat="1" applyFont="1" applyFill="1" applyBorder="1" applyAlignment="1">
      <alignment horizontal="center" vertical="top"/>
    </xf>
    <xf numFmtId="167" fontId="2" fillId="11" borderId="5" xfId="2" applyNumberFormat="1" applyFont="1" applyFill="1" applyBorder="1" applyAlignment="1">
      <alignment horizontal="center" vertical="top"/>
    </xf>
    <xf numFmtId="167" fontId="2" fillId="11" borderId="50" xfId="2" applyNumberFormat="1" applyFont="1" applyFill="1" applyBorder="1" applyAlignment="1">
      <alignment horizontal="center" vertical="top"/>
    </xf>
    <xf numFmtId="167" fontId="2" fillId="11" borderId="38" xfId="2" applyNumberFormat="1" applyFont="1" applyFill="1" applyBorder="1" applyAlignment="1">
      <alignment horizontal="center" vertical="top"/>
    </xf>
    <xf numFmtId="167" fontId="2" fillId="11" borderId="15" xfId="2" applyNumberFormat="1" applyFont="1" applyFill="1" applyBorder="1" applyAlignment="1">
      <alignment horizontal="center" vertical="top"/>
    </xf>
    <xf numFmtId="167" fontId="2" fillId="11" borderId="8" xfId="2" applyNumberFormat="1" applyFont="1" applyFill="1" applyBorder="1" applyAlignment="1">
      <alignment horizontal="center" vertical="top" wrapText="1"/>
    </xf>
    <xf numFmtId="167" fontId="2" fillId="11" borderId="99" xfId="2" applyNumberFormat="1" applyFont="1" applyFill="1" applyBorder="1" applyAlignment="1">
      <alignment horizontal="center" vertical="top"/>
    </xf>
    <xf numFmtId="167" fontId="2" fillId="11" borderId="100" xfId="2" applyNumberFormat="1" applyFont="1" applyFill="1" applyBorder="1" applyAlignment="1">
      <alignment horizontal="center" vertical="top"/>
    </xf>
    <xf numFmtId="3" fontId="2" fillId="4" borderId="53" xfId="0" applyNumberFormat="1" applyFont="1" applyFill="1" applyBorder="1" applyAlignment="1">
      <alignment horizontal="left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167" fontId="2" fillId="9" borderId="6" xfId="2" applyNumberFormat="1" applyFont="1" applyFill="1" applyBorder="1" applyAlignment="1">
      <alignment horizontal="left" vertical="top" wrapText="1"/>
    </xf>
    <xf numFmtId="3" fontId="2" fillId="4" borderId="46" xfId="0" applyNumberFormat="1" applyFont="1" applyFill="1" applyBorder="1" applyAlignment="1">
      <alignment horizontal="center" vertical="top"/>
    </xf>
    <xf numFmtId="3" fontId="2" fillId="4" borderId="31" xfId="0" applyNumberFormat="1" applyFont="1" applyFill="1" applyBorder="1" applyAlignment="1">
      <alignment horizontal="center" vertical="top"/>
    </xf>
    <xf numFmtId="164" fontId="2" fillId="4" borderId="22" xfId="0" applyNumberFormat="1" applyFont="1" applyFill="1" applyBorder="1" applyAlignment="1">
      <alignment horizontal="center" vertical="top" wrapText="1"/>
    </xf>
    <xf numFmtId="164" fontId="2" fillId="4" borderId="69" xfId="0" applyNumberFormat="1" applyFont="1" applyFill="1" applyBorder="1" applyAlignment="1">
      <alignment horizontal="center" vertical="top"/>
    </xf>
    <xf numFmtId="3" fontId="2" fillId="0" borderId="69" xfId="0" applyNumberFormat="1" applyFont="1" applyFill="1" applyBorder="1" applyAlignment="1">
      <alignment horizontal="center" vertical="top" wrapText="1"/>
    </xf>
    <xf numFmtId="3" fontId="2" fillId="11" borderId="27" xfId="2" applyNumberFormat="1" applyFont="1" applyFill="1" applyBorder="1" applyAlignment="1">
      <alignment horizontal="center" vertical="top"/>
    </xf>
    <xf numFmtId="164" fontId="2" fillId="4" borderId="36" xfId="0" applyNumberFormat="1" applyFont="1" applyFill="1" applyBorder="1" applyAlignment="1">
      <alignment horizontal="center" vertical="top"/>
    </xf>
    <xf numFmtId="164" fontId="2" fillId="4" borderId="81" xfId="0" applyNumberFormat="1" applyFont="1" applyFill="1" applyBorder="1" applyAlignment="1">
      <alignment horizontal="center" vertical="top"/>
    </xf>
    <xf numFmtId="3" fontId="2" fillId="4" borderId="19" xfId="0" applyNumberFormat="1" applyFont="1" applyFill="1" applyBorder="1" applyAlignment="1">
      <alignment vertical="top" wrapText="1"/>
    </xf>
    <xf numFmtId="3" fontId="2" fillId="4" borderId="50" xfId="0" applyNumberFormat="1" applyFont="1" applyFill="1" applyBorder="1" applyAlignment="1">
      <alignment vertical="top" wrapText="1"/>
    </xf>
    <xf numFmtId="3" fontId="2" fillId="4" borderId="46" xfId="0" applyNumberFormat="1" applyFont="1" applyFill="1" applyBorder="1" applyAlignment="1">
      <alignment horizontal="center" vertical="top" wrapText="1"/>
    </xf>
    <xf numFmtId="3" fontId="13" fillId="4" borderId="69" xfId="0" applyNumberFormat="1" applyFont="1" applyFill="1" applyBorder="1" applyAlignment="1">
      <alignment horizontal="center" vertical="top" textRotation="90" wrapText="1"/>
    </xf>
    <xf numFmtId="0" fontId="2" fillId="4" borderId="2" xfId="0" applyFont="1" applyFill="1" applyBorder="1" applyAlignment="1">
      <alignment horizontal="center" vertical="top" wrapText="1"/>
    </xf>
    <xf numFmtId="0" fontId="2" fillId="0" borderId="5" xfId="2" applyNumberFormat="1" applyFont="1" applyFill="1" applyBorder="1" applyAlignment="1">
      <alignment horizontal="center" vertical="top"/>
    </xf>
    <xf numFmtId="0" fontId="2" fillId="0" borderId="6" xfId="2" applyNumberFormat="1" applyFont="1" applyFill="1" applyBorder="1" applyAlignment="1">
      <alignment horizontal="center" vertical="top"/>
    </xf>
    <xf numFmtId="164" fontId="2" fillId="4" borderId="6" xfId="2" applyNumberFormat="1" applyFont="1" applyFill="1" applyBorder="1" applyAlignment="1">
      <alignment horizontal="center" vertical="top"/>
    </xf>
    <xf numFmtId="164" fontId="2" fillId="4" borderId="53" xfId="2" applyNumberFormat="1" applyFont="1" applyFill="1" applyBorder="1" applyAlignment="1">
      <alignment horizontal="center" vertical="top"/>
    </xf>
    <xf numFmtId="49" fontId="2" fillId="4" borderId="4" xfId="0" applyNumberFormat="1" applyFont="1" applyFill="1" applyBorder="1" applyAlignment="1">
      <alignment horizontal="center" vertical="top" wrapText="1"/>
    </xf>
    <xf numFmtId="167" fontId="2" fillId="9" borderId="49" xfId="2" applyNumberFormat="1" applyFont="1" applyFill="1" applyBorder="1" applyAlignment="1">
      <alignment vertical="top" wrapText="1"/>
    </xf>
    <xf numFmtId="164" fontId="2" fillId="4" borderId="15" xfId="0" applyNumberFormat="1" applyFont="1" applyFill="1" applyBorder="1" applyAlignment="1">
      <alignment horizontal="center" vertical="top"/>
    </xf>
    <xf numFmtId="0" fontId="2" fillId="4" borderId="56" xfId="0" applyFont="1" applyFill="1" applyBorder="1" applyAlignment="1">
      <alignment horizontal="center" vertical="top" wrapText="1"/>
    </xf>
    <xf numFmtId="0" fontId="2" fillId="15" borderId="2" xfId="0" applyFont="1" applyFill="1" applyBorder="1" applyAlignment="1">
      <alignment horizontal="center" vertical="top" wrapText="1"/>
    </xf>
    <xf numFmtId="0" fontId="2" fillId="4" borderId="33" xfId="0" applyFont="1" applyFill="1" applyBorder="1" applyAlignment="1">
      <alignment horizontal="center" vertical="top" wrapText="1"/>
    </xf>
    <xf numFmtId="0" fontId="2" fillId="4" borderId="34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3" fontId="2" fillId="4" borderId="81" xfId="0" applyNumberFormat="1" applyFont="1" applyFill="1" applyBorder="1" applyAlignment="1">
      <alignment vertical="top" wrapText="1"/>
    </xf>
    <xf numFmtId="164" fontId="2" fillId="4" borderId="34" xfId="0" applyNumberFormat="1" applyFont="1" applyFill="1" applyBorder="1" applyAlignment="1">
      <alignment vertical="top"/>
    </xf>
    <xf numFmtId="165" fontId="2" fillId="4" borderId="4" xfId="0" applyNumberFormat="1" applyFont="1" applyFill="1" applyBorder="1" applyAlignment="1">
      <alignment horizontal="center" vertical="top" wrapText="1"/>
    </xf>
    <xf numFmtId="165" fontId="2" fillId="4" borderId="39" xfId="0" applyNumberFormat="1" applyFont="1" applyFill="1" applyBorder="1" applyAlignment="1">
      <alignment horizontal="center" vertical="top" wrapText="1"/>
    </xf>
    <xf numFmtId="3" fontId="2" fillId="4" borderId="15" xfId="0" applyNumberFormat="1" applyFont="1" applyFill="1" applyBorder="1" applyAlignment="1">
      <alignment vertical="top" wrapText="1"/>
    </xf>
    <xf numFmtId="3" fontId="2" fillId="4" borderId="10" xfId="0" applyNumberFormat="1" applyFont="1" applyFill="1" applyBorder="1" applyAlignment="1">
      <alignment horizontal="left" vertical="top" wrapText="1"/>
    </xf>
    <xf numFmtId="3" fontId="2" fillId="4" borderId="6" xfId="0" applyNumberFormat="1" applyFont="1" applyFill="1" applyBorder="1" applyAlignment="1">
      <alignment horizontal="left" vertical="top" wrapText="1"/>
    </xf>
    <xf numFmtId="3" fontId="2" fillId="4" borderId="10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3" fontId="13" fillId="4" borderId="31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left" vertical="top" wrapText="1"/>
    </xf>
    <xf numFmtId="3" fontId="2" fillId="4" borderId="13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2" fillId="4" borderId="19" xfId="0" applyNumberFormat="1" applyFont="1" applyFill="1" applyBorder="1" applyAlignment="1">
      <alignment horizontal="left" vertical="top" wrapText="1"/>
    </xf>
    <xf numFmtId="3" fontId="2" fillId="4" borderId="43" xfId="0" applyNumberFormat="1" applyFont="1" applyFill="1" applyBorder="1" applyAlignment="1">
      <alignment horizontal="center" vertical="top" wrapText="1"/>
    </xf>
    <xf numFmtId="3" fontId="13" fillId="4" borderId="30" xfId="0" applyNumberFormat="1" applyFont="1" applyFill="1" applyBorder="1" applyAlignment="1">
      <alignment horizontal="center" vertical="top" textRotation="90" wrapText="1"/>
    </xf>
    <xf numFmtId="3" fontId="3" fillId="4" borderId="18" xfId="0" applyNumberFormat="1" applyFont="1" applyFill="1" applyBorder="1" applyAlignment="1">
      <alignment horizontal="left" vertical="top" wrapText="1"/>
    </xf>
    <xf numFmtId="3" fontId="3" fillId="4" borderId="19" xfId="0" applyNumberFormat="1" applyFont="1" applyFill="1" applyBorder="1" applyAlignment="1">
      <alignment horizontal="left" vertical="top" wrapText="1"/>
    </xf>
    <xf numFmtId="3" fontId="2" fillId="4" borderId="52" xfId="0" applyNumberFormat="1" applyFont="1" applyFill="1" applyBorder="1" applyAlignment="1">
      <alignment horizontal="left" vertical="top" wrapText="1"/>
    </xf>
    <xf numFmtId="3" fontId="2" fillId="4" borderId="38" xfId="0" applyNumberFormat="1" applyFont="1" applyFill="1" applyBorder="1" applyAlignment="1">
      <alignment horizontal="left" vertical="top" wrapText="1"/>
    </xf>
    <xf numFmtId="49" fontId="3" fillId="8" borderId="16" xfId="0" applyNumberFormat="1" applyFont="1" applyFill="1" applyBorder="1" applyAlignment="1">
      <alignment horizontal="center" vertical="top"/>
    </xf>
    <xf numFmtId="49" fontId="3" fillId="8" borderId="17" xfId="0" applyNumberFormat="1" applyFont="1" applyFill="1" applyBorder="1" applyAlignment="1">
      <alignment horizontal="center" vertical="top"/>
    </xf>
    <xf numFmtId="49" fontId="3" fillId="8" borderId="49" xfId="0" applyNumberFormat="1" applyFont="1" applyFill="1" applyBorder="1" applyAlignment="1">
      <alignment horizontal="center" vertical="top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3" fontId="2" fillId="4" borderId="3" xfId="0" applyNumberFormat="1" applyFont="1" applyFill="1" applyBorder="1" applyAlignment="1">
      <alignment horizontal="left" vertical="top" wrapText="1"/>
    </xf>
    <xf numFmtId="3" fontId="2" fillId="4" borderId="39" xfId="0" applyNumberFormat="1" applyFont="1" applyFill="1" applyBorder="1" applyAlignment="1">
      <alignment horizontal="left" vertical="top" wrapText="1"/>
    </xf>
    <xf numFmtId="167" fontId="2" fillId="9" borderId="53" xfId="2" applyNumberFormat="1" applyFont="1" applyFill="1" applyBorder="1" applyAlignment="1">
      <alignment horizontal="left" vertical="top" wrapText="1"/>
    </xf>
    <xf numFmtId="167" fontId="2" fillId="9" borderId="17" xfId="2" applyNumberFormat="1" applyFont="1" applyFill="1" applyBorder="1" applyAlignment="1">
      <alignment horizontal="left" vertical="top" wrapText="1"/>
    </xf>
    <xf numFmtId="0" fontId="2" fillId="4" borderId="52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3" fontId="2" fillId="4" borderId="8" xfId="0" applyNumberFormat="1" applyFont="1" applyFill="1" applyBorder="1" applyAlignment="1">
      <alignment horizontal="left" vertical="top" wrapText="1"/>
    </xf>
    <xf numFmtId="3" fontId="3" fillId="5" borderId="4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3" borderId="18" xfId="0" applyNumberFormat="1" applyFont="1" applyFill="1" applyBorder="1" applyAlignment="1">
      <alignment horizontal="center" vertical="top" wrapText="1"/>
    </xf>
    <xf numFmtId="49" fontId="2" fillId="4" borderId="38" xfId="0" applyNumberFormat="1" applyFont="1" applyFill="1" applyBorder="1" applyAlignment="1">
      <alignment horizontal="center" vertical="top" wrapText="1"/>
    </xf>
    <xf numFmtId="3" fontId="13" fillId="4" borderId="18" xfId="0" applyNumberFormat="1" applyFont="1" applyFill="1" applyBorder="1" applyAlignment="1">
      <alignment horizontal="center" vertical="top" wrapText="1"/>
    </xf>
    <xf numFmtId="3" fontId="3" fillId="4" borderId="13" xfId="0" applyNumberFormat="1" applyFont="1" applyFill="1" applyBorder="1" applyAlignment="1">
      <alignment horizontal="left" vertical="top" wrapText="1"/>
    </xf>
    <xf numFmtId="3" fontId="2" fillId="0" borderId="39" xfId="0" applyNumberFormat="1" applyFont="1" applyBorder="1" applyAlignment="1">
      <alignment horizontal="right" wrapText="1"/>
    </xf>
    <xf numFmtId="3" fontId="2" fillId="4" borderId="13" xfId="0" applyNumberFormat="1" applyFont="1" applyFill="1" applyBorder="1" applyAlignment="1">
      <alignment horizontal="center" vertical="top" wrapText="1"/>
    </xf>
    <xf numFmtId="3" fontId="2" fillId="4" borderId="19" xfId="0" applyNumberFormat="1" applyFont="1" applyFill="1" applyBorder="1" applyAlignment="1">
      <alignment horizontal="center" vertical="top" wrapText="1"/>
    </xf>
    <xf numFmtId="3" fontId="2" fillId="0" borderId="56" xfId="0" applyNumberFormat="1" applyFont="1" applyBorder="1" applyAlignment="1">
      <alignment horizontal="center" vertical="top" wrapText="1"/>
    </xf>
    <xf numFmtId="3" fontId="2" fillId="0" borderId="26" xfId="0" applyNumberFormat="1" applyFont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top" wrapText="1"/>
    </xf>
    <xf numFmtId="3" fontId="2" fillId="0" borderId="43" xfId="0" applyNumberFormat="1" applyFont="1" applyFill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13" fillId="4" borderId="52" xfId="0" applyNumberFormat="1" applyFont="1" applyFill="1" applyBorder="1" applyAlignment="1">
      <alignment horizontal="center" vertical="top" wrapText="1"/>
    </xf>
    <xf numFmtId="3" fontId="13" fillId="4" borderId="36" xfId="0" applyNumberFormat="1" applyFont="1" applyFill="1" applyBorder="1" applyAlignment="1">
      <alignment horizontal="center" vertical="top" wrapText="1"/>
    </xf>
    <xf numFmtId="3" fontId="13" fillId="4" borderId="70" xfId="0" applyNumberFormat="1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13" fillId="0" borderId="13" xfId="0" applyNumberFormat="1" applyFont="1" applyFill="1" applyBorder="1" applyAlignment="1">
      <alignment horizontal="center" vertical="top" textRotation="90" wrapText="1"/>
    </xf>
    <xf numFmtId="3" fontId="2" fillId="3" borderId="10" xfId="0" applyNumberFormat="1" applyFont="1" applyFill="1" applyBorder="1" applyAlignment="1">
      <alignment horizontal="center" vertical="top" wrapText="1"/>
    </xf>
    <xf numFmtId="3" fontId="2" fillId="3" borderId="8" xfId="0" applyNumberFormat="1" applyFont="1" applyFill="1" applyBorder="1" applyAlignment="1">
      <alignment horizontal="center" vertical="top" wrapText="1"/>
    </xf>
    <xf numFmtId="3" fontId="2" fillId="3" borderId="52" xfId="0" applyNumberFormat="1" applyFont="1" applyFill="1" applyBorder="1" applyAlignment="1">
      <alignment horizontal="left" vertical="top" wrapText="1"/>
    </xf>
    <xf numFmtId="3" fontId="2" fillId="3" borderId="18" xfId="0" applyNumberFormat="1" applyFont="1" applyFill="1" applyBorder="1" applyAlignment="1">
      <alignment horizontal="left" vertical="top" wrapText="1"/>
    </xf>
    <xf numFmtId="3" fontId="2" fillId="3" borderId="38" xfId="0" applyNumberFormat="1" applyFont="1" applyFill="1" applyBorder="1" applyAlignment="1">
      <alignment horizontal="left" vertical="top" wrapText="1"/>
    </xf>
    <xf numFmtId="3" fontId="13" fillId="0" borderId="18" xfId="0" applyNumberFormat="1" applyFont="1" applyFill="1" applyBorder="1" applyAlignment="1">
      <alignment horizontal="center" vertical="top" textRotation="90" wrapText="1"/>
    </xf>
    <xf numFmtId="3" fontId="13" fillId="0" borderId="19" xfId="0" applyNumberFormat="1" applyFont="1" applyFill="1" applyBorder="1" applyAlignment="1">
      <alignment horizontal="center" vertical="top" textRotation="90" wrapText="1"/>
    </xf>
    <xf numFmtId="3" fontId="2" fillId="4" borderId="16" xfId="0" applyNumberFormat="1" applyFont="1" applyFill="1" applyBorder="1" applyAlignment="1">
      <alignment horizontal="left" vertical="top" wrapText="1"/>
    </xf>
    <xf numFmtId="3" fontId="2" fillId="4" borderId="2" xfId="0" applyNumberFormat="1" applyFont="1" applyFill="1" applyBorder="1" applyAlignment="1">
      <alignment horizontal="left" vertical="top" wrapText="1"/>
    </xf>
    <xf numFmtId="3" fontId="2" fillId="0" borderId="8" xfId="0" applyNumberFormat="1" applyFont="1" applyFill="1" applyBorder="1" applyAlignment="1">
      <alignment horizontal="center" vertical="top" wrapText="1"/>
    </xf>
    <xf numFmtId="3" fontId="13" fillId="4" borderId="30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/>
    </xf>
    <xf numFmtId="3" fontId="2" fillId="4" borderId="6" xfId="0" applyNumberFormat="1" applyFont="1" applyFill="1" applyBorder="1" applyAlignment="1">
      <alignment horizontal="center" vertical="top"/>
    </xf>
    <xf numFmtId="49" fontId="2" fillId="3" borderId="52" xfId="0" applyNumberFormat="1" applyFont="1" applyFill="1" applyBorder="1" applyAlignment="1">
      <alignment horizontal="center" vertical="top" wrapText="1"/>
    </xf>
    <xf numFmtId="49" fontId="2" fillId="3" borderId="38" xfId="0" applyNumberFormat="1" applyFont="1" applyFill="1" applyBorder="1" applyAlignment="1">
      <alignment horizontal="center" vertical="top" wrapText="1"/>
    </xf>
    <xf numFmtId="3" fontId="2" fillId="4" borderId="52" xfId="0" applyNumberFormat="1" applyFont="1" applyFill="1" applyBorder="1" applyAlignment="1">
      <alignment vertical="top" wrapText="1"/>
    </xf>
    <xf numFmtId="3" fontId="2" fillId="4" borderId="18" xfId="0" applyNumberFormat="1" applyFont="1" applyFill="1" applyBorder="1" applyAlignment="1">
      <alignment vertical="top" wrapText="1"/>
    </xf>
    <xf numFmtId="3" fontId="2" fillId="4" borderId="38" xfId="0" applyNumberFormat="1" applyFont="1" applyFill="1" applyBorder="1" applyAlignment="1">
      <alignment vertical="top" wrapText="1"/>
    </xf>
    <xf numFmtId="49" fontId="2" fillId="3" borderId="52" xfId="0" applyNumberFormat="1" applyFont="1" applyFill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/>
    </xf>
    <xf numFmtId="3" fontId="3" fillId="2" borderId="47" xfId="0" applyNumberFormat="1" applyFont="1" applyFill="1" applyBorder="1" applyAlignment="1">
      <alignment horizontal="center" vertical="top" wrapText="1"/>
    </xf>
    <xf numFmtId="3" fontId="3" fillId="2" borderId="61" xfId="0" applyNumberFormat="1" applyFont="1" applyFill="1" applyBorder="1" applyAlignment="1">
      <alignment horizontal="center" vertical="top" wrapText="1"/>
    </xf>
    <xf numFmtId="3" fontId="2" fillId="4" borderId="56" xfId="0" applyNumberFormat="1" applyFont="1" applyFill="1" applyBorder="1" applyAlignment="1">
      <alignment horizontal="center" vertical="top"/>
    </xf>
    <xf numFmtId="3" fontId="2" fillId="4" borderId="54" xfId="0" applyNumberFormat="1" applyFont="1" applyFill="1" applyBorder="1" applyAlignment="1">
      <alignment horizontal="center" vertical="top"/>
    </xf>
    <xf numFmtId="3" fontId="2" fillId="4" borderId="18" xfId="0" applyNumberFormat="1" applyFont="1" applyFill="1" applyBorder="1" applyAlignment="1">
      <alignment horizontal="center" vertical="top"/>
    </xf>
    <xf numFmtId="3" fontId="2" fillId="4" borderId="19" xfId="0" applyNumberFormat="1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center" vertical="top" wrapText="1"/>
    </xf>
    <xf numFmtId="0" fontId="2" fillId="4" borderId="56" xfId="0" applyNumberFormat="1" applyFont="1" applyFill="1" applyBorder="1" applyAlignment="1">
      <alignment horizontal="center" vertical="top"/>
    </xf>
    <xf numFmtId="164" fontId="2" fillId="4" borderId="80" xfId="0" applyNumberFormat="1" applyFont="1" applyFill="1" applyBorder="1" applyAlignment="1">
      <alignment horizontal="center" vertical="top"/>
    </xf>
    <xf numFmtId="164" fontId="2" fillId="4" borderId="46" xfId="0" applyNumberFormat="1" applyFont="1" applyFill="1" applyBorder="1" applyAlignment="1">
      <alignment horizontal="center" vertical="top"/>
    </xf>
    <xf numFmtId="3" fontId="2" fillId="4" borderId="18" xfId="0" applyNumberFormat="1" applyFont="1" applyFill="1" applyBorder="1" applyAlignment="1">
      <alignment horizontal="center" vertical="top"/>
    </xf>
    <xf numFmtId="49" fontId="2" fillId="3" borderId="52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3" fontId="2" fillId="0" borderId="18" xfId="0" applyNumberFormat="1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3" fontId="2" fillId="0" borderId="42" xfId="0" applyNumberFormat="1" applyFont="1" applyBorder="1" applyAlignment="1">
      <alignment horizontal="center" vertical="top" wrapText="1"/>
    </xf>
    <xf numFmtId="49" fontId="2" fillId="3" borderId="52" xfId="0" applyNumberFormat="1" applyFont="1" applyFill="1" applyBorder="1" applyAlignment="1">
      <alignment horizontal="center" vertical="top" wrapText="1"/>
    </xf>
    <xf numFmtId="49" fontId="2" fillId="3" borderId="18" xfId="0" applyNumberFormat="1" applyFont="1" applyFill="1" applyBorder="1" applyAlignment="1">
      <alignment horizontal="center" vertical="top" wrapText="1"/>
    </xf>
    <xf numFmtId="49" fontId="2" fillId="3" borderId="38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0" fontId="2" fillId="4" borderId="87" xfId="2" applyNumberFormat="1" applyFont="1" applyFill="1" applyBorder="1" applyAlignment="1">
      <alignment horizontal="center" vertical="top"/>
    </xf>
    <xf numFmtId="164" fontId="2" fillId="4" borderId="32" xfId="2" applyNumberFormat="1" applyFont="1" applyFill="1" applyBorder="1" applyAlignment="1">
      <alignment horizontal="center" vertical="top"/>
    </xf>
    <xf numFmtId="164" fontId="2" fillId="4" borderId="52" xfId="2" applyNumberFormat="1" applyFont="1" applyFill="1" applyBorder="1" applyAlignment="1">
      <alignment horizontal="center" vertical="top"/>
    </xf>
    <xf numFmtId="167" fontId="2" fillId="9" borderId="79" xfId="2" applyNumberFormat="1" applyFont="1" applyFill="1" applyBorder="1" applyAlignment="1">
      <alignment vertical="top" wrapText="1"/>
    </xf>
    <xf numFmtId="3" fontId="12" fillId="4" borderId="0" xfId="0" applyNumberFormat="1" applyFont="1" applyFill="1" applyBorder="1" applyAlignment="1">
      <alignment horizontal="center" vertical="top" wrapText="1"/>
    </xf>
    <xf numFmtId="0" fontId="2" fillId="4" borderId="88" xfId="2" applyNumberFormat="1" applyFont="1" applyFill="1" applyBorder="1" applyAlignment="1">
      <alignment horizontal="center" vertical="top"/>
    </xf>
    <xf numFmtId="164" fontId="2" fillId="12" borderId="5" xfId="2" applyNumberFormat="1" applyFont="1" applyFill="1" applyBorder="1" applyAlignment="1">
      <alignment horizontal="center" vertical="top"/>
    </xf>
    <xf numFmtId="164" fontId="2" fillId="12" borderId="46" xfId="2" applyNumberFormat="1" applyFont="1" applyFill="1" applyBorder="1" applyAlignment="1">
      <alignment horizontal="center" vertical="top"/>
    </xf>
    <xf numFmtId="164" fontId="2" fillId="12" borderId="15" xfId="2" applyNumberFormat="1" applyFont="1" applyFill="1" applyBorder="1" applyAlignment="1">
      <alignment horizontal="center" vertical="top"/>
    </xf>
    <xf numFmtId="164" fontId="2" fillId="4" borderId="101" xfId="0" applyNumberFormat="1" applyFont="1" applyFill="1" applyBorder="1" applyAlignment="1">
      <alignment horizontal="center" vertical="top"/>
    </xf>
    <xf numFmtId="164" fontId="2" fillId="4" borderId="73" xfId="0" applyNumberFormat="1" applyFont="1" applyFill="1" applyBorder="1" applyAlignment="1">
      <alignment horizontal="center" vertical="top"/>
    </xf>
    <xf numFmtId="49" fontId="2" fillId="4" borderId="56" xfId="2" applyNumberFormat="1" applyFont="1" applyFill="1" applyBorder="1" applyAlignment="1">
      <alignment horizontal="center" vertical="top"/>
    </xf>
    <xf numFmtId="3" fontId="2" fillId="4" borderId="54" xfId="0" applyNumberFormat="1" applyFont="1" applyFill="1" applyBorder="1" applyAlignment="1">
      <alignment vertical="top" wrapText="1"/>
    </xf>
    <xf numFmtId="49" fontId="2" fillId="3" borderId="18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vertical="top" wrapText="1"/>
    </xf>
    <xf numFmtId="3" fontId="2" fillId="4" borderId="6" xfId="0" applyNumberFormat="1" applyFont="1" applyFill="1" applyBorder="1" applyAlignment="1">
      <alignment horizontal="left" vertical="top" wrapText="1"/>
    </xf>
    <xf numFmtId="3" fontId="2" fillId="4" borderId="43" xfId="0" applyNumberFormat="1" applyFont="1" applyFill="1" applyBorder="1" applyAlignment="1">
      <alignment horizontal="left" vertical="top" wrapText="1"/>
    </xf>
    <xf numFmtId="3" fontId="2" fillId="4" borderId="8" xfId="0" applyNumberFormat="1" applyFont="1" applyFill="1" applyBorder="1" applyAlignment="1">
      <alignment horizontal="left" vertical="top" wrapText="1"/>
    </xf>
    <xf numFmtId="3" fontId="2" fillId="4" borderId="5" xfId="0" applyNumberFormat="1" applyFont="1" applyFill="1" applyBorder="1" applyAlignment="1">
      <alignment horizontal="left" vertical="top" wrapText="1"/>
    </xf>
    <xf numFmtId="3" fontId="2" fillId="4" borderId="56" xfId="0" applyNumberFormat="1" applyFont="1" applyFill="1" applyBorder="1" applyAlignment="1">
      <alignment horizontal="center" vertical="top"/>
    </xf>
    <xf numFmtId="3" fontId="2" fillId="4" borderId="2" xfId="0" applyNumberFormat="1" applyFont="1" applyFill="1" applyBorder="1" applyAlignment="1">
      <alignment horizontal="left" vertical="top" wrapText="1"/>
    </xf>
    <xf numFmtId="167" fontId="2" fillId="11" borderId="53" xfId="2" applyNumberFormat="1" applyFont="1" applyFill="1" applyBorder="1" applyAlignment="1">
      <alignment horizontal="left" vertical="top" wrapText="1"/>
    </xf>
    <xf numFmtId="167" fontId="2" fillId="9" borderId="53" xfId="2" applyNumberFormat="1" applyFont="1" applyFill="1" applyBorder="1" applyAlignment="1">
      <alignment horizontal="left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3" fontId="2" fillId="4" borderId="43" xfId="0" applyNumberFormat="1" applyFont="1" applyFill="1" applyBorder="1" applyAlignment="1">
      <alignment horizontal="center" vertical="top" wrapText="1"/>
    </xf>
    <xf numFmtId="3" fontId="2" fillId="4" borderId="10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center" vertical="top" wrapText="1"/>
    </xf>
    <xf numFmtId="3" fontId="2" fillId="4" borderId="19" xfId="0" applyNumberFormat="1" applyFont="1" applyFill="1" applyBorder="1" applyAlignment="1">
      <alignment horizontal="center" vertical="top" wrapText="1"/>
    </xf>
    <xf numFmtId="167" fontId="2" fillId="9" borderId="17" xfId="2" applyNumberFormat="1" applyFont="1" applyFill="1" applyBorder="1" applyAlignment="1">
      <alignment horizontal="left" vertical="top" wrapText="1"/>
    </xf>
    <xf numFmtId="3" fontId="2" fillId="4" borderId="10" xfId="0" applyNumberFormat="1" applyFont="1" applyFill="1" applyBorder="1" applyAlignment="1">
      <alignment horizontal="left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3" fontId="2" fillId="4" borderId="0" xfId="0" applyNumberFormat="1" applyFont="1" applyFill="1" applyBorder="1" applyAlignment="1">
      <alignment horizontal="left" vertical="top" wrapText="1"/>
    </xf>
    <xf numFmtId="3" fontId="2" fillId="4" borderId="0" xfId="0" applyNumberFormat="1" applyFont="1" applyFill="1" applyAlignment="1">
      <alignment wrapText="1"/>
    </xf>
    <xf numFmtId="3" fontId="8" fillId="4" borderId="17" xfId="0" applyNumberFormat="1" applyFont="1" applyFill="1" applyBorder="1" applyAlignment="1">
      <alignment horizontal="center" vertical="top" wrapText="1"/>
    </xf>
    <xf numFmtId="3" fontId="8" fillId="4" borderId="8" xfId="0" applyNumberFormat="1" applyFont="1" applyFill="1" applyBorder="1" applyAlignment="1">
      <alignment horizontal="center" vertical="top" wrapText="1"/>
    </xf>
    <xf numFmtId="3" fontId="8" fillId="4" borderId="0" xfId="0" applyNumberFormat="1" applyFont="1" applyFill="1" applyBorder="1" applyAlignment="1">
      <alignment horizontal="center" vertical="top" wrapText="1"/>
    </xf>
    <xf numFmtId="3" fontId="8" fillId="4" borderId="18" xfId="0" applyNumberFormat="1" applyFont="1" applyFill="1" applyBorder="1" applyAlignment="1">
      <alignment horizontal="center" vertical="top" wrapText="1"/>
    </xf>
    <xf numFmtId="3" fontId="8" fillId="4" borderId="7" xfId="0" applyNumberFormat="1" applyFont="1" applyFill="1" applyBorder="1" applyAlignment="1">
      <alignment horizontal="center" vertical="top" wrapText="1"/>
    </xf>
    <xf numFmtId="164" fontId="2" fillId="4" borderId="57" xfId="2" applyNumberFormat="1" applyFont="1" applyFill="1" applyBorder="1" applyAlignment="1">
      <alignment horizontal="center" vertical="top"/>
    </xf>
    <xf numFmtId="167" fontId="2" fillId="9" borderId="27" xfId="2" applyNumberFormat="1" applyFont="1" applyFill="1" applyBorder="1" applyAlignment="1">
      <alignment horizontal="center" vertical="top"/>
    </xf>
    <xf numFmtId="164" fontId="2" fillId="4" borderId="56" xfId="2" applyNumberFormat="1" applyFont="1" applyFill="1" applyBorder="1" applyAlignment="1">
      <alignment horizontal="center" vertical="top"/>
    </xf>
    <xf numFmtId="167" fontId="2" fillId="11" borderId="87" xfId="2" applyNumberFormat="1" applyFont="1" applyFill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3" fontId="2" fillId="4" borderId="54" xfId="0" applyNumberFormat="1" applyFont="1" applyFill="1" applyBorder="1" applyAlignment="1">
      <alignment horizontal="left" vertical="top" wrapText="1"/>
    </xf>
    <xf numFmtId="167" fontId="2" fillId="9" borderId="32" xfId="2" applyNumberFormat="1" applyFont="1" applyFill="1" applyBorder="1" applyAlignment="1">
      <alignment horizontal="center" vertical="top"/>
    </xf>
    <xf numFmtId="167" fontId="2" fillId="9" borderId="69" xfId="2" applyNumberFormat="1" applyFont="1" applyFill="1" applyBorder="1" applyAlignment="1">
      <alignment horizontal="center" vertical="top"/>
    </xf>
    <xf numFmtId="49" fontId="2" fillId="4" borderId="54" xfId="2" applyNumberFormat="1" applyFont="1" applyFill="1" applyBorder="1" applyAlignment="1">
      <alignment horizontal="center" vertical="top"/>
    </xf>
    <xf numFmtId="164" fontId="2" fillId="12" borderId="54" xfId="2" applyNumberFormat="1" applyFont="1" applyFill="1" applyBorder="1" applyAlignment="1">
      <alignment horizontal="center" vertical="top"/>
    </xf>
    <xf numFmtId="3" fontId="2" fillId="4" borderId="6" xfId="0" applyNumberFormat="1" applyFont="1" applyFill="1" applyBorder="1" applyAlignment="1">
      <alignment horizontal="left" vertical="top" wrapText="1"/>
    </xf>
    <xf numFmtId="3" fontId="2" fillId="4" borderId="2" xfId="0" applyNumberFormat="1" applyFont="1" applyFill="1" applyBorder="1" applyAlignment="1">
      <alignment horizontal="left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0" fontId="2" fillId="4" borderId="53" xfId="0" applyFont="1" applyFill="1" applyBorder="1" applyAlignment="1">
      <alignment horizontal="left" vertical="top" wrapText="1"/>
    </xf>
    <xf numFmtId="164" fontId="2" fillId="4" borderId="70" xfId="0" applyNumberFormat="1" applyFont="1" applyFill="1" applyBorder="1" applyAlignment="1">
      <alignment horizontal="center" vertical="top" wrapText="1"/>
    </xf>
    <xf numFmtId="164" fontId="2" fillId="4" borderId="70" xfId="0" applyNumberFormat="1" applyFont="1" applyFill="1" applyBorder="1" applyAlignment="1">
      <alignment vertical="top" wrapText="1"/>
    </xf>
    <xf numFmtId="164" fontId="2" fillId="4" borderId="7" xfId="0" applyNumberFormat="1" applyFont="1" applyFill="1" applyBorder="1" applyAlignment="1">
      <alignment vertical="top" wrapText="1"/>
    </xf>
    <xf numFmtId="164" fontId="2" fillId="4" borderId="20" xfId="0" applyNumberFormat="1" applyFont="1" applyFill="1" applyBorder="1" applyAlignment="1">
      <alignment horizontal="center" vertical="top" wrapText="1"/>
    </xf>
    <xf numFmtId="3" fontId="2" fillId="4" borderId="42" xfId="0" applyNumberFormat="1" applyFont="1" applyFill="1" applyBorder="1" applyAlignment="1">
      <alignment horizontal="center" vertical="top" wrapText="1"/>
    </xf>
    <xf numFmtId="164" fontId="2" fillId="4" borderId="102" xfId="0" applyNumberFormat="1" applyFont="1" applyFill="1" applyBorder="1" applyAlignment="1">
      <alignment horizontal="center" vertical="top" wrapText="1"/>
    </xf>
    <xf numFmtId="165" fontId="17" fillId="4" borderId="0" xfId="0" applyNumberFormat="1" applyFont="1" applyFill="1" applyBorder="1" applyAlignment="1">
      <alignment horizontal="center" vertical="top" wrapText="1"/>
    </xf>
    <xf numFmtId="3" fontId="17" fillId="4" borderId="0" xfId="0" applyNumberFormat="1" applyFont="1" applyFill="1" applyBorder="1" applyAlignment="1">
      <alignment vertical="top" wrapText="1"/>
    </xf>
    <xf numFmtId="164" fontId="2" fillId="7" borderId="63" xfId="0" applyNumberFormat="1" applyFont="1" applyFill="1" applyBorder="1" applyAlignment="1">
      <alignment horizontal="center" vertical="top" wrapText="1"/>
    </xf>
    <xf numFmtId="164" fontId="2" fillId="7" borderId="29" xfId="0" applyNumberFormat="1" applyFont="1" applyFill="1" applyBorder="1" applyAlignment="1">
      <alignment horizontal="center" vertical="top" wrapText="1"/>
    </xf>
    <xf numFmtId="164" fontId="2" fillId="7" borderId="62" xfId="0" applyNumberFormat="1" applyFont="1" applyFill="1" applyBorder="1" applyAlignment="1">
      <alignment horizontal="center" vertical="top" wrapText="1"/>
    </xf>
    <xf numFmtId="3" fontId="2" fillId="0" borderId="39" xfId="0" applyNumberFormat="1" applyFont="1" applyBorder="1" applyAlignment="1">
      <alignment horizontal="right" wrapText="1"/>
    </xf>
    <xf numFmtId="164" fontId="2" fillId="10" borderId="54" xfId="0" applyNumberFormat="1" applyFont="1" applyFill="1" applyBorder="1" applyAlignment="1">
      <alignment horizontal="center" vertical="center"/>
    </xf>
    <xf numFmtId="164" fontId="2" fillId="10" borderId="38" xfId="0" applyNumberFormat="1" applyFont="1" applyFill="1" applyBorder="1" applyAlignment="1">
      <alignment horizontal="center" vertical="center"/>
    </xf>
    <xf numFmtId="164" fontId="2" fillId="10" borderId="50" xfId="0" applyNumberFormat="1" applyFont="1" applyFill="1" applyBorder="1" applyAlignment="1">
      <alignment horizontal="center" vertical="center"/>
    </xf>
    <xf numFmtId="164" fontId="2" fillId="10" borderId="57" xfId="0" applyNumberFormat="1" applyFont="1" applyFill="1" applyBorder="1" applyAlignment="1">
      <alignment horizontal="center" vertical="center" wrapText="1"/>
    </xf>
    <xf numFmtId="164" fontId="2" fillId="10" borderId="22" xfId="0" applyNumberFormat="1" applyFont="1" applyFill="1" applyBorder="1" applyAlignment="1">
      <alignment horizontal="center" vertical="top"/>
    </xf>
    <xf numFmtId="0" fontId="2" fillId="10" borderId="85" xfId="0" applyFont="1" applyFill="1" applyBorder="1" applyAlignment="1">
      <alignment horizontal="center" vertical="top"/>
    </xf>
    <xf numFmtId="164" fontId="2" fillId="10" borderId="63" xfId="0" applyNumberFormat="1" applyFont="1" applyFill="1" applyBorder="1" applyAlignment="1">
      <alignment horizontal="center" vertical="top"/>
    </xf>
    <xf numFmtId="164" fontId="2" fillId="10" borderId="9" xfId="0" applyNumberFormat="1" applyFont="1" applyFill="1" applyBorder="1" applyAlignment="1">
      <alignment horizontal="center" vertical="top"/>
    </xf>
    <xf numFmtId="164" fontId="2" fillId="10" borderId="57" xfId="0" applyNumberFormat="1" applyFont="1" applyFill="1" applyBorder="1" applyAlignment="1">
      <alignment horizontal="center" vertical="top" wrapText="1"/>
    </xf>
    <xf numFmtId="164" fontId="2" fillId="10" borderId="26" xfId="0" applyNumberFormat="1" applyFont="1" applyFill="1" applyBorder="1" applyAlignment="1">
      <alignment horizontal="center" vertical="top" wrapText="1"/>
    </xf>
    <xf numFmtId="3" fontId="3" fillId="2" borderId="47" xfId="0" applyNumberFormat="1" applyFont="1" applyFill="1" applyBorder="1" applyAlignment="1">
      <alignment horizontal="center" vertical="top" wrapText="1"/>
    </xf>
    <xf numFmtId="3" fontId="3" fillId="2" borderId="61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left" vertical="top" wrapText="1"/>
    </xf>
    <xf numFmtId="3" fontId="2" fillId="4" borderId="43" xfId="0" applyNumberFormat="1" applyFont="1" applyFill="1" applyBorder="1" applyAlignment="1">
      <alignment horizontal="left" vertical="top" wrapText="1"/>
    </xf>
    <xf numFmtId="3" fontId="2" fillId="4" borderId="8" xfId="0" applyNumberFormat="1" applyFont="1" applyFill="1" applyBorder="1" applyAlignment="1">
      <alignment horizontal="left" vertical="top" wrapText="1"/>
    </xf>
    <xf numFmtId="3" fontId="2" fillId="4" borderId="5" xfId="0" applyNumberFormat="1" applyFont="1" applyFill="1" applyBorder="1" applyAlignment="1">
      <alignment horizontal="left" vertical="top" wrapText="1"/>
    </xf>
    <xf numFmtId="3" fontId="2" fillId="3" borderId="52" xfId="0" applyNumberFormat="1" applyFont="1" applyFill="1" applyBorder="1" applyAlignment="1">
      <alignment horizontal="left" vertical="top" wrapText="1"/>
    </xf>
    <xf numFmtId="3" fontId="2" fillId="3" borderId="38" xfId="0" applyNumberFormat="1" applyFont="1" applyFill="1" applyBorder="1" applyAlignment="1">
      <alignment horizontal="left" vertical="top" wrapText="1"/>
    </xf>
    <xf numFmtId="3" fontId="2" fillId="4" borderId="56" xfId="0" applyNumberFormat="1" applyFont="1" applyFill="1" applyBorder="1" applyAlignment="1">
      <alignment horizontal="center" vertical="top"/>
    </xf>
    <xf numFmtId="3" fontId="2" fillId="4" borderId="42" xfId="0" applyNumberFormat="1" applyFont="1" applyFill="1" applyBorder="1" applyAlignment="1">
      <alignment horizontal="center" vertical="top"/>
    </xf>
    <xf numFmtId="3" fontId="2" fillId="4" borderId="54" xfId="0" applyNumberFormat="1" applyFont="1" applyFill="1" applyBorder="1" applyAlignment="1">
      <alignment horizontal="center" vertical="top"/>
    </xf>
    <xf numFmtId="3" fontId="2" fillId="4" borderId="18" xfId="0" applyNumberFormat="1" applyFont="1" applyFill="1" applyBorder="1" applyAlignment="1">
      <alignment horizontal="center" vertical="top"/>
    </xf>
    <xf numFmtId="3" fontId="2" fillId="4" borderId="19" xfId="0" applyNumberFormat="1" applyFont="1" applyFill="1" applyBorder="1" applyAlignment="1">
      <alignment horizontal="center" vertical="top"/>
    </xf>
    <xf numFmtId="49" fontId="2" fillId="3" borderId="52" xfId="0" applyNumberFormat="1" applyFont="1" applyFill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/>
    </xf>
    <xf numFmtId="3" fontId="2" fillId="0" borderId="8" xfId="0" applyNumberFormat="1" applyFont="1" applyFill="1" applyBorder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right" vertical="top" wrapText="1"/>
    </xf>
    <xf numFmtId="3" fontId="3" fillId="2" borderId="47" xfId="0" applyNumberFormat="1" applyFont="1" applyFill="1" applyBorder="1" applyAlignment="1">
      <alignment horizontal="right" vertical="top" wrapText="1"/>
    </xf>
    <xf numFmtId="3" fontId="3" fillId="2" borderId="14" xfId="0" applyNumberFormat="1" applyFont="1" applyFill="1" applyBorder="1" applyAlignment="1">
      <alignment horizontal="left" vertical="top" wrapText="1"/>
    </xf>
    <xf numFmtId="3" fontId="3" fillId="2" borderId="47" xfId="0" applyNumberFormat="1" applyFont="1" applyFill="1" applyBorder="1" applyAlignment="1">
      <alignment horizontal="left" vertical="top" wrapText="1"/>
    </xf>
    <xf numFmtId="3" fontId="3" fillId="2" borderId="61" xfId="0" applyNumberFormat="1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52" xfId="0" applyFont="1" applyFill="1" applyBorder="1" applyAlignment="1">
      <alignment horizontal="left" vertical="top" wrapText="1"/>
    </xf>
    <xf numFmtId="0" fontId="2" fillId="4" borderId="38" xfId="0" applyFont="1" applyFill="1" applyBorder="1" applyAlignment="1">
      <alignment horizontal="left" vertical="top" wrapText="1"/>
    </xf>
    <xf numFmtId="49" fontId="2" fillId="3" borderId="52" xfId="0" applyNumberFormat="1" applyFont="1" applyFill="1" applyBorder="1" applyAlignment="1">
      <alignment horizontal="center" vertical="top" wrapText="1"/>
    </xf>
    <xf numFmtId="49" fontId="2" fillId="3" borderId="18" xfId="0" applyNumberFormat="1" applyFont="1" applyFill="1" applyBorder="1" applyAlignment="1">
      <alignment horizontal="center" vertical="top" wrapText="1"/>
    </xf>
    <xf numFmtId="49" fontId="2" fillId="3" borderId="38" xfId="0" applyNumberFormat="1" applyFont="1" applyFill="1" applyBorder="1" applyAlignment="1">
      <alignment horizontal="center" vertical="top" wrapText="1"/>
    </xf>
    <xf numFmtId="3" fontId="2" fillId="3" borderId="6" xfId="0" applyNumberFormat="1" applyFont="1" applyFill="1" applyBorder="1" applyAlignment="1">
      <alignment horizontal="center" vertical="top" wrapText="1"/>
    </xf>
    <xf numFmtId="3" fontId="2" fillId="3" borderId="8" xfId="0" applyNumberFormat="1" applyFont="1" applyFill="1" applyBorder="1" applyAlignment="1">
      <alignment horizontal="center" vertical="top" wrapText="1"/>
    </xf>
    <xf numFmtId="3" fontId="2" fillId="4" borderId="52" xfId="0" applyNumberFormat="1" applyFont="1" applyFill="1" applyBorder="1" applyAlignment="1">
      <alignment horizontal="left" vertical="top" wrapText="1"/>
    </xf>
    <xf numFmtId="3" fontId="2" fillId="4" borderId="38" xfId="0" applyNumberFormat="1" applyFont="1" applyFill="1" applyBorder="1" applyAlignment="1">
      <alignment horizontal="left" vertical="top" wrapText="1"/>
    </xf>
    <xf numFmtId="3" fontId="2" fillId="4" borderId="2" xfId="0" applyNumberFormat="1" applyFont="1" applyFill="1" applyBorder="1" applyAlignment="1">
      <alignment horizontal="left" vertical="top" wrapText="1"/>
    </xf>
    <xf numFmtId="3" fontId="2" fillId="4" borderId="48" xfId="0" applyNumberFormat="1" applyFont="1" applyFill="1" applyBorder="1" applyAlignment="1">
      <alignment horizontal="left" vertical="top" wrapText="1"/>
    </xf>
    <xf numFmtId="3" fontId="2" fillId="0" borderId="43" xfId="0" applyNumberFormat="1" applyFont="1" applyFill="1" applyBorder="1" applyAlignment="1">
      <alignment horizontal="center" vertical="top" wrapText="1"/>
    </xf>
    <xf numFmtId="3" fontId="13" fillId="4" borderId="36" xfId="0" applyNumberFormat="1" applyFont="1" applyFill="1" applyBorder="1" applyAlignment="1">
      <alignment horizontal="center" vertical="top" wrapText="1"/>
    </xf>
    <xf numFmtId="3" fontId="13" fillId="4" borderId="30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/>
    </xf>
    <xf numFmtId="3" fontId="2" fillId="4" borderId="8" xfId="0" applyNumberFormat="1" applyFont="1" applyFill="1" applyBorder="1" applyAlignment="1">
      <alignment horizontal="center" vertical="top"/>
    </xf>
    <xf numFmtId="3" fontId="2" fillId="4" borderId="6" xfId="0" applyNumberFormat="1" applyFont="1" applyFill="1" applyBorder="1" applyAlignment="1">
      <alignment horizontal="center" vertical="top"/>
    </xf>
    <xf numFmtId="3" fontId="2" fillId="4" borderId="16" xfId="0" applyNumberFormat="1" applyFont="1" applyFill="1" applyBorder="1" applyAlignment="1">
      <alignment horizontal="left" vertical="top" wrapText="1"/>
    </xf>
    <xf numFmtId="3" fontId="2" fillId="4" borderId="49" xfId="0" applyNumberFormat="1" applyFont="1" applyFill="1" applyBorder="1" applyAlignment="1">
      <alignment horizontal="left" vertical="top" wrapText="1"/>
    </xf>
    <xf numFmtId="3" fontId="2" fillId="4" borderId="19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3" fontId="3" fillId="8" borderId="14" xfId="0" applyNumberFormat="1" applyFont="1" applyFill="1" applyBorder="1" applyAlignment="1">
      <alignment horizontal="right" vertical="top" wrapText="1"/>
    </xf>
    <xf numFmtId="3" fontId="3" fillId="8" borderId="47" xfId="0" applyNumberFormat="1" applyFont="1" applyFill="1" applyBorder="1" applyAlignment="1">
      <alignment horizontal="right" vertical="top" wrapText="1"/>
    </xf>
    <xf numFmtId="3" fontId="3" fillId="7" borderId="14" xfId="0" applyNumberFormat="1" applyFont="1" applyFill="1" applyBorder="1" applyAlignment="1">
      <alignment horizontal="right" vertical="top" wrapText="1"/>
    </xf>
    <xf numFmtId="3" fontId="3" fillId="7" borderId="47" xfId="0" applyNumberFormat="1" applyFont="1" applyFill="1" applyBorder="1" applyAlignment="1">
      <alignment horizontal="right" vertical="top" wrapText="1"/>
    </xf>
    <xf numFmtId="3" fontId="2" fillId="0" borderId="6" xfId="0" applyNumberFormat="1" applyFont="1" applyFill="1" applyBorder="1" applyAlignment="1">
      <alignment horizontal="center" vertical="top" wrapText="1"/>
    </xf>
    <xf numFmtId="49" fontId="3" fillId="8" borderId="17" xfId="0" applyNumberFormat="1" applyFont="1" applyFill="1" applyBorder="1" applyAlignment="1">
      <alignment horizontal="center" vertical="top"/>
    </xf>
    <xf numFmtId="49" fontId="3" fillId="8" borderId="49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167" fontId="2" fillId="11" borderId="53" xfId="2" applyNumberFormat="1" applyFont="1" applyFill="1" applyBorder="1" applyAlignment="1">
      <alignment horizontal="left" vertical="top" wrapText="1"/>
    </xf>
    <xf numFmtId="167" fontId="2" fillId="11" borderId="17" xfId="2" applyNumberFormat="1" applyFont="1" applyFill="1" applyBorder="1" applyAlignment="1">
      <alignment horizontal="left" vertical="top" wrapText="1"/>
    </xf>
    <xf numFmtId="167" fontId="2" fillId="9" borderId="53" xfId="2" applyNumberFormat="1" applyFont="1" applyFill="1" applyBorder="1" applyAlignment="1">
      <alignment horizontal="left" vertical="top" wrapText="1"/>
    </xf>
    <xf numFmtId="167" fontId="2" fillId="9" borderId="54" xfId="2" applyNumberFormat="1" applyFont="1" applyFill="1" applyBorder="1" applyAlignment="1">
      <alignment horizontal="left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3" fontId="13" fillId="4" borderId="52" xfId="0" applyNumberFormat="1" applyFont="1" applyFill="1" applyBorder="1" applyAlignment="1">
      <alignment horizontal="center" vertical="top" wrapText="1"/>
    </xf>
    <xf numFmtId="3" fontId="13" fillId="4" borderId="18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13" fillId="0" borderId="13" xfId="0" applyNumberFormat="1" applyFont="1" applyFill="1" applyBorder="1" applyAlignment="1">
      <alignment horizontal="center" vertical="top" textRotation="90" wrapText="1"/>
    </xf>
    <xf numFmtId="3" fontId="13" fillId="0" borderId="38" xfId="0" applyNumberFormat="1" applyFont="1" applyFill="1" applyBorder="1" applyAlignment="1">
      <alignment horizontal="center" vertical="top" textRotation="90" wrapText="1"/>
    </xf>
    <xf numFmtId="3" fontId="2" fillId="3" borderId="10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left" vertical="top" wrapText="1"/>
    </xf>
    <xf numFmtId="3" fontId="3" fillId="3" borderId="13" xfId="0" applyNumberFormat="1" applyFont="1" applyFill="1" applyBorder="1" applyAlignment="1">
      <alignment horizontal="left" vertical="top" wrapText="1"/>
    </xf>
    <xf numFmtId="3" fontId="3" fillId="3" borderId="18" xfId="0" applyNumberFormat="1" applyFont="1" applyFill="1" applyBorder="1" applyAlignment="1">
      <alignment horizontal="left" vertical="top" wrapText="1"/>
    </xf>
    <xf numFmtId="3" fontId="2" fillId="3" borderId="18" xfId="0" applyNumberFormat="1" applyFont="1" applyFill="1" applyBorder="1" applyAlignment="1">
      <alignment horizontal="left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left" vertical="top" wrapText="1"/>
    </xf>
    <xf numFmtId="3" fontId="3" fillId="2" borderId="59" xfId="0" applyNumberFormat="1" applyFont="1" applyFill="1" applyBorder="1" applyAlignment="1">
      <alignment horizontal="right" vertical="top" wrapText="1"/>
    </xf>
    <xf numFmtId="3" fontId="3" fillId="2" borderId="39" xfId="0" applyNumberFormat="1" applyFont="1" applyFill="1" applyBorder="1" applyAlignment="1">
      <alignment horizontal="right" vertical="top" wrapText="1"/>
    </xf>
    <xf numFmtId="3" fontId="13" fillId="0" borderId="18" xfId="0" applyNumberFormat="1" applyFont="1" applyFill="1" applyBorder="1" applyAlignment="1">
      <alignment horizontal="center" vertical="top" textRotation="90" wrapText="1"/>
    </xf>
    <xf numFmtId="3" fontId="13" fillId="0" borderId="19" xfId="0" applyNumberFormat="1" applyFont="1" applyFill="1" applyBorder="1" applyAlignment="1">
      <alignment horizontal="center" vertical="top" textRotation="90" wrapText="1"/>
    </xf>
    <xf numFmtId="0" fontId="2" fillId="4" borderId="53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3" fontId="2" fillId="4" borderId="43" xfId="0" applyNumberFormat="1" applyFont="1" applyFill="1" applyBorder="1" applyAlignment="1">
      <alignment horizontal="center" vertical="top" wrapText="1"/>
    </xf>
    <xf numFmtId="0" fontId="2" fillId="4" borderId="54" xfId="0" applyFont="1" applyFill="1" applyBorder="1" applyAlignment="1">
      <alignment horizontal="left" vertical="top" wrapText="1"/>
    </xf>
    <xf numFmtId="3" fontId="2" fillId="4" borderId="52" xfId="0" applyNumberFormat="1" applyFont="1" applyFill="1" applyBorder="1" applyAlignment="1">
      <alignment vertical="top" wrapText="1"/>
    </xf>
    <xf numFmtId="3" fontId="2" fillId="4" borderId="18" xfId="0" applyNumberFormat="1" applyFont="1" applyFill="1" applyBorder="1" applyAlignment="1">
      <alignment vertical="top" wrapText="1"/>
    </xf>
    <xf numFmtId="3" fontId="2" fillId="4" borderId="38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top" wrapText="1"/>
    </xf>
    <xf numFmtId="11" fontId="2" fillId="0" borderId="22" xfId="0" applyNumberFormat="1" applyFont="1" applyBorder="1" applyAlignment="1">
      <alignment horizontal="center" vertical="center" textRotation="90" wrapText="1"/>
    </xf>
    <xf numFmtId="11" fontId="2" fillId="0" borderId="37" xfId="0" applyNumberFormat="1" applyFont="1" applyBorder="1" applyAlignment="1">
      <alignment horizontal="center" vertical="center" textRotation="90" wrapText="1"/>
    </xf>
    <xf numFmtId="11" fontId="2" fillId="0" borderId="20" xfId="0" applyNumberFormat="1" applyFont="1" applyBorder="1" applyAlignment="1">
      <alignment horizontal="center" vertical="center" textRotation="90" wrapText="1"/>
    </xf>
    <xf numFmtId="11" fontId="2" fillId="0" borderId="13" xfId="0" applyNumberFormat="1" applyFont="1" applyBorder="1" applyAlignment="1">
      <alignment horizontal="center" vertical="center" textRotation="90" wrapText="1"/>
    </xf>
    <xf numFmtId="11" fontId="2" fillId="0" borderId="18" xfId="0" applyNumberFormat="1" applyFont="1" applyBorder="1" applyAlignment="1">
      <alignment horizontal="center" vertical="center" textRotation="90" wrapText="1"/>
    </xf>
    <xf numFmtId="11" fontId="2" fillId="0" borderId="19" xfId="0" applyNumberFormat="1" applyFont="1" applyBorder="1" applyAlignment="1">
      <alignment horizontal="center" vertical="center" textRotation="90" wrapText="1"/>
    </xf>
    <xf numFmtId="3" fontId="11" fillId="4" borderId="52" xfId="0" applyNumberFormat="1" applyFont="1" applyFill="1" applyBorder="1" applyAlignment="1">
      <alignment horizontal="left" vertical="top" wrapText="1"/>
    </xf>
    <xf numFmtId="3" fontId="11" fillId="4" borderId="38" xfId="0" applyNumberFormat="1" applyFont="1" applyFill="1" applyBorder="1" applyAlignment="1">
      <alignment horizontal="left" vertical="top" wrapText="1"/>
    </xf>
    <xf numFmtId="3" fontId="3" fillId="5" borderId="41" xfId="0" applyNumberFormat="1" applyFont="1" applyFill="1" applyBorder="1" applyAlignment="1">
      <alignment horizontal="right" vertical="top" wrapText="1"/>
    </xf>
    <xf numFmtId="3" fontId="3" fillId="5" borderId="40" xfId="0" applyNumberFormat="1" applyFont="1" applyFill="1" applyBorder="1" applyAlignment="1">
      <alignment horizontal="right" vertical="top" wrapText="1"/>
    </xf>
    <xf numFmtId="3" fontId="13" fillId="0" borderId="52" xfId="0" applyNumberFormat="1" applyFont="1" applyFill="1" applyBorder="1" applyAlignment="1">
      <alignment horizontal="center" vertical="center" textRotation="90" wrapText="1"/>
    </xf>
    <xf numFmtId="3" fontId="13" fillId="0" borderId="38" xfId="0" applyNumberFormat="1" applyFont="1" applyFill="1" applyBorder="1" applyAlignment="1">
      <alignment horizontal="center" vertical="center" textRotation="90" wrapText="1"/>
    </xf>
    <xf numFmtId="3" fontId="3" fillId="8" borderId="14" xfId="0" applyNumberFormat="1" applyFont="1" applyFill="1" applyBorder="1" applyAlignment="1">
      <alignment horizontal="left" vertical="top" wrapText="1"/>
    </xf>
    <xf numFmtId="3" fontId="3" fillId="8" borderId="47" xfId="0" applyNumberFormat="1" applyFont="1" applyFill="1" applyBorder="1" applyAlignment="1">
      <alignment horizontal="left" vertical="top" wrapText="1"/>
    </xf>
    <xf numFmtId="3" fontId="3" fillId="8" borderId="61" xfId="0" applyNumberFormat="1" applyFont="1" applyFill="1" applyBorder="1" applyAlignment="1">
      <alignment horizontal="left" vertical="top" wrapText="1"/>
    </xf>
    <xf numFmtId="3" fontId="3" fillId="10" borderId="13" xfId="0" quotePrefix="1" applyNumberFormat="1" applyFont="1" applyFill="1" applyBorder="1" applyAlignment="1">
      <alignment horizontal="center" vertical="top" wrapText="1"/>
    </xf>
    <xf numFmtId="3" fontId="3" fillId="10" borderId="18" xfId="0" quotePrefix="1" applyNumberFormat="1" applyFont="1" applyFill="1" applyBorder="1" applyAlignment="1">
      <alignment horizontal="center" vertical="top" wrapText="1"/>
    </xf>
    <xf numFmtId="3" fontId="3" fillId="10" borderId="19" xfId="0" quotePrefix="1" applyNumberFormat="1" applyFont="1" applyFill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" fontId="2" fillId="4" borderId="10" xfId="0" applyNumberFormat="1" applyFont="1" applyFill="1" applyBorder="1" applyAlignment="1">
      <alignment horizontal="center" vertical="top" wrapText="1"/>
    </xf>
    <xf numFmtId="3" fontId="3" fillId="4" borderId="52" xfId="0" applyNumberFormat="1" applyFont="1" applyFill="1" applyBorder="1" applyAlignment="1">
      <alignment horizontal="left" vertical="top" wrapText="1"/>
    </xf>
    <xf numFmtId="3" fontId="3" fillId="4" borderId="18" xfId="0" applyNumberFormat="1" applyFont="1" applyFill="1" applyBorder="1" applyAlignment="1">
      <alignment horizontal="left" vertical="top" wrapText="1"/>
    </xf>
    <xf numFmtId="49" fontId="2" fillId="4" borderId="52" xfId="0" applyNumberFormat="1" applyFont="1" applyFill="1" applyBorder="1" applyAlignment="1">
      <alignment horizontal="center" vertical="top" wrapText="1"/>
    </xf>
    <xf numFmtId="49" fontId="2" fillId="4" borderId="38" xfId="0" applyNumberFormat="1" applyFont="1" applyFill="1" applyBorder="1" applyAlignment="1">
      <alignment horizontal="center" vertical="top" wrapText="1"/>
    </xf>
    <xf numFmtId="3" fontId="2" fillId="0" borderId="39" xfId="0" applyNumberFormat="1" applyFont="1" applyBorder="1" applyAlignment="1">
      <alignment horizontal="right" wrapText="1"/>
    </xf>
    <xf numFmtId="3" fontId="2" fillId="0" borderId="6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12" fillId="0" borderId="35" xfId="0" applyNumberFormat="1" applyFont="1" applyBorder="1" applyAlignment="1">
      <alignment horizontal="center" vertical="center" textRotation="90" wrapText="1"/>
    </xf>
    <xf numFmtId="3" fontId="12" fillId="0" borderId="30" xfId="0" applyNumberFormat="1" applyFont="1" applyBorder="1" applyAlignment="1">
      <alignment horizontal="center" vertical="center" textRotation="90" wrapText="1"/>
    </xf>
    <xf numFmtId="3" fontId="12" fillId="0" borderId="21" xfId="0" applyNumberFormat="1" applyFont="1" applyBorder="1" applyAlignment="1">
      <alignment horizontal="center" vertical="center" textRotation="90" wrapText="1"/>
    </xf>
    <xf numFmtId="3" fontId="2" fillId="0" borderId="10" xfId="0" applyNumberFormat="1" applyFont="1" applyBorder="1" applyAlignment="1">
      <alignment horizontal="center" vertical="center" textRotation="90" wrapText="1"/>
    </xf>
    <xf numFmtId="3" fontId="2" fillId="0" borderId="8" xfId="0" applyNumberFormat="1" applyFont="1" applyBorder="1" applyAlignment="1">
      <alignment horizontal="center" vertical="center" textRotation="90" wrapText="1"/>
    </xf>
    <xf numFmtId="3" fontId="2" fillId="0" borderId="43" xfId="0" applyNumberFormat="1" applyFont="1" applyBorder="1" applyAlignment="1">
      <alignment horizontal="center" vertical="center" textRotation="90" wrapText="1"/>
    </xf>
    <xf numFmtId="3" fontId="2" fillId="4" borderId="13" xfId="0" applyNumberFormat="1" applyFont="1" applyFill="1" applyBorder="1" applyAlignment="1">
      <alignment horizontal="center" vertical="top" wrapText="1"/>
    </xf>
    <xf numFmtId="3" fontId="2" fillId="4" borderId="19" xfId="0" applyNumberFormat="1" applyFont="1" applyFill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horizontal="center" vertical="top" wrapText="1"/>
    </xf>
    <xf numFmtId="3" fontId="2" fillId="4" borderId="21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top" wrapText="1"/>
    </xf>
    <xf numFmtId="3" fontId="2" fillId="0" borderId="33" xfId="0" applyNumberFormat="1" applyFont="1" applyBorder="1" applyAlignment="1">
      <alignment horizontal="center" vertical="top" wrapText="1"/>
    </xf>
    <xf numFmtId="3" fontId="2" fillId="0" borderId="26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43" xfId="0" applyNumberFormat="1" applyFont="1" applyBorder="1" applyAlignment="1">
      <alignment horizontal="center" vertical="center" wrapText="1"/>
    </xf>
    <xf numFmtId="3" fontId="13" fillId="4" borderId="70" xfId="0" applyNumberFormat="1" applyFont="1" applyFill="1" applyBorder="1" applyAlignment="1">
      <alignment horizontal="center" vertical="top" wrapText="1"/>
    </xf>
    <xf numFmtId="3" fontId="3" fillId="5" borderId="42" xfId="0" applyNumberFormat="1" applyFont="1" applyFill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56" xfId="0" applyNumberFormat="1" applyFont="1" applyBorder="1" applyAlignment="1">
      <alignment vertical="top" wrapText="1"/>
    </xf>
    <xf numFmtId="3" fontId="2" fillId="0" borderId="33" xfId="0" applyNumberFormat="1" applyFont="1" applyBorder="1" applyAlignment="1">
      <alignment vertical="top" wrapText="1"/>
    </xf>
    <xf numFmtId="3" fontId="2" fillId="0" borderId="56" xfId="0" applyNumberFormat="1" applyFont="1" applyBorder="1" applyAlignment="1">
      <alignment horizontal="left" vertical="top" wrapText="1"/>
    </xf>
    <xf numFmtId="3" fontId="2" fillId="0" borderId="33" xfId="0" applyNumberFormat="1" applyFont="1" applyBorder="1" applyAlignment="1">
      <alignment horizontal="left" vertical="top" wrapText="1"/>
    </xf>
    <xf numFmtId="3" fontId="2" fillId="0" borderId="53" xfId="0" applyNumberFormat="1" applyFont="1" applyBorder="1" applyAlignment="1">
      <alignment horizontal="left" vertical="top" wrapText="1"/>
    </xf>
    <xf numFmtId="3" fontId="2" fillId="0" borderId="27" xfId="0" applyNumberFormat="1" applyFont="1" applyBorder="1" applyAlignment="1">
      <alignment horizontal="left" vertical="top" wrapText="1"/>
    </xf>
    <xf numFmtId="3" fontId="2" fillId="5" borderId="57" xfId="0" applyNumberFormat="1" applyFont="1" applyFill="1" applyBorder="1" applyAlignment="1">
      <alignment horizontal="left" vertical="top" wrapText="1"/>
    </xf>
    <xf numFmtId="3" fontId="2" fillId="5" borderId="45" xfId="0" applyNumberFormat="1" applyFont="1" applyFill="1" applyBorder="1" applyAlignment="1">
      <alignment horizontal="left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7" xfId="0" applyNumberFormat="1" applyFont="1" applyBorder="1" applyAlignment="1">
      <alignment horizontal="center" vertical="center" wrapText="1"/>
    </xf>
    <xf numFmtId="3" fontId="3" fillId="0" borderId="61" xfId="0" applyNumberFormat="1" applyFont="1" applyBorder="1" applyAlignment="1">
      <alignment horizontal="center" vertical="center" wrapText="1"/>
    </xf>
    <xf numFmtId="3" fontId="3" fillId="7" borderId="63" xfId="0" applyNumberFormat="1" applyFont="1" applyFill="1" applyBorder="1" applyAlignment="1">
      <alignment horizontal="right" vertical="top" wrapText="1"/>
    </xf>
    <xf numFmtId="3" fontId="3" fillId="7" borderId="51" xfId="0" applyNumberFormat="1" applyFont="1" applyFill="1" applyBorder="1" applyAlignment="1">
      <alignment horizontal="right" vertical="top" wrapText="1"/>
    </xf>
    <xf numFmtId="3" fontId="3" fillId="5" borderId="56" xfId="0" applyNumberFormat="1" applyFont="1" applyFill="1" applyBorder="1" applyAlignment="1">
      <alignment horizontal="right" vertical="top" wrapText="1"/>
    </xf>
    <xf numFmtId="3" fontId="3" fillId="5" borderId="33" xfId="0" applyNumberFormat="1" applyFont="1" applyFill="1" applyBorder="1" applyAlignment="1">
      <alignment horizontal="right" vertical="top" wrapText="1"/>
    </xf>
    <xf numFmtId="3" fontId="3" fillId="7" borderId="56" xfId="0" applyNumberFormat="1" applyFont="1" applyFill="1" applyBorder="1" applyAlignment="1">
      <alignment horizontal="right" vertical="top" wrapText="1"/>
    </xf>
    <xf numFmtId="3" fontId="3" fillId="7" borderId="33" xfId="0" applyNumberFormat="1" applyFont="1" applyFill="1" applyBorder="1" applyAlignment="1">
      <alignment horizontal="right" vertical="top" wrapText="1"/>
    </xf>
    <xf numFmtId="3" fontId="2" fillId="0" borderId="54" xfId="0" applyNumberFormat="1" applyFont="1" applyBorder="1" applyAlignment="1">
      <alignment horizontal="left" vertical="top" wrapText="1"/>
    </xf>
    <xf numFmtId="3" fontId="2" fillId="0" borderId="50" xfId="0" applyNumberFormat="1" applyFont="1" applyBorder="1" applyAlignment="1">
      <alignment horizontal="left" vertical="top" wrapText="1"/>
    </xf>
    <xf numFmtId="3" fontId="2" fillId="0" borderId="26" xfId="0" applyNumberFormat="1" applyFont="1" applyBorder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3" fontId="3" fillId="4" borderId="38" xfId="0" applyNumberFormat="1" applyFont="1" applyFill="1" applyBorder="1" applyAlignment="1">
      <alignment horizontal="left" vertical="top" wrapText="1"/>
    </xf>
    <xf numFmtId="3" fontId="3" fillId="5" borderId="39" xfId="0" applyNumberFormat="1" applyFont="1" applyFill="1" applyBorder="1" applyAlignment="1">
      <alignment horizontal="right" vertical="top" wrapText="1"/>
    </xf>
    <xf numFmtId="3" fontId="3" fillId="5" borderId="44" xfId="0" applyNumberFormat="1" applyFont="1" applyFill="1" applyBorder="1" applyAlignment="1">
      <alignment horizontal="right" vertical="top" wrapText="1"/>
    </xf>
    <xf numFmtId="3" fontId="11" fillId="4" borderId="18" xfId="0" applyNumberFormat="1" applyFont="1" applyFill="1" applyBorder="1" applyAlignment="1">
      <alignment horizontal="left" vertical="top" wrapText="1"/>
    </xf>
    <xf numFmtId="3" fontId="2" fillId="4" borderId="3" xfId="0" applyNumberFormat="1" applyFont="1" applyFill="1" applyBorder="1" applyAlignment="1">
      <alignment horizontal="left" vertical="top" wrapText="1"/>
    </xf>
    <xf numFmtId="3" fontId="2" fillId="4" borderId="39" xfId="0" applyNumberFormat="1" applyFont="1" applyFill="1" applyBorder="1" applyAlignment="1">
      <alignment horizontal="left" vertical="top" wrapText="1"/>
    </xf>
    <xf numFmtId="167" fontId="2" fillId="9" borderId="17" xfId="2" applyNumberFormat="1" applyFont="1" applyFill="1" applyBorder="1" applyAlignment="1">
      <alignment horizontal="left" vertical="top" wrapText="1"/>
    </xf>
    <xf numFmtId="165" fontId="2" fillId="4" borderId="65" xfId="0" applyNumberFormat="1" applyFont="1" applyFill="1" applyBorder="1" applyAlignment="1">
      <alignment horizontal="center" vertical="center" textRotation="90" wrapText="1"/>
    </xf>
    <xf numFmtId="165" fontId="2" fillId="4" borderId="58" xfId="0" applyNumberFormat="1" applyFont="1" applyFill="1" applyBorder="1" applyAlignment="1">
      <alignment horizontal="center" vertical="center" textRotation="90" wrapText="1"/>
    </xf>
    <xf numFmtId="165" fontId="2" fillId="4" borderId="64" xfId="0" applyNumberFormat="1" applyFont="1" applyFill="1" applyBorder="1" applyAlignment="1">
      <alignment horizontal="center" vertical="center" textRotation="90" wrapText="1"/>
    </xf>
    <xf numFmtId="165" fontId="2" fillId="0" borderId="65" xfId="0" applyNumberFormat="1" applyFont="1" applyBorder="1" applyAlignment="1">
      <alignment horizontal="center" vertical="center" textRotation="90" wrapText="1"/>
    </xf>
    <xf numFmtId="165" fontId="2" fillId="0" borderId="58" xfId="0" applyNumberFormat="1" applyFont="1" applyBorder="1" applyAlignment="1">
      <alignment horizontal="center" vertical="center" textRotation="90" wrapText="1"/>
    </xf>
    <xf numFmtId="165" fontId="2" fillId="0" borderId="64" xfId="0" applyNumberFormat="1" applyFont="1" applyBorder="1" applyAlignment="1">
      <alignment horizontal="center" vertical="center" textRotation="90" wrapText="1"/>
    </xf>
    <xf numFmtId="3" fontId="13" fillId="4" borderId="13" xfId="0" applyNumberFormat="1" applyFont="1" applyFill="1" applyBorder="1" applyAlignment="1">
      <alignment horizontal="center" vertical="top" wrapText="1"/>
    </xf>
    <xf numFmtId="3" fontId="13" fillId="4" borderId="19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center" textRotation="90" wrapText="1"/>
    </xf>
    <xf numFmtId="49" fontId="2" fillId="0" borderId="18" xfId="0" applyNumberFormat="1" applyFont="1" applyBorder="1" applyAlignment="1">
      <alignment horizontal="center" vertical="center" textRotation="90" wrapText="1"/>
    </xf>
    <xf numFmtId="49" fontId="2" fillId="0" borderId="19" xfId="0" applyNumberFormat="1" applyFont="1" applyBorder="1" applyAlignment="1">
      <alignment horizontal="center" vertical="center" textRotation="90" wrapText="1"/>
    </xf>
    <xf numFmtId="3" fontId="3" fillId="0" borderId="39" xfId="0" applyNumberFormat="1" applyFont="1" applyFill="1" applyBorder="1" applyAlignment="1">
      <alignment horizontal="center" wrapText="1"/>
    </xf>
    <xf numFmtId="3" fontId="12" fillId="4" borderId="10" xfId="0" applyNumberFormat="1" applyFont="1" applyFill="1" applyBorder="1" applyAlignment="1">
      <alignment horizontal="center" vertical="top" wrapText="1"/>
    </xf>
    <xf numFmtId="3" fontId="12" fillId="4" borderId="43" xfId="0" applyNumberFormat="1" applyFont="1" applyFill="1" applyBorder="1" applyAlignment="1">
      <alignment horizontal="center" vertical="top" wrapText="1"/>
    </xf>
    <xf numFmtId="49" fontId="3" fillId="8" borderId="16" xfId="0" applyNumberFormat="1" applyFont="1" applyFill="1" applyBorder="1" applyAlignment="1">
      <alignment horizontal="center" vertical="top"/>
    </xf>
    <xf numFmtId="3" fontId="3" fillId="6" borderId="16" xfId="0" applyNumberFormat="1" applyFont="1" applyFill="1" applyBorder="1" applyAlignment="1">
      <alignment horizontal="left" vertical="top" wrapText="1"/>
    </xf>
    <xf numFmtId="3" fontId="3" fillId="6" borderId="3" xfId="0" applyNumberFormat="1" applyFont="1" applyFill="1" applyBorder="1" applyAlignment="1">
      <alignment horizontal="left" vertical="top" wrapText="1"/>
    </xf>
    <xf numFmtId="3" fontId="3" fillId="6" borderId="24" xfId="0" applyNumberFormat="1" applyFont="1" applyFill="1" applyBorder="1" applyAlignment="1">
      <alignment horizontal="left" vertical="top" wrapText="1"/>
    </xf>
    <xf numFmtId="3" fontId="4" fillId="7" borderId="56" xfId="0" applyNumberFormat="1" applyFont="1" applyFill="1" applyBorder="1" applyAlignment="1">
      <alignment horizontal="left" vertical="top" wrapText="1"/>
    </xf>
    <xf numFmtId="3" fontId="4" fillId="7" borderId="33" xfId="0" applyNumberFormat="1" applyFont="1" applyFill="1" applyBorder="1" applyAlignment="1">
      <alignment horizontal="left" vertical="top" wrapText="1"/>
    </xf>
    <xf numFmtId="3" fontId="4" fillId="7" borderId="26" xfId="0" applyNumberFormat="1" applyFont="1" applyFill="1" applyBorder="1" applyAlignment="1">
      <alignment horizontal="left" vertical="top" wrapText="1"/>
    </xf>
    <xf numFmtId="3" fontId="3" fillId="4" borderId="13" xfId="0" applyNumberFormat="1" applyFont="1" applyFill="1" applyBorder="1" applyAlignment="1">
      <alignment horizontal="left" vertical="top" wrapText="1"/>
    </xf>
    <xf numFmtId="3" fontId="3" fillId="4" borderId="19" xfId="0" applyNumberFormat="1" applyFont="1" applyFill="1" applyBorder="1" applyAlignment="1">
      <alignment horizontal="left" vertical="top" wrapText="1"/>
    </xf>
    <xf numFmtId="3" fontId="2" fillId="4" borderId="10" xfId="0" applyNumberFormat="1" applyFont="1" applyFill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center" vertical="top" wrapText="1"/>
    </xf>
    <xf numFmtId="3" fontId="3" fillId="4" borderId="32" xfId="0" applyNumberFormat="1" applyFont="1" applyFill="1" applyBorder="1" applyAlignment="1">
      <alignment horizontal="left" vertical="top" wrapText="1"/>
    </xf>
    <xf numFmtId="3" fontId="3" fillId="4" borderId="31" xfId="0" applyNumberFormat="1" applyFont="1" applyFill="1" applyBorder="1" applyAlignment="1">
      <alignment horizontal="left" vertical="top" wrapText="1"/>
    </xf>
    <xf numFmtId="3" fontId="3" fillId="4" borderId="55" xfId="0" quotePrefix="1" applyNumberFormat="1" applyFont="1" applyFill="1" applyBorder="1" applyAlignment="1">
      <alignment horizontal="center" vertical="top" wrapText="1"/>
    </xf>
    <xf numFmtId="3" fontId="3" fillId="4" borderId="31" xfId="0" quotePrefix="1" applyNumberFormat="1" applyFont="1" applyFill="1" applyBorder="1" applyAlignment="1">
      <alignment horizontal="center" vertical="top" wrapText="1"/>
    </xf>
    <xf numFmtId="3" fontId="3" fillId="4" borderId="59" xfId="0" quotePrefix="1" applyNumberFormat="1" applyFont="1" applyFill="1" applyBorder="1" applyAlignment="1">
      <alignment horizontal="center" vertical="top" wrapText="1"/>
    </xf>
    <xf numFmtId="3" fontId="16" fillId="0" borderId="17" xfId="0" applyNumberFormat="1" applyFont="1" applyBorder="1" applyAlignment="1">
      <alignment horizontal="left" vertical="top" wrapText="1"/>
    </xf>
    <xf numFmtId="3" fontId="16" fillId="0" borderId="0" xfId="0" applyNumberFormat="1" applyFont="1" applyBorder="1" applyAlignment="1">
      <alignment horizontal="left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3" fontId="2" fillId="4" borderId="0" xfId="0" applyNumberFormat="1" applyFont="1" applyFill="1" applyBorder="1" applyAlignment="1">
      <alignment horizontal="left" vertical="top" wrapText="1"/>
    </xf>
    <xf numFmtId="3" fontId="6" fillId="0" borderId="0" xfId="0" applyNumberFormat="1" applyFont="1" applyAlignment="1">
      <alignment horizontal="center" vertical="top" wrapText="1"/>
    </xf>
    <xf numFmtId="3" fontId="9" fillId="0" borderId="0" xfId="0" applyNumberFormat="1" applyFont="1" applyBorder="1" applyAlignment="1">
      <alignment horizontal="center" vertical="top" wrapText="1"/>
    </xf>
    <xf numFmtId="3" fontId="13" fillId="4" borderId="31" xfId="0" applyNumberFormat="1" applyFont="1" applyFill="1" applyBorder="1" applyAlignment="1">
      <alignment horizontal="center" vertical="top" wrapText="1"/>
    </xf>
    <xf numFmtId="3" fontId="13" fillId="5" borderId="40" xfId="0" applyNumberFormat="1" applyFont="1" applyFill="1" applyBorder="1" applyAlignment="1">
      <alignment horizontal="right" vertical="top" wrapText="1"/>
    </xf>
    <xf numFmtId="3" fontId="13" fillId="5" borderId="44" xfId="0" applyNumberFormat="1" applyFont="1" applyFill="1" applyBorder="1" applyAlignment="1">
      <alignment horizontal="right" vertical="top" wrapText="1"/>
    </xf>
    <xf numFmtId="3" fontId="2" fillId="0" borderId="6" xfId="0" applyNumberFormat="1" applyFont="1" applyBorder="1" applyAlignment="1">
      <alignment horizontal="center" vertical="center" wrapText="1"/>
    </xf>
    <xf numFmtId="3" fontId="3" fillId="8" borderId="32" xfId="0" applyNumberFormat="1" applyFont="1" applyFill="1" applyBorder="1" applyAlignment="1">
      <alignment horizontal="left" vertical="top" wrapText="1"/>
    </xf>
    <xf numFmtId="3" fontId="3" fillId="8" borderId="27" xfId="0" applyNumberFormat="1" applyFont="1" applyFill="1" applyBorder="1" applyAlignment="1">
      <alignment horizontal="left" vertical="top" wrapText="1"/>
    </xf>
    <xf numFmtId="3" fontId="3" fillId="8" borderId="28" xfId="0" applyNumberFormat="1" applyFont="1" applyFill="1" applyBorder="1" applyAlignment="1">
      <alignment horizontal="left" vertical="top" wrapText="1"/>
    </xf>
    <xf numFmtId="3" fontId="3" fillId="2" borderId="41" xfId="0" applyNumberFormat="1" applyFont="1" applyFill="1" applyBorder="1" applyAlignment="1">
      <alignment horizontal="left" vertical="top" wrapText="1"/>
    </xf>
    <xf numFmtId="3" fontId="3" fillId="2" borderId="40" xfId="0" applyNumberFormat="1" applyFont="1" applyFill="1" applyBorder="1" applyAlignment="1">
      <alignment horizontal="left" vertical="top" wrapText="1"/>
    </xf>
    <xf numFmtId="3" fontId="3" fillId="2" borderId="44" xfId="0" applyNumberFormat="1" applyFont="1" applyFill="1" applyBorder="1" applyAlignment="1">
      <alignment horizontal="left" vertical="top" wrapText="1"/>
    </xf>
    <xf numFmtId="3" fontId="13" fillId="4" borderId="30" xfId="0" applyNumberFormat="1" applyFont="1" applyFill="1" applyBorder="1" applyAlignment="1">
      <alignment horizontal="center" vertical="top" textRotation="90" wrapText="1"/>
    </xf>
    <xf numFmtId="164" fontId="2" fillId="16" borderId="56" xfId="0" applyNumberFormat="1" applyFont="1" applyFill="1" applyBorder="1" applyAlignment="1">
      <alignment horizontal="center" vertical="top" wrapText="1"/>
    </xf>
  </cellXfs>
  <cellStyles count="3">
    <cellStyle name="Excel Built-in Normal" xfId="2"/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CCFFCC"/>
      <color rgb="FFFFFF99"/>
      <color rgb="FFCCFFFF"/>
      <color rgb="FFFFCCFF"/>
      <color rgb="FF66FFFF"/>
      <color rgb="FF00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01"/>
  <sheetViews>
    <sheetView tabSelected="1" topLeftCell="A7" zoomScaleNormal="100" workbookViewId="0">
      <selection activeCell="K16" sqref="K16"/>
    </sheetView>
  </sheetViews>
  <sheetFormatPr defaultColWidth="9.33203125" defaultRowHeight="13.2" x14ac:dyDescent="0.25"/>
  <cols>
    <col min="1" max="3" width="3.33203125" style="450" customWidth="1"/>
    <col min="4" max="4" width="3.5546875" style="39" customWidth="1"/>
    <col min="5" max="5" width="3.33203125" style="39" customWidth="1"/>
    <col min="6" max="6" width="31.44140625" style="96" customWidth="1"/>
    <col min="7" max="7" width="2.6640625" style="451" customWidth="1"/>
    <col min="8" max="8" width="14.44140625" style="21" customWidth="1"/>
    <col min="9" max="9" width="8" style="21" customWidth="1"/>
    <col min="10" max="10" width="8.6640625" style="652" customWidth="1"/>
    <col min="11" max="13" width="8.6640625" style="637" customWidth="1"/>
    <col min="14" max="14" width="23" style="96" customWidth="1"/>
    <col min="15" max="18" width="6.44140625" style="770" customWidth="1"/>
    <col min="19" max="16384" width="9.33203125" style="23"/>
  </cols>
  <sheetData>
    <row r="1" spans="1:19" ht="33.75" customHeight="1" x14ac:dyDescent="0.25">
      <c r="A1" s="450" t="s">
        <v>200</v>
      </c>
      <c r="H1" s="1072" t="s">
        <v>232</v>
      </c>
      <c r="I1" s="1072"/>
      <c r="J1" s="1072"/>
      <c r="K1" s="1072"/>
      <c r="L1" s="1072"/>
      <c r="M1" s="1072"/>
      <c r="N1" s="1072"/>
      <c r="O1" s="1072"/>
      <c r="P1" s="1072"/>
      <c r="Q1" s="1072"/>
      <c r="R1" s="1072"/>
    </row>
    <row r="2" spans="1:19" s="22" customFormat="1" ht="15.6" x14ac:dyDescent="0.25">
      <c r="A2" s="1115" t="s">
        <v>237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  <c r="O2" s="1115"/>
      <c r="P2" s="1115"/>
      <c r="Q2" s="1115"/>
      <c r="R2" s="1115"/>
    </row>
    <row r="3" spans="1:19" s="22" customFormat="1" ht="19.5" customHeight="1" x14ac:dyDescent="0.25">
      <c r="A3" s="1116" t="s">
        <v>26</v>
      </c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  <c r="O3" s="1116"/>
      <c r="P3" s="1116"/>
      <c r="Q3" s="1116"/>
      <c r="R3" s="1116"/>
    </row>
    <row r="4" spans="1:19" s="22" customFormat="1" ht="19.5" customHeight="1" x14ac:dyDescent="0.25">
      <c r="A4" s="1088" t="s">
        <v>45</v>
      </c>
      <c r="B4" s="1088"/>
      <c r="C4" s="1088"/>
      <c r="D4" s="1088"/>
      <c r="E4" s="1088"/>
      <c r="F4" s="1088"/>
      <c r="G4" s="1088"/>
      <c r="H4" s="1088"/>
      <c r="I4" s="1088"/>
      <c r="J4" s="1088"/>
      <c r="K4" s="1088"/>
      <c r="L4" s="1088"/>
      <c r="M4" s="1088"/>
      <c r="N4" s="1088"/>
      <c r="O4" s="1088"/>
      <c r="P4" s="1088"/>
      <c r="Q4" s="1088"/>
      <c r="R4" s="1088"/>
    </row>
    <row r="5" spans="1:19" ht="18.75" customHeight="1" thickBot="1" x14ac:dyDescent="0.3">
      <c r="A5" s="43"/>
      <c r="B5" s="43"/>
      <c r="F5" s="776"/>
      <c r="G5" s="452"/>
      <c r="H5" s="776"/>
      <c r="I5" s="27"/>
      <c r="J5" s="638"/>
      <c r="K5" s="903"/>
      <c r="L5" s="776"/>
      <c r="M5" s="776"/>
      <c r="N5" s="1026" t="s">
        <v>59</v>
      </c>
      <c r="O5" s="1026"/>
      <c r="P5" s="1026"/>
      <c r="Q5" s="1026"/>
      <c r="R5" s="1026"/>
    </row>
    <row r="6" spans="1:19" ht="21" customHeight="1" x14ac:dyDescent="0.25">
      <c r="A6" s="1002" t="s">
        <v>8</v>
      </c>
      <c r="B6" s="1005" t="s">
        <v>9</v>
      </c>
      <c r="C6" s="1089" t="s">
        <v>10</v>
      </c>
      <c r="D6" s="1089" t="s">
        <v>151</v>
      </c>
      <c r="E6" s="1089" t="s">
        <v>152</v>
      </c>
      <c r="F6" s="1040" t="s">
        <v>81</v>
      </c>
      <c r="G6" s="1030" t="s">
        <v>11</v>
      </c>
      <c r="H6" s="1046" t="s">
        <v>214</v>
      </c>
      <c r="I6" s="1033" t="s">
        <v>12</v>
      </c>
      <c r="J6" s="1080" t="s">
        <v>236</v>
      </c>
      <c r="K6" s="1083" t="s">
        <v>233</v>
      </c>
      <c r="L6" s="1083" t="s">
        <v>234</v>
      </c>
      <c r="M6" s="1083" t="s">
        <v>235</v>
      </c>
      <c r="N6" s="1027" t="s">
        <v>82</v>
      </c>
      <c r="O6" s="1028"/>
      <c r="P6" s="1028"/>
      <c r="Q6" s="1028"/>
      <c r="R6" s="1029"/>
    </row>
    <row r="7" spans="1:19" ht="15.75" customHeight="1" x14ac:dyDescent="0.25">
      <c r="A7" s="1003"/>
      <c r="B7" s="1006"/>
      <c r="C7" s="1090"/>
      <c r="D7" s="1090"/>
      <c r="E7" s="1090"/>
      <c r="F7" s="1041"/>
      <c r="G7" s="1031"/>
      <c r="H7" s="1047"/>
      <c r="I7" s="1034"/>
      <c r="J7" s="1081"/>
      <c r="K7" s="1084"/>
      <c r="L7" s="1084"/>
      <c r="M7" s="1084"/>
      <c r="N7" s="1120" t="s">
        <v>22</v>
      </c>
      <c r="O7" s="1043" t="s">
        <v>49</v>
      </c>
      <c r="P7" s="1044"/>
      <c r="Q7" s="1044"/>
      <c r="R7" s="1045"/>
    </row>
    <row r="8" spans="1:19" ht="87.75" customHeight="1" thickBot="1" x14ac:dyDescent="0.3">
      <c r="A8" s="1004"/>
      <c r="B8" s="1007"/>
      <c r="C8" s="1091"/>
      <c r="D8" s="1091"/>
      <c r="E8" s="1091"/>
      <c r="F8" s="1042"/>
      <c r="G8" s="1032"/>
      <c r="H8" s="1048"/>
      <c r="I8" s="1035"/>
      <c r="J8" s="1082"/>
      <c r="K8" s="1085"/>
      <c r="L8" s="1085"/>
      <c r="M8" s="1085"/>
      <c r="N8" s="1048"/>
      <c r="O8" s="121" t="s">
        <v>238</v>
      </c>
      <c r="P8" s="142" t="s">
        <v>239</v>
      </c>
      <c r="Q8" s="143" t="s">
        <v>240</v>
      </c>
      <c r="R8" s="121" t="s">
        <v>241</v>
      </c>
    </row>
    <row r="9" spans="1:19" ht="18" customHeight="1" x14ac:dyDescent="0.25">
      <c r="A9" s="1096" t="s">
        <v>52</v>
      </c>
      <c r="B9" s="1097"/>
      <c r="C9" s="1097"/>
      <c r="D9" s="1097"/>
      <c r="E9" s="1097"/>
      <c r="F9" s="1097"/>
      <c r="G9" s="1097"/>
      <c r="H9" s="1097"/>
      <c r="I9" s="1097"/>
      <c r="J9" s="1097"/>
      <c r="K9" s="1097"/>
      <c r="L9" s="1097"/>
      <c r="M9" s="1097"/>
      <c r="N9" s="1097"/>
      <c r="O9" s="1097"/>
      <c r="P9" s="1097"/>
      <c r="Q9" s="1097"/>
      <c r="R9" s="1098"/>
    </row>
    <row r="10" spans="1:19" ht="15.75" customHeight="1" x14ac:dyDescent="0.25">
      <c r="A10" s="1099" t="s">
        <v>27</v>
      </c>
      <c r="B10" s="1100"/>
      <c r="C10" s="1100"/>
      <c r="D10" s="1100"/>
      <c r="E10" s="1100"/>
      <c r="F10" s="1100"/>
      <c r="G10" s="1100"/>
      <c r="H10" s="1100"/>
      <c r="I10" s="1100"/>
      <c r="J10" s="1100"/>
      <c r="K10" s="1100"/>
      <c r="L10" s="1100"/>
      <c r="M10" s="1100"/>
      <c r="N10" s="1100"/>
      <c r="O10" s="1100"/>
      <c r="P10" s="1100"/>
      <c r="Q10" s="1100"/>
      <c r="R10" s="1101"/>
    </row>
    <row r="11" spans="1:19" ht="15.75" customHeight="1" x14ac:dyDescent="0.25">
      <c r="A11" s="453" t="s">
        <v>13</v>
      </c>
      <c r="B11" s="1121" t="s">
        <v>31</v>
      </c>
      <c r="C11" s="1122"/>
      <c r="D11" s="1122"/>
      <c r="E11" s="1122"/>
      <c r="F11" s="1122"/>
      <c r="G11" s="1122"/>
      <c r="H11" s="1122"/>
      <c r="I11" s="1122"/>
      <c r="J11" s="1122"/>
      <c r="K11" s="1122"/>
      <c r="L11" s="1122"/>
      <c r="M11" s="1122"/>
      <c r="N11" s="1122"/>
      <c r="O11" s="1122"/>
      <c r="P11" s="1122"/>
      <c r="Q11" s="1122"/>
      <c r="R11" s="1123"/>
    </row>
    <row r="12" spans="1:19" ht="15.75" customHeight="1" thickBot="1" x14ac:dyDescent="0.3">
      <c r="A12" s="454" t="s">
        <v>13</v>
      </c>
      <c r="B12" s="455" t="s">
        <v>13</v>
      </c>
      <c r="C12" s="1124" t="s">
        <v>56</v>
      </c>
      <c r="D12" s="1125"/>
      <c r="E12" s="1125"/>
      <c r="F12" s="1125"/>
      <c r="G12" s="1125"/>
      <c r="H12" s="1125"/>
      <c r="I12" s="1125"/>
      <c r="J12" s="1125"/>
      <c r="K12" s="1125"/>
      <c r="L12" s="1125"/>
      <c r="M12" s="1125"/>
      <c r="N12" s="1125"/>
      <c r="O12" s="1125"/>
      <c r="P12" s="1125"/>
      <c r="Q12" s="1125"/>
      <c r="R12" s="1126"/>
    </row>
    <row r="13" spans="1:19" ht="29.25" customHeight="1" x14ac:dyDescent="0.25">
      <c r="A13" s="456" t="s">
        <v>13</v>
      </c>
      <c r="B13" s="457" t="s">
        <v>13</v>
      </c>
      <c r="C13" s="458" t="s">
        <v>13</v>
      </c>
      <c r="D13" s="33"/>
      <c r="E13" s="33"/>
      <c r="F13" s="118" t="s">
        <v>39</v>
      </c>
      <c r="G13" s="459" t="s">
        <v>127</v>
      </c>
      <c r="H13" s="1021" t="s">
        <v>215</v>
      </c>
      <c r="I13" s="2" t="s">
        <v>51</v>
      </c>
      <c r="J13" s="639">
        <v>415.4</v>
      </c>
      <c r="K13" s="166"/>
      <c r="L13" s="183"/>
      <c r="M13" s="173"/>
      <c r="N13" s="112"/>
      <c r="O13" s="6"/>
      <c r="P13" s="6"/>
      <c r="Q13" s="777"/>
      <c r="R13" s="282"/>
    </row>
    <row r="14" spans="1:19" ht="14.25" customHeight="1" x14ac:dyDescent="0.25">
      <c r="A14" s="453"/>
      <c r="B14" s="460"/>
      <c r="C14" s="461"/>
      <c r="D14" s="804" t="s">
        <v>13</v>
      </c>
      <c r="E14" s="804"/>
      <c r="F14" s="945" t="s">
        <v>99</v>
      </c>
      <c r="G14" s="462" t="s">
        <v>183</v>
      </c>
      <c r="H14" s="974"/>
      <c r="I14" s="19" t="s">
        <v>14</v>
      </c>
      <c r="J14" s="88">
        <v>18216</v>
      </c>
      <c r="K14" s="1128">
        <f>19828+20.3</f>
        <v>19848.3</v>
      </c>
      <c r="L14" s="912">
        <v>21024.799999999999</v>
      </c>
      <c r="M14" s="913">
        <v>22252.6</v>
      </c>
      <c r="N14" s="50" t="s">
        <v>85</v>
      </c>
      <c r="O14" s="8">
        <v>47</v>
      </c>
      <c r="P14" s="8">
        <v>47</v>
      </c>
      <c r="Q14" s="150">
        <v>47</v>
      </c>
      <c r="R14" s="151">
        <v>47</v>
      </c>
      <c r="S14" s="20"/>
    </row>
    <row r="15" spans="1:19" ht="14.25" customHeight="1" x14ac:dyDescent="0.25">
      <c r="A15" s="453"/>
      <c r="B15" s="460"/>
      <c r="C15" s="461"/>
      <c r="D15" s="772"/>
      <c r="E15" s="772"/>
      <c r="F15" s="958"/>
      <c r="G15" s="328"/>
      <c r="H15" s="974"/>
      <c r="I15" s="3" t="s">
        <v>17</v>
      </c>
      <c r="J15" s="62">
        <v>10010.6</v>
      </c>
      <c r="K15" s="12">
        <v>12432.9</v>
      </c>
      <c r="L15" s="185">
        <f>+K15</f>
        <v>12432.9</v>
      </c>
      <c r="M15" s="175">
        <f>+L15</f>
        <v>12432.9</v>
      </c>
      <c r="N15" s="13" t="s">
        <v>86</v>
      </c>
      <c r="O15" s="131">
        <v>7968</v>
      </c>
      <c r="P15" s="131">
        <v>8068</v>
      </c>
      <c r="Q15" s="148">
        <v>8098</v>
      </c>
      <c r="R15" s="138">
        <v>8100</v>
      </c>
      <c r="S15" s="20"/>
    </row>
    <row r="16" spans="1:19" ht="16.2" customHeight="1" x14ac:dyDescent="0.25">
      <c r="A16" s="453"/>
      <c r="B16" s="460"/>
      <c r="C16" s="461"/>
      <c r="D16" s="772"/>
      <c r="E16" s="772"/>
      <c r="F16" s="958"/>
      <c r="G16" s="328"/>
      <c r="H16" s="745"/>
      <c r="I16" s="3" t="s">
        <v>17</v>
      </c>
      <c r="J16" s="640">
        <v>95.2</v>
      </c>
      <c r="K16" s="167"/>
      <c r="L16" s="310"/>
      <c r="M16" s="311"/>
      <c r="N16" s="13" t="s">
        <v>225</v>
      </c>
      <c r="O16" s="131">
        <v>26</v>
      </c>
      <c r="P16" s="131"/>
      <c r="Q16" s="148"/>
      <c r="R16" s="138"/>
      <c r="S16" s="20"/>
    </row>
    <row r="17" spans="1:19" ht="29.7" customHeight="1" x14ac:dyDescent="0.25">
      <c r="A17" s="453"/>
      <c r="B17" s="460"/>
      <c r="C17" s="461"/>
      <c r="D17" s="772"/>
      <c r="E17" s="772"/>
      <c r="F17" s="958"/>
      <c r="G17" s="328"/>
      <c r="H17" s="745"/>
      <c r="I17" s="2" t="s">
        <v>38</v>
      </c>
      <c r="J17" s="640">
        <v>3656.6</v>
      </c>
      <c r="K17" s="167">
        <v>3643.8</v>
      </c>
      <c r="L17" s="310">
        <f>+K17+1075.1</f>
        <v>4718.8999999999996</v>
      </c>
      <c r="M17" s="311">
        <f>+L17</f>
        <v>4718.8999999999996</v>
      </c>
      <c r="N17" s="50" t="s">
        <v>255</v>
      </c>
      <c r="O17" s="8"/>
      <c r="P17" s="546">
        <v>8.4</v>
      </c>
      <c r="Q17" s="157">
        <v>73.599999999999994</v>
      </c>
      <c r="R17" s="267">
        <v>72.599999999999994</v>
      </c>
      <c r="S17" s="20"/>
    </row>
    <row r="18" spans="1:19" ht="33" customHeight="1" x14ac:dyDescent="0.25">
      <c r="A18" s="453"/>
      <c r="B18" s="463"/>
      <c r="C18" s="461"/>
      <c r="D18" s="805"/>
      <c r="E18" s="805"/>
      <c r="F18" s="946"/>
      <c r="G18" s="464"/>
      <c r="H18" s="974" t="s">
        <v>213</v>
      </c>
      <c r="I18" s="106"/>
      <c r="J18" s="641"/>
      <c r="K18" s="169"/>
      <c r="L18" s="188"/>
      <c r="M18" s="178"/>
      <c r="N18" s="867" t="s">
        <v>256</v>
      </c>
      <c r="O18" s="134"/>
      <c r="P18" s="731">
        <v>2.73</v>
      </c>
      <c r="Q18" s="662">
        <v>22.27</v>
      </c>
      <c r="R18" s="663">
        <v>22.6</v>
      </c>
      <c r="S18" s="20"/>
    </row>
    <row r="19" spans="1:19" ht="33" customHeight="1" x14ac:dyDescent="0.25">
      <c r="A19" s="453"/>
      <c r="B19" s="463"/>
      <c r="C19" s="461"/>
      <c r="D19" s="693" t="s">
        <v>301</v>
      </c>
      <c r="E19" s="694"/>
      <c r="F19" s="695" t="s">
        <v>302</v>
      </c>
      <c r="G19" s="328"/>
      <c r="H19" s="974"/>
      <c r="I19" s="8" t="s">
        <v>75</v>
      </c>
      <c r="J19" s="62"/>
      <c r="K19" s="12"/>
      <c r="L19" s="185"/>
      <c r="M19" s="175"/>
      <c r="N19" s="50" t="s">
        <v>303</v>
      </c>
      <c r="O19" s="8"/>
      <c r="P19" s="8">
        <v>12</v>
      </c>
      <c r="Q19" s="185"/>
      <c r="R19" s="151"/>
      <c r="S19" s="20"/>
    </row>
    <row r="20" spans="1:19" ht="58.95" customHeight="1" x14ac:dyDescent="0.25">
      <c r="A20" s="453"/>
      <c r="B20" s="463"/>
      <c r="C20" s="461"/>
      <c r="D20" s="772" t="s">
        <v>16</v>
      </c>
      <c r="E20" s="772"/>
      <c r="F20" s="749" t="s">
        <v>257</v>
      </c>
      <c r="G20" s="328"/>
      <c r="H20" s="974"/>
      <c r="I20" s="19" t="s">
        <v>14</v>
      </c>
      <c r="J20" s="640"/>
      <c r="K20" s="12">
        <v>2.4</v>
      </c>
      <c r="L20" s="185"/>
      <c r="M20" s="175"/>
      <c r="N20" s="50" t="s">
        <v>309</v>
      </c>
      <c r="O20" s="8"/>
      <c r="P20" s="312">
        <v>16</v>
      </c>
      <c r="Q20" s="185"/>
      <c r="R20" s="151"/>
      <c r="S20" s="20"/>
    </row>
    <row r="21" spans="1:19" ht="42" customHeight="1" x14ac:dyDescent="0.25">
      <c r="A21" s="453"/>
      <c r="B21" s="463"/>
      <c r="C21" s="461"/>
      <c r="D21" s="804" t="s">
        <v>18</v>
      </c>
      <c r="E21" s="804"/>
      <c r="F21" s="945" t="s">
        <v>185</v>
      </c>
      <c r="G21" s="462" t="s">
        <v>183</v>
      </c>
      <c r="H21" s="974"/>
      <c r="I21" s="106" t="s">
        <v>14</v>
      </c>
      <c r="J21" s="640">
        <v>198.5</v>
      </c>
      <c r="K21" s="169"/>
      <c r="L21" s="188"/>
      <c r="M21" s="178"/>
      <c r="N21" s="868" t="s">
        <v>186</v>
      </c>
      <c r="O21" s="134">
        <v>2</v>
      </c>
      <c r="P21" s="134"/>
      <c r="Q21" s="155"/>
      <c r="R21" s="123"/>
      <c r="S21" s="20"/>
    </row>
    <row r="22" spans="1:19" ht="15" customHeight="1" x14ac:dyDescent="0.25">
      <c r="A22" s="453"/>
      <c r="B22" s="463"/>
      <c r="C22" s="461"/>
      <c r="D22" s="805"/>
      <c r="E22" s="805"/>
      <c r="F22" s="946"/>
      <c r="G22" s="464"/>
      <c r="H22" s="974"/>
      <c r="I22" s="3"/>
      <c r="J22" s="105"/>
      <c r="K22" s="169"/>
      <c r="L22" s="188"/>
      <c r="M22" s="178"/>
      <c r="N22" s="465" t="s">
        <v>190</v>
      </c>
      <c r="O22" s="8">
        <v>48</v>
      </c>
      <c r="P22" s="8"/>
      <c r="Q22" s="150"/>
      <c r="R22" s="151"/>
      <c r="S22" s="20"/>
    </row>
    <row r="23" spans="1:19" ht="15.75" customHeight="1" x14ac:dyDescent="0.25">
      <c r="A23" s="453"/>
      <c r="B23" s="463"/>
      <c r="C23" s="461"/>
      <c r="D23" s="772" t="s">
        <v>20</v>
      </c>
      <c r="E23" s="772"/>
      <c r="F23" s="958" t="s">
        <v>171</v>
      </c>
      <c r="G23" s="746"/>
      <c r="H23" s="745"/>
      <c r="I23" s="131" t="s">
        <v>17</v>
      </c>
      <c r="J23" s="640">
        <v>569.5</v>
      </c>
      <c r="K23" s="167">
        <v>790.5</v>
      </c>
      <c r="L23" s="310">
        <f>+K23</f>
        <v>790.5</v>
      </c>
      <c r="M23" s="311">
        <f>+L23</f>
        <v>790.5</v>
      </c>
      <c r="N23" s="313" t="s">
        <v>85</v>
      </c>
      <c r="O23" s="134">
        <v>7</v>
      </c>
      <c r="P23" s="134">
        <v>10</v>
      </c>
      <c r="Q23" s="155">
        <v>11</v>
      </c>
      <c r="R23" s="123">
        <v>12</v>
      </c>
      <c r="S23" s="20"/>
    </row>
    <row r="24" spans="1:19" ht="14.25" customHeight="1" x14ac:dyDescent="0.25">
      <c r="A24" s="453"/>
      <c r="B24" s="460"/>
      <c r="C24" s="461"/>
      <c r="D24" s="772"/>
      <c r="E24" s="772"/>
      <c r="F24" s="958"/>
      <c r="G24" s="328"/>
      <c r="H24" s="745"/>
      <c r="I24" s="134"/>
      <c r="J24" s="641"/>
      <c r="K24" s="653"/>
      <c r="L24" s="654"/>
      <c r="M24" s="655"/>
      <c r="N24" s="57" t="s">
        <v>86</v>
      </c>
      <c r="O24" s="131">
        <v>335</v>
      </c>
      <c r="P24" s="131">
        <v>430</v>
      </c>
      <c r="Q24" s="148">
        <v>450</v>
      </c>
      <c r="R24" s="138">
        <v>470</v>
      </c>
      <c r="S24" s="20"/>
    </row>
    <row r="25" spans="1:19" ht="15" customHeight="1" thickBot="1" x14ac:dyDescent="0.3">
      <c r="A25" s="453"/>
      <c r="B25" s="463"/>
      <c r="C25" s="461"/>
      <c r="D25" s="772"/>
      <c r="E25" s="772"/>
      <c r="F25" s="958"/>
      <c r="G25" s="328"/>
      <c r="H25" s="745"/>
      <c r="I25" s="106"/>
      <c r="J25" s="641"/>
      <c r="K25" s="169"/>
      <c r="L25" s="188"/>
      <c r="M25" s="178"/>
      <c r="N25" s="58"/>
      <c r="O25" s="314"/>
      <c r="P25" s="314"/>
      <c r="Q25" s="864"/>
      <c r="R25" s="139"/>
      <c r="S25" s="20"/>
    </row>
    <row r="26" spans="1:19" ht="12.75" customHeight="1" x14ac:dyDescent="0.25">
      <c r="A26" s="466"/>
      <c r="B26" s="463"/>
      <c r="C26" s="467"/>
      <c r="D26" s="33" t="s">
        <v>21</v>
      </c>
      <c r="E26" s="33"/>
      <c r="F26" s="982" t="s">
        <v>58</v>
      </c>
      <c r="G26" s="328"/>
      <c r="H26" s="745"/>
      <c r="I26" s="322" t="s">
        <v>14</v>
      </c>
      <c r="J26" s="63">
        <v>1216.5</v>
      </c>
      <c r="K26" s="911">
        <v>1329.2</v>
      </c>
      <c r="L26" s="189">
        <f>1360+64.6</f>
        <v>1424.6</v>
      </c>
      <c r="M26" s="179">
        <f>1362+64.6</f>
        <v>1426.6</v>
      </c>
      <c r="N26" s="315" t="s">
        <v>85</v>
      </c>
      <c r="O26" s="862">
        <v>4</v>
      </c>
      <c r="P26" s="316">
        <v>4</v>
      </c>
      <c r="Q26" s="155">
        <v>4</v>
      </c>
      <c r="R26" s="282">
        <v>4</v>
      </c>
      <c r="S26" s="20"/>
    </row>
    <row r="27" spans="1:19" ht="15.75" customHeight="1" x14ac:dyDescent="0.25">
      <c r="A27" s="466"/>
      <c r="B27" s="463"/>
      <c r="C27" s="468"/>
      <c r="D27" s="772"/>
      <c r="E27" s="772"/>
      <c r="F27" s="958"/>
      <c r="G27" s="328"/>
      <c r="H27" s="745"/>
      <c r="I27" s="585" t="s">
        <v>17</v>
      </c>
      <c r="J27" s="62">
        <f>1677.9+8.6</f>
        <v>1686.5</v>
      </c>
      <c r="K27" s="12">
        <v>1783.6</v>
      </c>
      <c r="L27" s="185">
        <v>1800</v>
      </c>
      <c r="M27" s="175">
        <v>1800</v>
      </c>
      <c r="N27" s="285" t="s">
        <v>86</v>
      </c>
      <c r="O27" s="858">
        <v>1285</v>
      </c>
      <c r="P27" s="148">
        <v>1247</v>
      </c>
      <c r="Q27" s="150">
        <v>1247</v>
      </c>
      <c r="R27" s="286">
        <v>1247</v>
      </c>
      <c r="S27" s="20"/>
    </row>
    <row r="28" spans="1:19" ht="15.75" customHeight="1" x14ac:dyDescent="0.25">
      <c r="A28" s="466"/>
      <c r="B28" s="463"/>
      <c r="C28" s="468"/>
      <c r="D28" s="772"/>
      <c r="E28" s="772"/>
      <c r="F28" s="958"/>
      <c r="G28" s="746"/>
      <c r="H28" s="745"/>
      <c r="I28" s="131" t="s">
        <v>38</v>
      </c>
      <c r="J28" s="640">
        <v>382.2</v>
      </c>
      <c r="K28" s="317">
        <v>353.9</v>
      </c>
      <c r="L28" s="310">
        <v>389.3</v>
      </c>
      <c r="M28" s="318">
        <v>408.8</v>
      </c>
      <c r="N28" s="285" t="s">
        <v>154</v>
      </c>
      <c r="O28" s="858">
        <v>910</v>
      </c>
      <c r="P28" s="148">
        <v>869</v>
      </c>
      <c r="Q28" s="148">
        <v>869</v>
      </c>
      <c r="R28" s="319">
        <v>869</v>
      </c>
      <c r="S28" s="20"/>
    </row>
    <row r="29" spans="1:19" ht="30" customHeight="1" x14ac:dyDescent="0.25">
      <c r="A29" s="469"/>
      <c r="B29" s="463"/>
      <c r="C29" s="468"/>
      <c r="D29" s="772"/>
      <c r="E29" s="29"/>
      <c r="F29" s="958"/>
      <c r="G29" s="328"/>
      <c r="H29" s="745"/>
      <c r="I29" s="134"/>
      <c r="J29" s="641"/>
      <c r="K29" s="289"/>
      <c r="L29" s="188"/>
      <c r="M29" s="290"/>
      <c r="N29" s="50" t="s">
        <v>255</v>
      </c>
      <c r="O29" s="51"/>
      <c r="P29" s="320"/>
      <c r="Q29" s="185">
        <v>4.4000000000000004</v>
      </c>
      <c r="R29" s="138"/>
      <c r="S29" s="20"/>
    </row>
    <row r="30" spans="1:19" ht="30" customHeight="1" x14ac:dyDescent="0.25">
      <c r="A30" s="469"/>
      <c r="B30" s="463"/>
      <c r="C30" s="468"/>
      <c r="D30" s="772"/>
      <c r="E30" s="29"/>
      <c r="F30" s="749"/>
      <c r="G30" s="328"/>
      <c r="H30" s="745"/>
      <c r="I30" s="134"/>
      <c r="J30" s="641"/>
      <c r="K30" s="287"/>
      <c r="L30" s="187"/>
      <c r="M30" s="892"/>
      <c r="N30" s="50" t="s">
        <v>256</v>
      </c>
      <c r="O30" s="51"/>
      <c r="P30" s="320"/>
      <c r="Q30" s="321">
        <v>1.43</v>
      </c>
      <c r="R30" s="151"/>
      <c r="S30" s="20"/>
    </row>
    <row r="31" spans="1:19" ht="19.95" customHeight="1" x14ac:dyDescent="0.25">
      <c r="A31" s="469"/>
      <c r="B31" s="463"/>
      <c r="C31" s="468"/>
      <c r="D31" s="879"/>
      <c r="E31" s="29"/>
      <c r="F31" s="880"/>
      <c r="G31" s="328"/>
      <c r="H31" s="881"/>
      <c r="I31" s="51" t="s">
        <v>17</v>
      </c>
      <c r="J31" s="62"/>
      <c r="K31" s="287">
        <v>26.1</v>
      </c>
      <c r="L31" s="187"/>
      <c r="M31" s="892"/>
      <c r="N31" s="882"/>
      <c r="O31" s="51"/>
      <c r="P31" s="19"/>
      <c r="Q31" s="321"/>
      <c r="R31" s="151"/>
      <c r="S31" s="20"/>
    </row>
    <row r="32" spans="1:19" ht="15.75" customHeight="1" x14ac:dyDescent="0.25">
      <c r="A32" s="469"/>
      <c r="B32" s="463"/>
      <c r="C32" s="468"/>
      <c r="D32" s="772"/>
      <c r="E32" s="29"/>
      <c r="F32" s="749"/>
      <c r="G32" s="328"/>
      <c r="H32" s="745"/>
      <c r="I32" s="51" t="s">
        <v>17</v>
      </c>
      <c r="J32" s="640">
        <v>15.1</v>
      </c>
      <c r="K32" s="470"/>
      <c r="L32" s="471"/>
      <c r="M32" s="893"/>
      <c r="N32" s="160" t="s">
        <v>225</v>
      </c>
      <c r="O32" s="890">
        <v>3</v>
      </c>
      <c r="P32" s="134"/>
      <c r="Q32" s="155"/>
      <c r="R32" s="123"/>
      <c r="S32" s="20"/>
    </row>
    <row r="33" spans="1:19" ht="15.75" customHeight="1" x14ac:dyDescent="0.25">
      <c r="A33" s="469"/>
      <c r="B33" s="463"/>
      <c r="C33" s="468"/>
      <c r="D33" s="772"/>
      <c r="E33" s="29"/>
      <c r="F33" s="749"/>
      <c r="G33" s="328"/>
      <c r="H33" s="745"/>
      <c r="I33" s="889" t="s">
        <v>17</v>
      </c>
      <c r="J33" s="640">
        <v>0.4</v>
      </c>
      <c r="K33" s="472"/>
      <c r="L33" s="473"/>
      <c r="M33" s="894"/>
      <c r="N33" s="160" t="s">
        <v>281</v>
      </c>
      <c r="O33" s="51">
        <v>1</v>
      </c>
      <c r="P33" s="19"/>
      <c r="Q33" s="150"/>
      <c r="R33" s="151"/>
      <c r="S33" s="20"/>
    </row>
    <row r="34" spans="1:19" ht="16.95" customHeight="1" x14ac:dyDescent="0.25">
      <c r="A34" s="469"/>
      <c r="B34" s="463"/>
      <c r="C34" s="468"/>
      <c r="D34" s="804" t="s">
        <v>73</v>
      </c>
      <c r="E34" s="40"/>
      <c r="F34" s="945" t="s">
        <v>201</v>
      </c>
      <c r="G34" s="328"/>
      <c r="H34" s="745"/>
      <c r="I34" s="8" t="s">
        <v>17</v>
      </c>
      <c r="J34" s="62">
        <v>89.9</v>
      </c>
      <c r="K34" s="665">
        <v>138.80000000000001</v>
      </c>
      <c r="L34" s="185"/>
      <c r="M34" s="175"/>
      <c r="N34" s="888" t="s">
        <v>85</v>
      </c>
      <c r="O34" s="889">
        <v>1</v>
      </c>
      <c r="P34" s="144">
        <v>1</v>
      </c>
      <c r="Q34" s="148"/>
      <c r="R34" s="138"/>
      <c r="S34" s="20"/>
    </row>
    <row r="35" spans="1:19" ht="16.95" customHeight="1" thickBot="1" x14ac:dyDescent="0.3">
      <c r="A35" s="469"/>
      <c r="B35" s="463"/>
      <c r="C35" s="468"/>
      <c r="D35" s="36"/>
      <c r="E35" s="30"/>
      <c r="F35" s="957"/>
      <c r="G35" s="746"/>
      <c r="H35" s="745"/>
      <c r="I35" s="314" t="s">
        <v>17</v>
      </c>
      <c r="J35" s="642"/>
      <c r="K35" s="895">
        <v>0.4</v>
      </c>
      <c r="L35" s="190"/>
      <c r="M35" s="180"/>
      <c r="N35" s="474" t="s">
        <v>86</v>
      </c>
      <c r="O35" s="60">
        <v>50</v>
      </c>
      <c r="P35" s="145">
        <v>77</v>
      </c>
      <c r="Q35" s="149"/>
      <c r="R35" s="283"/>
      <c r="S35" s="20"/>
    </row>
    <row r="36" spans="1:19" ht="15.75" customHeight="1" x14ac:dyDescent="0.25">
      <c r="A36" s="469"/>
      <c r="B36" s="460"/>
      <c r="C36" s="468"/>
      <c r="D36" s="772" t="s">
        <v>74</v>
      </c>
      <c r="E36" s="772"/>
      <c r="F36" s="958" t="s">
        <v>100</v>
      </c>
      <c r="G36" s="328"/>
      <c r="H36" s="745"/>
      <c r="I36" s="3" t="s">
        <v>14</v>
      </c>
      <c r="J36" s="687">
        <v>9305.6</v>
      </c>
      <c r="K36" s="904">
        <v>8941.2999999999993</v>
      </c>
      <c r="L36" s="905">
        <f>+K36</f>
        <v>8941.2999999999993</v>
      </c>
      <c r="M36" s="906">
        <f>+L36</f>
        <v>8941.2999999999993</v>
      </c>
      <c r="N36" s="315" t="s">
        <v>85</v>
      </c>
      <c r="O36" s="3">
        <v>32</v>
      </c>
      <c r="P36" s="322">
        <v>32</v>
      </c>
      <c r="Q36" s="272">
        <v>32</v>
      </c>
      <c r="R36" s="122">
        <v>32</v>
      </c>
      <c r="S36" s="20"/>
    </row>
    <row r="37" spans="1:19" ht="15.75" customHeight="1" x14ac:dyDescent="0.25">
      <c r="A37" s="469"/>
      <c r="B37" s="460"/>
      <c r="C37" s="468"/>
      <c r="D37" s="772"/>
      <c r="E37" s="772"/>
      <c r="F37" s="958"/>
      <c r="G37" s="328"/>
      <c r="H37" s="745"/>
      <c r="I37" s="3" t="s">
        <v>17</v>
      </c>
      <c r="J37" s="88">
        <f>30799.6+121.1</f>
        <v>30920.699999999997</v>
      </c>
      <c r="K37" s="10">
        <v>33246.1</v>
      </c>
      <c r="L37" s="184">
        <f t="shared" ref="L37:M38" si="0">+K37</f>
        <v>33246.1</v>
      </c>
      <c r="M37" s="227">
        <f t="shared" si="0"/>
        <v>33246.1</v>
      </c>
      <c r="N37" s="285" t="s">
        <v>86</v>
      </c>
      <c r="O37" s="19">
        <v>18020</v>
      </c>
      <c r="P37" s="312">
        <v>19188</v>
      </c>
      <c r="Q37" s="150">
        <v>19238</v>
      </c>
      <c r="R37" s="286">
        <v>19250</v>
      </c>
      <c r="S37" s="20"/>
    </row>
    <row r="38" spans="1:19" ht="15.75" customHeight="1" x14ac:dyDescent="0.25">
      <c r="A38" s="469"/>
      <c r="B38" s="460"/>
      <c r="C38" s="468"/>
      <c r="D38" s="846"/>
      <c r="E38" s="846"/>
      <c r="F38" s="958"/>
      <c r="G38" s="328"/>
      <c r="H38" s="847"/>
      <c r="I38" s="3" t="s">
        <v>17</v>
      </c>
      <c r="J38" s="88">
        <v>1104.3</v>
      </c>
      <c r="K38" s="11">
        <v>1302.4000000000001</v>
      </c>
      <c r="L38" s="184">
        <f t="shared" si="0"/>
        <v>1302.4000000000001</v>
      </c>
      <c r="M38" s="227">
        <f t="shared" si="0"/>
        <v>1302.4000000000001</v>
      </c>
      <c r="N38" s="156" t="s">
        <v>154</v>
      </c>
      <c r="O38" s="106">
        <v>17850</v>
      </c>
      <c r="P38" s="312">
        <v>19023</v>
      </c>
      <c r="Q38" s="150">
        <v>19073</v>
      </c>
      <c r="R38" s="286">
        <v>19083</v>
      </c>
      <c r="S38" s="20"/>
    </row>
    <row r="39" spans="1:19" ht="30" customHeight="1" x14ac:dyDescent="0.25">
      <c r="A39" s="469"/>
      <c r="B39" s="460"/>
      <c r="C39" s="468"/>
      <c r="D39" s="879"/>
      <c r="E39" s="879"/>
      <c r="F39" s="958"/>
      <c r="G39" s="328"/>
      <c r="H39" s="881"/>
      <c r="I39" s="3" t="s">
        <v>17</v>
      </c>
      <c r="J39" s="88"/>
      <c r="K39" s="11">
        <v>550.6</v>
      </c>
      <c r="L39" s="193"/>
      <c r="M39" s="226"/>
      <c r="N39" s="888" t="s">
        <v>255</v>
      </c>
      <c r="O39" s="19"/>
      <c r="P39" s="312"/>
      <c r="Q39" s="185">
        <v>3.6</v>
      </c>
      <c r="R39" s="286"/>
      <c r="S39" s="20"/>
    </row>
    <row r="40" spans="1:19" ht="28.95" customHeight="1" x14ac:dyDescent="0.25">
      <c r="A40" s="469"/>
      <c r="B40" s="460"/>
      <c r="C40" s="468"/>
      <c r="D40" s="772"/>
      <c r="E40" s="772"/>
      <c r="F40" s="958"/>
      <c r="G40" s="328"/>
      <c r="H40" s="745"/>
      <c r="I40" s="19" t="s">
        <v>17</v>
      </c>
      <c r="J40" s="62">
        <v>188.8</v>
      </c>
      <c r="K40" s="167"/>
      <c r="L40" s="310"/>
      <c r="M40" s="323"/>
      <c r="N40" s="887" t="s">
        <v>256</v>
      </c>
      <c r="O40" s="57"/>
      <c r="P40" s="737"/>
      <c r="Q40" s="310">
        <v>0.1</v>
      </c>
      <c r="R40" s="286"/>
      <c r="S40" s="20"/>
    </row>
    <row r="41" spans="1:19" ht="16.95" customHeight="1" x14ac:dyDescent="0.25">
      <c r="A41" s="469"/>
      <c r="B41" s="460"/>
      <c r="C41" s="468"/>
      <c r="D41" s="772"/>
      <c r="E41" s="772"/>
      <c r="F41" s="958"/>
      <c r="G41" s="328"/>
      <c r="H41" s="745"/>
      <c r="I41" s="19" t="s">
        <v>17</v>
      </c>
      <c r="J41" s="62">
        <v>14.9</v>
      </c>
      <c r="K41" s="12"/>
      <c r="L41" s="185"/>
      <c r="M41" s="194"/>
      <c r="N41" s="156" t="s">
        <v>225</v>
      </c>
      <c r="O41" s="19">
        <v>47</v>
      </c>
      <c r="P41" s="8"/>
      <c r="Q41" s="150"/>
      <c r="R41" s="151"/>
      <c r="S41" s="20"/>
    </row>
    <row r="42" spans="1:19" ht="28.2" customHeight="1" x14ac:dyDescent="0.25">
      <c r="A42" s="469"/>
      <c r="B42" s="460"/>
      <c r="C42" s="468"/>
      <c r="D42" s="772"/>
      <c r="E42" s="772"/>
      <c r="F42" s="958"/>
      <c r="G42" s="328"/>
      <c r="H42" s="745"/>
      <c r="I42" s="106" t="s">
        <v>38</v>
      </c>
      <c r="J42" s="641">
        <v>937</v>
      </c>
      <c r="K42" s="167">
        <v>832.7</v>
      </c>
      <c r="L42" s="310">
        <v>833</v>
      </c>
      <c r="M42" s="311">
        <v>835</v>
      </c>
      <c r="N42" s="156" t="s">
        <v>281</v>
      </c>
      <c r="O42" s="19">
        <v>33.5</v>
      </c>
      <c r="P42" s="8"/>
      <c r="Q42" s="150"/>
      <c r="R42" s="123"/>
      <c r="S42" s="20"/>
    </row>
    <row r="43" spans="1:19" ht="30" customHeight="1" thickBot="1" x14ac:dyDescent="0.3">
      <c r="A43" s="469"/>
      <c r="B43" s="460"/>
      <c r="C43" s="468"/>
      <c r="D43" s="772"/>
      <c r="E43" s="772"/>
      <c r="F43" s="475" t="s">
        <v>189</v>
      </c>
      <c r="G43" s="476" t="s">
        <v>183</v>
      </c>
      <c r="H43" s="745"/>
      <c r="I43" s="24" t="s">
        <v>166</v>
      </c>
      <c r="J43" s="643">
        <v>326.60000000000002</v>
      </c>
      <c r="K43" s="477"/>
      <c r="L43" s="478"/>
      <c r="M43" s="479"/>
      <c r="N43" s="59" t="s">
        <v>188</v>
      </c>
      <c r="O43" s="60" t="s">
        <v>187</v>
      </c>
      <c r="P43" s="145"/>
      <c r="Q43" s="149"/>
      <c r="R43" s="283"/>
      <c r="S43" s="20"/>
    </row>
    <row r="44" spans="1:19" ht="15.6" customHeight="1" x14ac:dyDescent="0.25">
      <c r="A44" s="469"/>
      <c r="B44" s="460"/>
      <c r="C44" s="468"/>
      <c r="D44" s="804" t="s">
        <v>140</v>
      </c>
      <c r="E44" s="804"/>
      <c r="F44" s="945" t="s">
        <v>172</v>
      </c>
      <c r="G44" s="328"/>
      <c r="H44" s="745"/>
      <c r="I44" s="106" t="s">
        <v>14</v>
      </c>
      <c r="J44" s="644">
        <v>171.7</v>
      </c>
      <c r="K44" s="16">
        <v>13.6</v>
      </c>
      <c r="L44" s="191"/>
      <c r="M44" s="181"/>
      <c r="N44" s="20" t="s">
        <v>85</v>
      </c>
      <c r="O44" s="859">
        <v>6</v>
      </c>
      <c r="P44" s="134">
        <v>1</v>
      </c>
      <c r="Q44" s="155"/>
      <c r="R44" s="123"/>
      <c r="S44" s="20"/>
    </row>
    <row r="45" spans="1:19" ht="15.6" customHeight="1" x14ac:dyDescent="0.25">
      <c r="A45" s="469"/>
      <c r="B45" s="460"/>
      <c r="C45" s="468"/>
      <c r="D45" s="772"/>
      <c r="E45" s="772"/>
      <c r="F45" s="958"/>
      <c r="G45" s="328"/>
      <c r="H45" s="745"/>
      <c r="I45" s="19" t="s">
        <v>164</v>
      </c>
      <c r="J45" s="88">
        <v>447.8</v>
      </c>
      <c r="K45" s="650">
        <v>515.70000000000005</v>
      </c>
      <c r="L45" s="843"/>
      <c r="M45" s="174"/>
      <c r="N45" s="20"/>
      <c r="O45" s="859"/>
      <c r="P45" s="134"/>
      <c r="Q45" s="155"/>
      <c r="R45" s="123"/>
      <c r="S45" s="20"/>
    </row>
    <row r="46" spans="1:19" ht="15.6" customHeight="1" thickBot="1" x14ac:dyDescent="0.3">
      <c r="A46" s="469"/>
      <c r="B46" s="460"/>
      <c r="C46" s="468"/>
      <c r="D46" s="805"/>
      <c r="E46" s="772"/>
      <c r="F46" s="958"/>
      <c r="G46" s="328"/>
      <c r="H46" s="745"/>
      <c r="I46" s="106" t="s">
        <v>77</v>
      </c>
      <c r="J46" s="644">
        <v>519.4</v>
      </c>
      <c r="K46" s="16">
        <v>76.8</v>
      </c>
      <c r="L46" s="191"/>
      <c r="M46" s="181"/>
      <c r="N46" s="20"/>
      <c r="O46" s="859"/>
      <c r="P46" s="134"/>
      <c r="Q46" s="155"/>
      <c r="R46" s="123"/>
      <c r="S46" s="20"/>
    </row>
    <row r="47" spans="1:19" ht="41.4" customHeight="1" thickBot="1" x14ac:dyDescent="0.3">
      <c r="A47" s="469"/>
      <c r="B47" s="460"/>
      <c r="C47" s="468"/>
      <c r="D47" s="37" t="s">
        <v>141</v>
      </c>
      <c r="E47" s="728"/>
      <c r="F47" s="325" t="s">
        <v>174</v>
      </c>
      <c r="G47" s="328"/>
      <c r="H47" s="745"/>
      <c r="I47" s="94" t="s">
        <v>14</v>
      </c>
      <c r="J47" s="63">
        <v>22.7</v>
      </c>
      <c r="K47" s="166">
        <v>13.9</v>
      </c>
      <c r="L47" s="183">
        <v>15</v>
      </c>
      <c r="M47" s="173">
        <v>15</v>
      </c>
      <c r="N47" s="326" t="s">
        <v>85</v>
      </c>
      <c r="O47" s="45">
        <v>5</v>
      </c>
      <c r="P47" s="327">
        <v>4</v>
      </c>
      <c r="Q47" s="272">
        <v>4</v>
      </c>
      <c r="R47" s="122">
        <v>4</v>
      </c>
      <c r="S47" s="20"/>
    </row>
    <row r="48" spans="1:19" ht="21.75" customHeight="1" x14ac:dyDescent="0.25">
      <c r="A48" s="469"/>
      <c r="B48" s="460"/>
      <c r="C48" s="468"/>
      <c r="D48" s="33" t="s">
        <v>5</v>
      </c>
      <c r="E48" s="33"/>
      <c r="F48" s="982" t="s">
        <v>288</v>
      </c>
      <c r="G48" s="328"/>
      <c r="H48" s="745"/>
      <c r="I48" s="17" t="s">
        <v>17</v>
      </c>
      <c r="J48" s="64">
        <v>2522.5</v>
      </c>
      <c r="K48" s="664">
        <v>2817.4</v>
      </c>
      <c r="L48" s="186">
        <f>+K48</f>
        <v>2817.4</v>
      </c>
      <c r="M48" s="176">
        <f>+L48</f>
        <v>2817.4</v>
      </c>
      <c r="N48" s="326" t="s">
        <v>85</v>
      </c>
      <c r="O48" s="45">
        <v>6</v>
      </c>
      <c r="P48" s="327">
        <v>6</v>
      </c>
      <c r="Q48" s="272">
        <v>7</v>
      </c>
      <c r="R48" s="122">
        <v>7</v>
      </c>
      <c r="S48" s="20"/>
    </row>
    <row r="49" spans="1:19" ht="21.75" customHeight="1" thickBot="1" x14ac:dyDescent="0.3">
      <c r="A49" s="469"/>
      <c r="B49" s="460"/>
      <c r="C49" s="468"/>
      <c r="D49" s="36"/>
      <c r="E49" s="36"/>
      <c r="F49" s="957"/>
      <c r="G49" s="328"/>
      <c r="H49" s="745"/>
      <c r="I49" s="896" t="s">
        <v>17</v>
      </c>
      <c r="J49" s="646"/>
      <c r="K49" s="897">
        <v>36</v>
      </c>
      <c r="L49" s="348"/>
      <c r="M49" s="349"/>
      <c r="N49" s="57" t="s">
        <v>86</v>
      </c>
      <c r="O49" s="889">
        <f>1265-50</f>
        <v>1215</v>
      </c>
      <c r="P49" s="144">
        <v>1232</v>
      </c>
      <c r="Q49" s="148">
        <v>1340</v>
      </c>
      <c r="R49" s="138">
        <v>1370</v>
      </c>
      <c r="S49" s="20"/>
    </row>
    <row r="50" spans="1:19" ht="21.75" customHeight="1" x14ac:dyDescent="0.25">
      <c r="A50" s="469"/>
      <c r="B50" s="460"/>
      <c r="C50" s="468"/>
      <c r="D50" s="772" t="s">
        <v>142</v>
      </c>
      <c r="E50" s="772"/>
      <c r="F50" s="958" t="s">
        <v>149</v>
      </c>
      <c r="G50" s="328"/>
      <c r="H50" s="745"/>
      <c r="I50" s="17" t="s">
        <v>14</v>
      </c>
      <c r="J50" s="64">
        <v>25.8</v>
      </c>
      <c r="K50" s="47">
        <v>44.8</v>
      </c>
      <c r="L50" s="186">
        <v>45</v>
      </c>
      <c r="M50" s="231">
        <v>47</v>
      </c>
      <c r="N50" s="1104" t="s">
        <v>130</v>
      </c>
      <c r="O50" s="862">
        <v>1990</v>
      </c>
      <c r="P50" s="1036">
        <v>1958</v>
      </c>
      <c r="Q50" s="1036">
        <v>2000</v>
      </c>
      <c r="R50" s="1038">
        <v>2000</v>
      </c>
      <c r="S50" s="20"/>
    </row>
    <row r="51" spans="1:19" s="480" customFormat="1" ht="24.6" customHeight="1" thickBot="1" x14ac:dyDescent="0.3">
      <c r="A51" s="453"/>
      <c r="B51" s="460"/>
      <c r="C51" s="467"/>
      <c r="D51" s="772"/>
      <c r="E51" s="772"/>
      <c r="F51" s="958"/>
      <c r="G51" s="329"/>
      <c r="H51" s="745"/>
      <c r="I51" s="18"/>
      <c r="J51" s="642"/>
      <c r="K51" s="171"/>
      <c r="L51" s="190"/>
      <c r="M51" s="330"/>
      <c r="N51" s="917"/>
      <c r="O51" s="861"/>
      <c r="P51" s="1037"/>
      <c r="Q51" s="1037"/>
      <c r="R51" s="1039"/>
      <c r="S51" s="869"/>
    </row>
    <row r="52" spans="1:19" ht="15.6" customHeight="1" x14ac:dyDescent="0.25">
      <c r="A52" s="466"/>
      <c r="B52" s="460"/>
      <c r="C52" s="468"/>
      <c r="D52" s="33" t="s">
        <v>143</v>
      </c>
      <c r="E52" s="33"/>
      <c r="F52" s="982" t="s">
        <v>289</v>
      </c>
      <c r="G52" s="331"/>
      <c r="H52" s="745"/>
      <c r="I52" s="17" t="s">
        <v>14</v>
      </c>
      <c r="J52" s="332">
        <v>6624.6</v>
      </c>
      <c r="K52" s="907">
        <v>7547</v>
      </c>
      <c r="L52" s="334">
        <v>7650</v>
      </c>
      <c r="M52" s="335">
        <v>7650</v>
      </c>
      <c r="N52" s="336" t="s">
        <v>85</v>
      </c>
      <c r="O52" s="45">
        <v>6</v>
      </c>
      <c r="P52" s="322">
        <v>6</v>
      </c>
      <c r="Q52" s="272">
        <v>6</v>
      </c>
      <c r="R52" s="122">
        <v>6</v>
      </c>
      <c r="S52" s="20"/>
    </row>
    <row r="53" spans="1:19" ht="15.6" customHeight="1" x14ac:dyDescent="0.25">
      <c r="A53" s="466"/>
      <c r="B53" s="460"/>
      <c r="C53" s="468"/>
      <c r="D53" s="772"/>
      <c r="E53" s="772"/>
      <c r="F53" s="958"/>
      <c r="G53" s="331"/>
      <c r="H53" s="745"/>
      <c r="I53" s="19" t="s">
        <v>17</v>
      </c>
      <c r="J53" s="645">
        <v>148</v>
      </c>
      <c r="K53" s="337"/>
      <c r="L53" s="338"/>
      <c r="M53" s="339"/>
      <c r="N53" s="340" t="s">
        <v>86</v>
      </c>
      <c r="O53" s="51">
        <v>5565</v>
      </c>
      <c r="P53" s="8">
        <v>4500</v>
      </c>
      <c r="Q53" s="150">
        <v>4500</v>
      </c>
      <c r="R53" s="151">
        <v>4500</v>
      </c>
      <c r="S53" s="20"/>
    </row>
    <row r="54" spans="1:19" ht="15.6" customHeight="1" x14ac:dyDescent="0.25">
      <c r="A54" s="466"/>
      <c r="B54" s="460"/>
      <c r="C54" s="468"/>
      <c r="D54" s="772"/>
      <c r="E54" s="772"/>
      <c r="F54" s="958"/>
      <c r="G54" s="331"/>
      <c r="H54" s="745"/>
      <c r="I54" s="19" t="s">
        <v>17</v>
      </c>
      <c r="J54" s="62">
        <v>255.6</v>
      </c>
      <c r="K54" s="12">
        <v>153.80000000000001</v>
      </c>
      <c r="L54" s="185">
        <f>+K54</f>
        <v>153.80000000000001</v>
      </c>
      <c r="M54" s="175">
        <f>+L54</f>
        <v>153.80000000000001</v>
      </c>
      <c r="N54" s="916" t="s">
        <v>310</v>
      </c>
      <c r="O54" s="858">
        <v>235</v>
      </c>
      <c r="P54" s="131">
        <v>190</v>
      </c>
      <c r="Q54" s="148">
        <v>180</v>
      </c>
      <c r="R54" s="138">
        <v>170</v>
      </c>
      <c r="S54" s="20"/>
    </row>
    <row r="55" spans="1:19" ht="15.6" customHeight="1" x14ac:dyDescent="0.25">
      <c r="A55" s="466"/>
      <c r="B55" s="460"/>
      <c r="C55" s="468"/>
      <c r="D55" s="772"/>
      <c r="E55" s="772"/>
      <c r="F55" s="958"/>
      <c r="G55" s="331"/>
      <c r="H55" s="745"/>
      <c r="I55" s="19" t="s">
        <v>17</v>
      </c>
      <c r="J55" s="62">
        <v>148</v>
      </c>
      <c r="K55" s="12"/>
      <c r="L55" s="185"/>
      <c r="M55" s="175"/>
      <c r="N55" s="918"/>
      <c r="O55" s="859"/>
      <c r="P55" s="134"/>
      <c r="Q55" s="155"/>
      <c r="R55" s="123"/>
      <c r="S55" s="20"/>
    </row>
    <row r="56" spans="1:19" ht="15.6" customHeight="1" thickBot="1" x14ac:dyDescent="0.3">
      <c r="A56" s="466"/>
      <c r="B56" s="460"/>
      <c r="C56" s="468"/>
      <c r="D56" s="772"/>
      <c r="E56" s="772"/>
      <c r="F56" s="749"/>
      <c r="G56" s="331"/>
      <c r="H56" s="745"/>
      <c r="I56" s="8" t="s">
        <v>38</v>
      </c>
      <c r="J56" s="62">
        <v>326.60000000000002</v>
      </c>
      <c r="K56" s="12">
        <f>321.9</f>
        <v>321.89999999999998</v>
      </c>
      <c r="L56" s="185">
        <f>522.8</f>
        <v>522.79999999999995</v>
      </c>
      <c r="M56" s="175">
        <f>522.8</f>
        <v>522.79999999999995</v>
      </c>
      <c r="N56" s="741"/>
      <c r="O56" s="860"/>
      <c r="P56" s="585"/>
      <c r="Q56" s="154"/>
      <c r="R56" s="284"/>
      <c r="S56" s="20"/>
    </row>
    <row r="57" spans="1:19" ht="30" customHeight="1" x14ac:dyDescent="0.25">
      <c r="A57" s="466"/>
      <c r="B57" s="460"/>
      <c r="C57" s="468"/>
      <c r="D57" s="33" t="s">
        <v>144</v>
      </c>
      <c r="E57" s="33"/>
      <c r="F57" s="1102" t="s">
        <v>290</v>
      </c>
      <c r="G57" s="342" t="s">
        <v>183</v>
      </c>
      <c r="H57" s="745"/>
      <c r="I57" s="67" t="s">
        <v>14</v>
      </c>
      <c r="J57" s="63">
        <v>390.9</v>
      </c>
      <c r="K57" s="908">
        <v>463.8</v>
      </c>
      <c r="L57" s="189">
        <v>470</v>
      </c>
      <c r="M57" s="179">
        <v>480</v>
      </c>
      <c r="N57" s="343" t="s">
        <v>88</v>
      </c>
      <c r="O57" s="862">
        <v>9600</v>
      </c>
      <c r="P57" s="344">
        <v>10000</v>
      </c>
      <c r="Q57" s="863">
        <v>10000</v>
      </c>
      <c r="R57" s="282">
        <v>10000</v>
      </c>
      <c r="S57" s="20"/>
    </row>
    <row r="58" spans="1:19" ht="18" customHeight="1" x14ac:dyDescent="0.25">
      <c r="A58" s="466"/>
      <c r="B58" s="460"/>
      <c r="C58" s="468"/>
      <c r="D58" s="772"/>
      <c r="E58" s="772"/>
      <c r="F58" s="1023"/>
      <c r="G58" s="328"/>
      <c r="H58" s="745"/>
      <c r="I58" s="3" t="s">
        <v>14</v>
      </c>
      <c r="J58" s="647"/>
      <c r="K58" s="738"/>
      <c r="L58" s="192"/>
      <c r="M58" s="730"/>
      <c r="N58" s="125" t="s">
        <v>96</v>
      </c>
      <c r="O58" s="854"/>
      <c r="P58" s="8">
        <f>9+3+8+3+3+2+20+1+2+2+4</f>
        <v>57</v>
      </c>
      <c r="Q58" s="150"/>
      <c r="R58" s="151"/>
      <c r="S58" s="20"/>
    </row>
    <row r="59" spans="1:19" ht="30" customHeight="1" x14ac:dyDescent="0.25">
      <c r="A59" s="466"/>
      <c r="B59" s="460"/>
      <c r="C59" s="468"/>
      <c r="D59" s="772"/>
      <c r="E59" s="772"/>
      <c r="F59" s="1023"/>
      <c r="G59" s="345"/>
      <c r="H59" s="745"/>
      <c r="I59" s="19" t="s">
        <v>17</v>
      </c>
      <c r="J59" s="62">
        <v>485.6</v>
      </c>
      <c r="K59" s="12">
        <v>499.1</v>
      </c>
      <c r="L59" s="185">
        <v>505</v>
      </c>
      <c r="M59" s="175">
        <v>515</v>
      </c>
      <c r="N59" s="346" t="s">
        <v>191</v>
      </c>
      <c r="O59" s="51">
        <v>5</v>
      </c>
      <c r="P59" s="341">
        <v>2</v>
      </c>
      <c r="Q59" s="150">
        <v>1</v>
      </c>
      <c r="R59" s="151">
        <v>1</v>
      </c>
      <c r="S59" s="20"/>
    </row>
    <row r="60" spans="1:19" ht="30" customHeight="1" x14ac:dyDescent="0.25">
      <c r="A60" s="466"/>
      <c r="B60" s="460"/>
      <c r="C60" s="468"/>
      <c r="D60" s="772"/>
      <c r="E60" s="772"/>
      <c r="F60" s="753"/>
      <c r="G60" s="345"/>
      <c r="H60" s="745"/>
      <c r="I60" s="19" t="s">
        <v>17</v>
      </c>
      <c r="J60" s="640">
        <v>10.3</v>
      </c>
      <c r="K60" s="167"/>
      <c r="L60" s="310"/>
      <c r="M60" s="311"/>
      <c r="N60" s="855" t="s">
        <v>282</v>
      </c>
      <c r="O60" s="51">
        <v>23</v>
      </c>
      <c r="P60" s="341"/>
      <c r="Q60" s="150"/>
      <c r="R60" s="151"/>
      <c r="S60" s="20"/>
    </row>
    <row r="61" spans="1:19" ht="18" customHeight="1" thickBot="1" x14ac:dyDescent="0.3">
      <c r="A61" s="466"/>
      <c r="B61" s="460"/>
      <c r="C61" s="468"/>
      <c r="D61" s="36"/>
      <c r="E61" s="36"/>
      <c r="F61" s="754"/>
      <c r="G61" s="347"/>
      <c r="H61" s="745"/>
      <c r="I61" s="24" t="s">
        <v>38</v>
      </c>
      <c r="J61" s="646">
        <v>18</v>
      </c>
      <c r="K61" s="172">
        <v>18</v>
      </c>
      <c r="L61" s="348">
        <v>20</v>
      </c>
      <c r="M61" s="349">
        <v>20</v>
      </c>
      <c r="N61" s="350" t="s">
        <v>184</v>
      </c>
      <c r="O61" s="861">
        <v>10</v>
      </c>
      <c r="P61" s="351">
        <v>12</v>
      </c>
      <c r="Q61" s="864">
        <v>13</v>
      </c>
      <c r="R61" s="139">
        <v>14</v>
      </c>
      <c r="S61" s="20"/>
    </row>
    <row r="62" spans="1:19" ht="16.2" customHeight="1" x14ac:dyDescent="0.25">
      <c r="A62" s="466"/>
      <c r="B62" s="460"/>
      <c r="C62" s="468"/>
      <c r="D62" s="33" t="s">
        <v>145</v>
      </c>
      <c r="E62" s="33"/>
      <c r="F62" s="1102" t="s">
        <v>206</v>
      </c>
      <c r="G62" s="345"/>
      <c r="H62" s="745"/>
      <c r="I62" s="67" t="s">
        <v>124</v>
      </c>
      <c r="J62" s="332">
        <f>46.5</f>
        <v>46.5</v>
      </c>
      <c r="K62" s="333"/>
      <c r="L62" s="334"/>
      <c r="M62" s="335"/>
      <c r="N62" s="868" t="s">
        <v>62</v>
      </c>
      <c r="O62" s="862">
        <v>98</v>
      </c>
      <c r="P62" s="17">
        <v>100</v>
      </c>
      <c r="Q62" s="863"/>
      <c r="R62" s="282"/>
      <c r="S62" s="20"/>
    </row>
    <row r="63" spans="1:19" ht="16.2" customHeight="1" x14ac:dyDescent="0.25">
      <c r="A63" s="466"/>
      <c r="B63" s="460"/>
      <c r="C63" s="468"/>
      <c r="D63" s="772"/>
      <c r="E63" s="772"/>
      <c r="F63" s="1023"/>
      <c r="G63" s="345"/>
      <c r="H63" s="745"/>
      <c r="I63" s="19" t="s">
        <v>14</v>
      </c>
      <c r="J63" s="62">
        <v>4.5</v>
      </c>
      <c r="K63" s="12"/>
      <c r="L63" s="185"/>
      <c r="M63" s="175"/>
      <c r="N63" s="868"/>
      <c r="O63" s="859"/>
      <c r="P63" s="106"/>
      <c r="Q63" s="155"/>
      <c r="R63" s="123"/>
      <c r="S63" s="20"/>
    </row>
    <row r="64" spans="1:19" ht="16.2" customHeight="1" x14ac:dyDescent="0.25">
      <c r="A64" s="466"/>
      <c r="B64" s="460"/>
      <c r="C64" s="468"/>
      <c r="D64" s="828"/>
      <c r="E64" s="828"/>
      <c r="F64" s="1023"/>
      <c r="G64" s="345"/>
      <c r="H64" s="831"/>
      <c r="I64" s="19" t="s">
        <v>75</v>
      </c>
      <c r="J64" s="640"/>
      <c r="K64" s="167">
        <v>5.4</v>
      </c>
      <c r="L64" s="310"/>
      <c r="M64" s="311"/>
      <c r="N64" s="868"/>
      <c r="O64" s="859"/>
      <c r="P64" s="106"/>
      <c r="Q64" s="155"/>
      <c r="R64" s="123"/>
      <c r="S64" s="20"/>
    </row>
    <row r="65" spans="1:19" ht="16.2" customHeight="1" thickBot="1" x14ac:dyDescent="0.3">
      <c r="A65" s="466"/>
      <c r="B65" s="460"/>
      <c r="C65" s="468"/>
      <c r="D65" s="36"/>
      <c r="E65" s="36"/>
      <c r="F65" s="1103"/>
      <c r="G65" s="345"/>
      <c r="H65" s="745"/>
      <c r="I65" s="24" t="s">
        <v>17</v>
      </c>
      <c r="J65" s="646">
        <v>3</v>
      </c>
      <c r="K65" s="172">
        <v>0.9</v>
      </c>
      <c r="L65" s="348"/>
      <c r="M65" s="349"/>
      <c r="N65" s="868"/>
      <c r="O65" s="859"/>
      <c r="P65" s="106"/>
      <c r="Q65" s="155"/>
      <c r="R65" s="123"/>
      <c r="S65" s="20"/>
    </row>
    <row r="66" spans="1:19" ht="16.2" customHeight="1" x14ac:dyDescent="0.25">
      <c r="A66" s="481"/>
      <c r="B66" s="463"/>
      <c r="C66" s="461"/>
      <c r="D66" s="772" t="s">
        <v>146</v>
      </c>
      <c r="E66" s="772"/>
      <c r="F66" s="1023" t="s">
        <v>104</v>
      </c>
      <c r="G66" s="482"/>
      <c r="H66" s="745"/>
      <c r="I66" s="3" t="s">
        <v>14</v>
      </c>
      <c r="J66" s="647">
        <v>545.29999999999995</v>
      </c>
      <c r="K66" s="909">
        <v>532.20000000000005</v>
      </c>
      <c r="L66" s="842">
        <v>560</v>
      </c>
      <c r="M66" s="228">
        <v>560</v>
      </c>
      <c r="N66" s="291" t="s">
        <v>226</v>
      </c>
      <c r="O66" s="45">
        <v>150</v>
      </c>
      <c r="P66" s="292">
        <v>139</v>
      </c>
      <c r="Q66" s="272">
        <v>150</v>
      </c>
      <c r="R66" s="352">
        <v>160</v>
      </c>
      <c r="S66" s="20"/>
    </row>
    <row r="67" spans="1:19" ht="28.2" customHeight="1" x14ac:dyDescent="0.25">
      <c r="A67" s="481"/>
      <c r="B67" s="463"/>
      <c r="C67" s="461"/>
      <c r="D67" s="772"/>
      <c r="E67" s="772"/>
      <c r="F67" s="1023"/>
      <c r="G67" s="482"/>
      <c r="H67" s="745"/>
      <c r="I67" s="3" t="s">
        <v>17</v>
      </c>
      <c r="J67" s="88">
        <v>164.9</v>
      </c>
      <c r="K67" s="10">
        <v>179.7</v>
      </c>
      <c r="L67" s="184">
        <f>+K67</f>
        <v>179.7</v>
      </c>
      <c r="M67" s="227">
        <f>+L67</f>
        <v>179.7</v>
      </c>
      <c r="N67" s="50" t="s">
        <v>255</v>
      </c>
      <c r="O67" s="51"/>
      <c r="P67" s="320"/>
      <c r="Q67" s="150">
        <v>2</v>
      </c>
      <c r="R67" s="353"/>
      <c r="S67" s="20"/>
    </row>
    <row r="68" spans="1:19" ht="31.2" customHeight="1" x14ac:dyDescent="0.25">
      <c r="A68" s="481"/>
      <c r="B68" s="463"/>
      <c r="C68" s="461"/>
      <c r="D68" s="772"/>
      <c r="E68" s="772"/>
      <c r="F68" s="1023"/>
      <c r="G68" s="482"/>
      <c r="H68" s="745"/>
      <c r="I68" s="3" t="s">
        <v>17</v>
      </c>
      <c r="J68" s="648">
        <v>5.7</v>
      </c>
      <c r="K68" s="11"/>
      <c r="L68" s="193"/>
      <c r="M68" s="226"/>
      <c r="N68" s="708" t="s">
        <v>256</v>
      </c>
      <c r="O68" s="858"/>
      <c r="P68" s="363"/>
      <c r="Q68" s="310">
        <v>0.1</v>
      </c>
      <c r="R68" s="138"/>
      <c r="S68" s="20"/>
    </row>
    <row r="69" spans="1:19" ht="16.2" customHeight="1" thickBot="1" x14ac:dyDescent="0.3">
      <c r="A69" s="481"/>
      <c r="B69" s="463"/>
      <c r="C69" s="461"/>
      <c r="D69" s="36"/>
      <c r="E69" s="36"/>
      <c r="F69" s="1103"/>
      <c r="G69" s="482"/>
      <c r="H69" s="745"/>
      <c r="I69" s="2" t="s">
        <v>38</v>
      </c>
      <c r="J69" s="640">
        <v>39.6</v>
      </c>
      <c r="K69" s="167">
        <v>39.6</v>
      </c>
      <c r="L69" s="310">
        <v>40</v>
      </c>
      <c r="M69" s="323">
        <v>40</v>
      </c>
      <c r="N69" s="354" t="s">
        <v>225</v>
      </c>
      <c r="O69" s="60">
        <v>1</v>
      </c>
      <c r="P69" s="24"/>
      <c r="Q69" s="149"/>
      <c r="R69" s="283"/>
      <c r="S69" s="20"/>
    </row>
    <row r="70" spans="1:19" ht="43.2" customHeight="1" x14ac:dyDescent="0.25">
      <c r="A70" s="481"/>
      <c r="B70" s="463"/>
      <c r="C70" s="461"/>
      <c r="D70" s="772" t="s">
        <v>147</v>
      </c>
      <c r="E70" s="772"/>
      <c r="F70" s="753" t="s">
        <v>105</v>
      </c>
      <c r="G70" s="345"/>
      <c r="H70" s="745"/>
      <c r="I70" s="17" t="s">
        <v>14</v>
      </c>
      <c r="J70" s="63">
        <v>236.8</v>
      </c>
      <c r="K70" s="910">
        <v>227.8</v>
      </c>
      <c r="L70" s="189">
        <v>287.7</v>
      </c>
      <c r="M70" s="179">
        <v>287.7</v>
      </c>
      <c r="N70" s="326" t="s">
        <v>131</v>
      </c>
      <c r="O70" s="45">
        <v>670</v>
      </c>
      <c r="P70" s="327"/>
      <c r="Q70" s="272"/>
      <c r="R70" s="122"/>
      <c r="S70" s="20"/>
    </row>
    <row r="71" spans="1:19" ht="16.5" customHeight="1" x14ac:dyDescent="0.25">
      <c r="A71" s="481"/>
      <c r="B71" s="463"/>
      <c r="C71" s="461"/>
      <c r="D71" s="772"/>
      <c r="E71" s="772"/>
      <c r="F71" s="753"/>
      <c r="G71" s="347"/>
      <c r="H71" s="745"/>
      <c r="I71" s="2" t="s">
        <v>38</v>
      </c>
      <c r="J71" s="640">
        <v>30</v>
      </c>
      <c r="K71" s="167">
        <v>30</v>
      </c>
      <c r="L71" s="310">
        <v>35</v>
      </c>
      <c r="M71" s="311">
        <v>35</v>
      </c>
      <c r="N71" s="20" t="s">
        <v>132</v>
      </c>
      <c r="O71" s="859">
        <v>20</v>
      </c>
      <c r="P71" s="316"/>
      <c r="Q71" s="155"/>
      <c r="R71" s="123"/>
      <c r="S71" s="20"/>
    </row>
    <row r="72" spans="1:19" ht="30" customHeight="1" x14ac:dyDescent="0.25">
      <c r="A72" s="481"/>
      <c r="B72" s="463"/>
      <c r="C72" s="461"/>
      <c r="D72" s="772"/>
      <c r="E72" s="772"/>
      <c r="F72" s="753"/>
      <c r="G72" s="345"/>
      <c r="H72" s="745"/>
      <c r="I72" s="106"/>
      <c r="J72" s="641"/>
      <c r="K72" s="169"/>
      <c r="L72" s="188"/>
      <c r="M72" s="178"/>
      <c r="N72" s="156" t="s">
        <v>258</v>
      </c>
      <c r="O72" s="51"/>
      <c r="P72" s="341">
        <v>2000</v>
      </c>
      <c r="Q72" s="150">
        <v>2100</v>
      </c>
      <c r="R72" s="151">
        <v>2190</v>
      </c>
      <c r="S72" s="20"/>
    </row>
    <row r="73" spans="1:19" ht="41.7" customHeight="1" x14ac:dyDescent="0.25">
      <c r="A73" s="481"/>
      <c r="B73" s="463"/>
      <c r="C73" s="461"/>
      <c r="D73" s="772"/>
      <c r="E73" s="772"/>
      <c r="F73" s="753"/>
      <c r="G73" s="345"/>
      <c r="H73" s="745"/>
      <c r="I73" s="106"/>
      <c r="J73" s="641"/>
      <c r="K73" s="169"/>
      <c r="L73" s="188"/>
      <c r="M73" s="178"/>
      <c r="N73" s="125" t="s">
        <v>259</v>
      </c>
      <c r="O73" s="859"/>
      <c r="P73" s="316">
        <v>80</v>
      </c>
      <c r="Q73" s="155">
        <v>85</v>
      </c>
      <c r="R73" s="123">
        <v>90</v>
      </c>
      <c r="S73" s="20"/>
    </row>
    <row r="74" spans="1:19" ht="30.75" customHeight="1" thickBot="1" x14ac:dyDescent="0.3">
      <c r="A74" s="481"/>
      <c r="B74" s="463"/>
      <c r="C74" s="461"/>
      <c r="D74" s="36"/>
      <c r="E74" s="36"/>
      <c r="F74" s="754"/>
      <c r="G74" s="345"/>
      <c r="H74" s="745"/>
      <c r="I74" s="106"/>
      <c r="J74" s="642"/>
      <c r="K74" s="171"/>
      <c r="L74" s="190"/>
      <c r="M74" s="180"/>
      <c r="N74" s="59" t="s">
        <v>89</v>
      </c>
      <c r="O74" s="60">
        <v>13000</v>
      </c>
      <c r="P74" s="24">
        <v>12700</v>
      </c>
      <c r="Q74" s="149">
        <v>12500</v>
      </c>
      <c r="R74" s="283">
        <v>12000</v>
      </c>
      <c r="S74" s="20"/>
    </row>
    <row r="75" spans="1:19" ht="28.5" customHeight="1" x14ac:dyDescent="0.25">
      <c r="A75" s="453"/>
      <c r="B75" s="463"/>
      <c r="C75" s="461"/>
      <c r="D75" s="804" t="s">
        <v>148</v>
      </c>
      <c r="E75" s="804"/>
      <c r="F75" s="1106" t="s">
        <v>133</v>
      </c>
      <c r="G75" s="483" t="s">
        <v>193</v>
      </c>
      <c r="H75" s="81"/>
      <c r="I75" s="17" t="s">
        <v>14</v>
      </c>
      <c r="J75" s="64">
        <v>2.7</v>
      </c>
      <c r="K75" s="47"/>
      <c r="L75" s="186"/>
      <c r="M75" s="176"/>
      <c r="N75" s="326" t="s">
        <v>173</v>
      </c>
      <c r="O75" s="45"/>
      <c r="P75" s="327"/>
      <c r="Q75" s="272"/>
      <c r="R75" s="122"/>
      <c r="S75" s="20"/>
    </row>
    <row r="76" spans="1:19" ht="27" customHeight="1" x14ac:dyDescent="0.25">
      <c r="A76" s="453"/>
      <c r="B76" s="463"/>
      <c r="C76" s="461"/>
      <c r="D76" s="772"/>
      <c r="E76" s="772"/>
      <c r="F76" s="1107"/>
      <c r="G76" s="347"/>
      <c r="H76" s="81"/>
      <c r="I76" s="8" t="s">
        <v>75</v>
      </c>
      <c r="J76" s="12"/>
      <c r="K76" s="12">
        <v>5</v>
      </c>
      <c r="L76" s="185"/>
      <c r="M76" s="175"/>
      <c r="N76" s="57" t="s">
        <v>180</v>
      </c>
      <c r="O76" s="859">
        <v>100</v>
      </c>
      <c r="P76" s="316"/>
      <c r="Q76" s="154">
        <v>300</v>
      </c>
      <c r="R76" s="123">
        <v>400</v>
      </c>
      <c r="S76" s="20"/>
    </row>
    <row r="77" spans="1:19" ht="29.25" customHeight="1" thickBot="1" x14ac:dyDescent="0.3">
      <c r="A77" s="453"/>
      <c r="B77" s="463"/>
      <c r="C77" s="461"/>
      <c r="D77" s="772"/>
      <c r="E77" s="772"/>
      <c r="F77" s="1107"/>
      <c r="G77" s="484"/>
      <c r="H77" s="81"/>
      <c r="I77" s="24" t="s">
        <v>14</v>
      </c>
      <c r="J77" s="646">
        <v>5</v>
      </c>
      <c r="K77" s="167">
        <v>6</v>
      </c>
      <c r="L77" s="310">
        <v>9.5</v>
      </c>
      <c r="M77" s="311">
        <v>10</v>
      </c>
      <c r="N77" s="57" t="s">
        <v>192</v>
      </c>
      <c r="O77" s="858">
        <v>15</v>
      </c>
      <c r="P77" s="144">
        <v>15</v>
      </c>
      <c r="Q77" s="155">
        <v>30</v>
      </c>
      <c r="R77" s="138"/>
      <c r="S77" s="20"/>
    </row>
    <row r="78" spans="1:19" ht="42" customHeight="1" x14ac:dyDescent="0.25">
      <c r="A78" s="453"/>
      <c r="B78" s="463"/>
      <c r="C78" s="461"/>
      <c r="D78" s="33" t="s">
        <v>217</v>
      </c>
      <c r="E78" s="33"/>
      <c r="F78" s="66" t="s">
        <v>128</v>
      </c>
      <c r="G78" s="347"/>
      <c r="H78" s="81"/>
      <c r="I78" s="67"/>
      <c r="J78" s="649"/>
      <c r="K78" s="664"/>
      <c r="L78" s="334"/>
      <c r="M78" s="355"/>
      <c r="N78" s="356" t="s">
        <v>87</v>
      </c>
      <c r="O78" s="67">
        <v>120</v>
      </c>
      <c r="P78" s="357">
        <v>125</v>
      </c>
      <c r="Q78" s="272">
        <v>190</v>
      </c>
      <c r="R78" s="352">
        <v>210</v>
      </c>
      <c r="S78" s="20"/>
    </row>
    <row r="79" spans="1:19" ht="15.75" customHeight="1" x14ac:dyDescent="0.25">
      <c r="A79" s="453"/>
      <c r="B79" s="463"/>
      <c r="C79" s="461"/>
      <c r="D79" s="772"/>
      <c r="E79" s="38" t="s">
        <v>13</v>
      </c>
      <c r="F79" s="115" t="s">
        <v>170</v>
      </c>
      <c r="G79" s="345"/>
      <c r="H79" s="81"/>
      <c r="I79" s="3" t="s">
        <v>14</v>
      </c>
      <c r="J79" s="168">
        <v>51.2</v>
      </c>
      <c r="K79" s="665">
        <v>103.4</v>
      </c>
      <c r="L79" s="185">
        <v>137.19999999999999</v>
      </c>
      <c r="M79" s="358">
        <v>137.69999999999999</v>
      </c>
      <c r="N79" s="852" t="s">
        <v>85</v>
      </c>
      <c r="O79" s="106">
        <v>2</v>
      </c>
      <c r="P79" s="359">
        <v>2</v>
      </c>
      <c r="Q79" s="148">
        <v>2</v>
      </c>
      <c r="R79" s="319">
        <v>1</v>
      </c>
      <c r="S79" s="20"/>
    </row>
    <row r="80" spans="1:19" ht="15.6" customHeight="1" x14ac:dyDescent="0.25">
      <c r="A80" s="453"/>
      <c r="B80" s="463"/>
      <c r="C80" s="461"/>
      <c r="D80" s="772"/>
      <c r="E80" s="772" t="s">
        <v>16</v>
      </c>
      <c r="F80" s="755" t="s">
        <v>92</v>
      </c>
      <c r="G80" s="328" t="s">
        <v>193</v>
      </c>
      <c r="H80" s="81"/>
      <c r="I80" s="106" t="s">
        <v>14</v>
      </c>
      <c r="J80" s="169">
        <v>47.9</v>
      </c>
      <c r="K80" s="12"/>
      <c r="L80" s="185">
        <v>26.5</v>
      </c>
      <c r="M80" s="358">
        <v>26.5</v>
      </c>
      <c r="N80" s="850" t="s">
        <v>85</v>
      </c>
      <c r="O80" s="2">
        <v>2</v>
      </c>
      <c r="P80" s="359">
        <v>0</v>
      </c>
      <c r="Q80" s="148">
        <v>1</v>
      </c>
      <c r="R80" s="319">
        <v>1</v>
      </c>
      <c r="S80" s="20"/>
    </row>
    <row r="81" spans="1:19" ht="15.6" customHeight="1" thickBot="1" x14ac:dyDescent="0.3">
      <c r="A81" s="453"/>
      <c r="B81" s="463"/>
      <c r="C81" s="461"/>
      <c r="D81" s="29"/>
      <c r="E81" s="772"/>
      <c r="F81" s="749"/>
      <c r="G81" s="328"/>
      <c r="H81" s="81"/>
      <c r="I81" s="24" t="s">
        <v>75</v>
      </c>
      <c r="J81" s="172">
        <v>5.0999999999999996</v>
      </c>
      <c r="K81" s="666"/>
      <c r="L81" s="739"/>
      <c r="M81" s="740"/>
      <c r="N81" s="516"/>
      <c r="O81" s="18"/>
      <c r="P81" s="314"/>
      <c r="Q81" s="864"/>
      <c r="R81" s="139"/>
      <c r="S81" s="20"/>
    </row>
    <row r="82" spans="1:19" ht="29.25" customHeight="1" x14ac:dyDescent="0.25">
      <c r="A82" s="453"/>
      <c r="B82" s="463"/>
      <c r="C82" s="485"/>
      <c r="D82" s="29"/>
      <c r="E82" s="33" t="s">
        <v>18</v>
      </c>
      <c r="F82" s="65" t="s">
        <v>181</v>
      </c>
      <c r="G82" s="342" t="s">
        <v>127</v>
      </c>
      <c r="H82" s="974" t="s">
        <v>196</v>
      </c>
      <c r="I82" s="17"/>
      <c r="J82" s="64"/>
      <c r="K82" s="47"/>
      <c r="L82" s="186"/>
      <c r="M82" s="231"/>
      <c r="N82" s="866"/>
      <c r="O82" s="282"/>
      <c r="P82" s="6"/>
      <c r="Q82" s="863"/>
      <c r="R82" s="282"/>
      <c r="S82" s="20"/>
    </row>
    <row r="83" spans="1:19" ht="15.75" customHeight="1" x14ac:dyDescent="0.25">
      <c r="A83" s="453"/>
      <c r="B83" s="463"/>
      <c r="C83" s="461"/>
      <c r="D83" s="29"/>
      <c r="E83" s="772"/>
      <c r="F83" s="958" t="s">
        <v>207</v>
      </c>
      <c r="G83" s="328"/>
      <c r="H83" s="974"/>
      <c r="I83" s="106" t="s">
        <v>14</v>
      </c>
      <c r="J83" s="644">
        <v>53.5</v>
      </c>
      <c r="K83" s="16">
        <v>90.6</v>
      </c>
      <c r="L83" s="191">
        <v>135.5</v>
      </c>
      <c r="M83" s="229">
        <v>152.69999999999999</v>
      </c>
      <c r="N83" s="853" t="s">
        <v>87</v>
      </c>
      <c r="O83" s="284">
        <v>210</v>
      </c>
      <c r="P83" s="711">
        <v>123</v>
      </c>
      <c r="Q83" s="154">
        <v>270</v>
      </c>
      <c r="R83" s="284">
        <v>300</v>
      </c>
      <c r="S83" s="20"/>
    </row>
    <row r="84" spans="1:19" ht="15.75" customHeight="1" thickBot="1" x14ac:dyDescent="0.3">
      <c r="A84" s="453"/>
      <c r="B84" s="463"/>
      <c r="C84" s="461"/>
      <c r="D84" s="29"/>
      <c r="E84" s="772"/>
      <c r="F84" s="946"/>
      <c r="G84" s="328"/>
      <c r="H84" s="974"/>
      <c r="I84" s="3"/>
      <c r="J84" s="647"/>
      <c r="K84" s="55"/>
      <c r="L84" s="192"/>
      <c r="M84" s="228"/>
      <c r="N84" s="851" t="s">
        <v>153</v>
      </c>
      <c r="O84" s="123">
        <v>7</v>
      </c>
      <c r="P84" s="712">
        <v>9</v>
      </c>
      <c r="Q84" s="148">
        <v>12</v>
      </c>
      <c r="R84" s="123">
        <v>15</v>
      </c>
      <c r="S84" s="20"/>
    </row>
    <row r="85" spans="1:19" ht="29.25" customHeight="1" x14ac:dyDescent="0.25">
      <c r="A85" s="453"/>
      <c r="B85" s="463"/>
      <c r="C85" s="461"/>
      <c r="D85" s="29"/>
      <c r="E85" s="804" t="s">
        <v>20</v>
      </c>
      <c r="F85" s="958" t="s">
        <v>262</v>
      </c>
      <c r="G85" s="1117" t="s">
        <v>183</v>
      </c>
      <c r="H85" s="745" t="s">
        <v>196</v>
      </c>
      <c r="I85" s="17" t="s">
        <v>14</v>
      </c>
      <c r="J85" s="64">
        <v>36.9</v>
      </c>
      <c r="K85" s="47">
        <v>73.599999999999994</v>
      </c>
      <c r="L85" s="186">
        <v>103.9</v>
      </c>
      <c r="M85" s="231">
        <v>113.6</v>
      </c>
      <c r="N85" s="291" t="s">
        <v>261</v>
      </c>
      <c r="O85" s="45"/>
      <c r="P85" s="292">
        <v>1</v>
      </c>
      <c r="Q85" s="863"/>
      <c r="R85" s="122"/>
      <c r="S85" s="20"/>
    </row>
    <row r="86" spans="1:19" ht="15.75" customHeight="1" x14ac:dyDescent="0.25">
      <c r="A86" s="453"/>
      <c r="B86" s="463"/>
      <c r="C86" s="461"/>
      <c r="D86" s="29"/>
      <c r="E86" s="772"/>
      <c r="F86" s="958"/>
      <c r="G86" s="1117"/>
      <c r="H86" s="81"/>
      <c r="I86" s="106"/>
      <c r="J86" s="641"/>
      <c r="K86" s="169"/>
      <c r="L86" s="188"/>
      <c r="M86" s="178"/>
      <c r="N86" s="57" t="s">
        <v>134</v>
      </c>
      <c r="O86" s="360">
        <v>2.15</v>
      </c>
      <c r="P86" s="361">
        <v>4.83</v>
      </c>
      <c r="Q86" s="321">
        <v>5.56</v>
      </c>
      <c r="R86" s="362">
        <v>5.88</v>
      </c>
      <c r="S86" s="20"/>
    </row>
    <row r="87" spans="1:19" ht="31.5" customHeight="1" thickBot="1" x14ac:dyDescent="0.3">
      <c r="A87" s="453"/>
      <c r="B87" s="463"/>
      <c r="C87" s="461"/>
      <c r="D87" s="29"/>
      <c r="E87" s="772"/>
      <c r="F87" s="749"/>
      <c r="G87" s="486" t="s">
        <v>193</v>
      </c>
      <c r="H87" s="81"/>
      <c r="I87" s="18"/>
      <c r="J87" s="642"/>
      <c r="K87" s="171"/>
      <c r="L87" s="190"/>
      <c r="M87" s="180"/>
      <c r="N87" s="59" t="s">
        <v>260</v>
      </c>
      <c r="O87" s="60">
        <v>53</v>
      </c>
      <c r="P87" s="363">
        <v>25</v>
      </c>
      <c r="Q87" s="148">
        <v>195</v>
      </c>
      <c r="R87" s="319">
        <v>180</v>
      </c>
      <c r="S87" s="20"/>
    </row>
    <row r="88" spans="1:19" ht="53.25" customHeight="1" x14ac:dyDescent="0.25">
      <c r="A88" s="469"/>
      <c r="B88" s="460"/>
      <c r="C88" s="468"/>
      <c r="D88" s="33" t="s">
        <v>218</v>
      </c>
      <c r="E88" s="28"/>
      <c r="F88" s="748" t="s">
        <v>63</v>
      </c>
      <c r="G88" s="487"/>
      <c r="H88" s="745"/>
      <c r="I88" s="17" t="s">
        <v>14</v>
      </c>
      <c r="J88" s="64">
        <v>710.5</v>
      </c>
      <c r="K88" s="47">
        <f>503.4+74.7</f>
        <v>578.1</v>
      </c>
      <c r="L88" s="186">
        <v>704.1</v>
      </c>
      <c r="M88" s="231">
        <v>704.1</v>
      </c>
      <c r="N88" s="364" t="s">
        <v>106</v>
      </c>
      <c r="O88" s="862">
        <v>506</v>
      </c>
      <c r="P88" s="272">
        <v>507</v>
      </c>
      <c r="Q88" s="272">
        <v>507</v>
      </c>
      <c r="R88" s="352">
        <v>507</v>
      </c>
      <c r="S88" s="20"/>
    </row>
    <row r="89" spans="1:19" ht="27.75" customHeight="1" thickBot="1" x14ac:dyDescent="0.3">
      <c r="A89" s="469"/>
      <c r="B89" s="460"/>
      <c r="C89" s="468"/>
      <c r="D89" s="30"/>
      <c r="E89" s="30"/>
      <c r="F89" s="750"/>
      <c r="G89" s="345"/>
      <c r="H89" s="745"/>
      <c r="I89" s="2" t="s">
        <v>17</v>
      </c>
      <c r="J89" s="640"/>
      <c r="K89" s="167">
        <v>176.4</v>
      </c>
      <c r="L89" s="310">
        <v>199</v>
      </c>
      <c r="M89" s="323">
        <v>200</v>
      </c>
      <c r="N89" s="285" t="s">
        <v>179</v>
      </c>
      <c r="O89" s="858">
        <v>11</v>
      </c>
      <c r="P89" s="148">
        <v>8</v>
      </c>
      <c r="Q89" s="148">
        <v>11</v>
      </c>
      <c r="R89" s="319">
        <v>11</v>
      </c>
      <c r="S89" s="20"/>
    </row>
    <row r="90" spans="1:19" ht="15.6" customHeight="1" x14ac:dyDescent="0.25">
      <c r="A90" s="469"/>
      <c r="B90" s="460"/>
      <c r="C90" s="468"/>
      <c r="D90" s="91" t="s">
        <v>219</v>
      </c>
      <c r="E90" s="91"/>
      <c r="F90" s="92" t="s">
        <v>48</v>
      </c>
      <c r="G90" s="345"/>
      <c r="H90" s="745"/>
      <c r="I90" s="67" t="s">
        <v>17</v>
      </c>
      <c r="J90" s="332">
        <f>60.9+40.9</f>
        <v>101.8</v>
      </c>
      <c r="K90" s="333">
        <v>50.2</v>
      </c>
      <c r="L90" s="334">
        <v>66</v>
      </c>
      <c r="M90" s="488">
        <v>66</v>
      </c>
      <c r="N90" s="356" t="s">
        <v>93</v>
      </c>
      <c r="O90" s="45">
        <v>17</v>
      </c>
      <c r="P90" s="6">
        <v>17</v>
      </c>
      <c r="Q90" s="863">
        <v>17</v>
      </c>
      <c r="R90" s="282">
        <v>17</v>
      </c>
      <c r="S90" s="20"/>
    </row>
    <row r="91" spans="1:19" ht="15.6" customHeight="1" x14ac:dyDescent="0.25">
      <c r="A91" s="469"/>
      <c r="B91" s="460"/>
      <c r="C91" s="461"/>
      <c r="D91" s="772" t="s">
        <v>220</v>
      </c>
      <c r="E91" s="772"/>
      <c r="F91" s="755" t="s">
        <v>80</v>
      </c>
      <c r="G91" s="345"/>
      <c r="H91" s="745"/>
      <c r="I91" s="106" t="s">
        <v>14</v>
      </c>
      <c r="J91" s="641">
        <v>315.7</v>
      </c>
      <c r="K91" s="169">
        <v>304.5</v>
      </c>
      <c r="L91" s="188">
        <v>346.6</v>
      </c>
      <c r="M91" s="288">
        <v>400</v>
      </c>
      <c r="N91" s="156" t="s">
        <v>86</v>
      </c>
      <c r="O91" s="51">
        <v>1215</v>
      </c>
      <c r="P91" s="312">
        <v>1204</v>
      </c>
      <c r="Q91" s="150">
        <v>1215</v>
      </c>
      <c r="R91" s="286">
        <v>1215</v>
      </c>
      <c r="S91" s="20"/>
    </row>
    <row r="92" spans="1:19" ht="69" customHeight="1" thickBot="1" x14ac:dyDescent="0.3">
      <c r="A92" s="469"/>
      <c r="B92" s="460"/>
      <c r="C92" s="461"/>
      <c r="D92" s="38" t="s">
        <v>221</v>
      </c>
      <c r="E92" s="38"/>
      <c r="F92" s="56" t="s">
        <v>95</v>
      </c>
      <c r="G92" s="722" t="s">
        <v>41</v>
      </c>
      <c r="H92" s="745"/>
      <c r="I92" s="2" t="s">
        <v>14</v>
      </c>
      <c r="J92" s="640">
        <v>147.1</v>
      </c>
      <c r="K92" s="167">
        <v>155.50299999999999</v>
      </c>
      <c r="L92" s="310">
        <v>67.3</v>
      </c>
      <c r="M92" s="311">
        <v>67.3</v>
      </c>
      <c r="N92" s="285" t="s">
        <v>70</v>
      </c>
      <c r="O92" s="379">
        <v>5800</v>
      </c>
      <c r="P92" s="131">
        <v>7753</v>
      </c>
      <c r="Q92" s="148">
        <v>7753</v>
      </c>
      <c r="R92" s="267">
        <v>7753</v>
      </c>
    </row>
    <row r="93" spans="1:19" ht="56.7" customHeight="1" x14ac:dyDescent="0.25">
      <c r="A93" s="469"/>
      <c r="B93" s="460"/>
      <c r="C93" s="461"/>
      <c r="D93" s="804" t="s">
        <v>222</v>
      </c>
      <c r="E93" s="804"/>
      <c r="F93" s="945" t="s">
        <v>263</v>
      </c>
      <c r="G93" s="1127"/>
      <c r="H93" s="974"/>
      <c r="I93" s="17" t="s">
        <v>14</v>
      </c>
      <c r="J93" s="64"/>
      <c r="K93" s="713"/>
      <c r="L93" s="186">
        <v>196.53</v>
      </c>
      <c r="M93" s="493">
        <v>196.53</v>
      </c>
      <c r="N93" s="291" t="s">
        <v>264</v>
      </c>
      <c r="O93" s="494"/>
      <c r="P93" s="67">
        <v>6</v>
      </c>
      <c r="Q93" s="272">
        <v>6</v>
      </c>
      <c r="R93" s="495">
        <v>6</v>
      </c>
    </row>
    <row r="94" spans="1:19" ht="45" customHeight="1" thickBot="1" x14ac:dyDescent="0.3">
      <c r="A94" s="469"/>
      <c r="B94" s="460"/>
      <c r="C94" s="461"/>
      <c r="D94" s="772"/>
      <c r="E94" s="772"/>
      <c r="F94" s="957"/>
      <c r="G94" s="1127"/>
      <c r="H94" s="974"/>
      <c r="I94" s="106"/>
      <c r="J94" s="641"/>
      <c r="K94" s="169"/>
      <c r="L94" s="188"/>
      <c r="M94" s="288"/>
      <c r="N94" s="13" t="s">
        <v>265</v>
      </c>
      <c r="O94" s="496"/>
      <c r="P94" s="106">
        <v>10</v>
      </c>
      <c r="Q94" s="155">
        <v>10</v>
      </c>
      <c r="R94" s="497">
        <v>10</v>
      </c>
    </row>
    <row r="95" spans="1:19" ht="28.95" customHeight="1" x14ac:dyDescent="0.25">
      <c r="A95" s="469"/>
      <c r="B95" s="460"/>
      <c r="C95" s="468"/>
      <c r="D95" s="33"/>
      <c r="E95" s="33"/>
      <c r="F95" s="92" t="s">
        <v>216</v>
      </c>
      <c r="G95" s="342"/>
      <c r="H95" s="744"/>
      <c r="I95" s="17" t="s">
        <v>17</v>
      </c>
      <c r="J95" s="64">
        <v>0.4</v>
      </c>
      <c r="K95" s="47"/>
      <c r="L95" s="186"/>
      <c r="M95" s="176"/>
      <c r="N95" s="506"/>
      <c r="O95" s="781"/>
      <c r="P95" s="4"/>
      <c r="Q95" s="518"/>
      <c r="R95" s="519"/>
    </row>
    <row r="96" spans="1:19" ht="21" customHeight="1" x14ac:dyDescent="0.25">
      <c r="A96" s="469"/>
      <c r="B96" s="460"/>
      <c r="C96" s="461"/>
      <c r="D96" s="772"/>
      <c r="E96" s="772"/>
      <c r="F96" s="945" t="s">
        <v>135</v>
      </c>
      <c r="G96" s="345"/>
      <c r="H96" s="745"/>
      <c r="I96" s="2" t="s">
        <v>17</v>
      </c>
      <c r="J96" s="640">
        <v>10</v>
      </c>
      <c r="K96" s="167"/>
      <c r="L96" s="310"/>
      <c r="M96" s="323"/>
      <c r="N96" s="156" t="s">
        <v>85</v>
      </c>
      <c r="O96" s="723">
        <v>1</v>
      </c>
      <c r="P96" s="779"/>
      <c r="Q96" s="662"/>
      <c r="R96" s="663"/>
    </row>
    <row r="97" spans="1:18" ht="21" customHeight="1" x14ac:dyDescent="0.25">
      <c r="A97" s="469"/>
      <c r="B97" s="460"/>
      <c r="C97" s="461"/>
      <c r="D97" s="772"/>
      <c r="E97" s="772"/>
      <c r="F97" s="946"/>
      <c r="G97" s="345"/>
      <c r="H97" s="745"/>
      <c r="I97" s="106"/>
      <c r="J97" s="641"/>
      <c r="K97" s="169"/>
      <c r="L97" s="188"/>
      <c r="M97" s="288"/>
      <c r="N97" s="156" t="s">
        <v>86</v>
      </c>
      <c r="O97" s="490">
        <v>4</v>
      </c>
      <c r="P97" s="293"/>
      <c r="Q97" s="491"/>
      <c r="R97" s="492"/>
    </row>
    <row r="98" spans="1:18" ht="22.2" customHeight="1" x14ac:dyDescent="0.25">
      <c r="A98" s="469"/>
      <c r="B98" s="460"/>
      <c r="C98" s="468"/>
      <c r="D98" s="772"/>
      <c r="E98" s="941"/>
      <c r="F98" s="945" t="s">
        <v>175</v>
      </c>
      <c r="G98" s="328"/>
      <c r="H98" s="745"/>
      <c r="I98" s="131" t="s">
        <v>4</v>
      </c>
      <c r="J98" s="640">
        <f>125.9-20.9</f>
        <v>105</v>
      </c>
      <c r="K98" s="167"/>
      <c r="L98" s="310"/>
      <c r="M98" s="311"/>
      <c r="N98" s="285" t="s">
        <v>176</v>
      </c>
      <c r="O98" s="760">
        <v>4</v>
      </c>
      <c r="P98" s="131"/>
      <c r="Q98" s="148"/>
      <c r="R98" s="138"/>
    </row>
    <row r="99" spans="1:18" ht="22.2" customHeight="1" x14ac:dyDescent="0.25">
      <c r="A99" s="469"/>
      <c r="B99" s="460"/>
      <c r="C99" s="468"/>
      <c r="D99" s="772"/>
      <c r="E99" s="941"/>
      <c r="F99" s="946"/>
      <c r="G99" s="328"/>
      <c r="H99" s="745"/>
      <c r="I99" s="8" t="s">
        <v>77</v>
      </c>
      <c r="J99" s="62">
        <v>20.9</v>
      </c>
      <c r="K99" s="12"/>
      <c r="L99" s="185"/>
      <c r="M99" s="175"/>
      <c r="N99" s="720"/>
      <c r="O99" s="761"/>
      <c r="P99" s="585"/>
      <c r="Q99" s="154"/>
      <c r="R99" s="284"/>
    </row>
    <row r="100" spans="1:18" ht="15.6" customHeight="1" x14ac:dyDescent="0.25">
      <c r="A100" s="481"/>
      <c r="B100" s="463"/>
      <c r="C100" s="461"/>
      <c r="D100" s="772"/>
      <c r="E100" s="772"/>
      <c r="F100" s="945" t="s">
        <v>150</v>
      </c>
      <c r="G100" s="345"/>
      <c r="H100" s="81"/>
      <c r="I100" s="106" t="s">
        <v>14</v>
      </c>
      <c r="J100" s="641">
        <f>13-10</f>
        <v>3</v>
      </c>
      <c r="K100" s="169"/>
      <c r="L100" s="188"/>
      <c r="M100" s="178"/>
      <c r="N100" s="720" t="s">
        <v>90</v>
      </c>
      <c r="O100" s="761">
        <v>110</v>
      </c>
      <c r="P100" s="721"/>
      <c r="Q100" s="154"/>
      <c r="R100" s="284"/>
    </row>
    <row r="101" spans="1:18" ht="15.6" customHeight="1" x14ac:dyDescent="0.25">
      <c r="A101" s="481"/>
      <c r="B101" s="463"/>
      <c r="C101" s="461"/>
      <c r="D101" s="772"/>
      <c r="E101" s="772"/>
      <c r="F101" s="958"/>
      <c r="G101" s="345"/>
      <c r="H101" s="81"/>
      <c r="I101" s="106"/>
      <c r="J101" s="641"/>
      <c r="K101" s="169"/>
      <c r="L101" s="188"/>
      <c r="M101" s="178"/>
      <c r="N101" s="57" t="s">
        <v>85</v>
      </c>
      <c r="O101" s="760">
        <v>27</v>
      </c>
      <c r="P101" s="144"/>
      <c r="Q101" s="148"/>
      <c r="R101" s="138"/>
    </row>
    <row r="102" spans="1:18" ht="15.6" customHeight="1" thickBot="1" x14ac:dyDescent="0.3">
      <c r="A102" s="498"/>
      <c r="B102" s="499"/>
      <c r="C102" s="500"/>
      <c r="D102" s="36"/>
      <c r="E102" s="36"/>
      <c r="F102" s="957"/>
      <c r="G102" s="1118" t="s">
        <v>44</v>
      </c>
      <c r="H102" s="1118"/>
      <c r="I102" s="1119"/>
      <c r="J102" s="669">
        <f>SUM(J13:J101)-J43</f>
        <v>93834.2</v>
      </c>
      <c r="K102" s="46">
        <f>SUM(K13:K101)</f>
        <v>100303.70299999998</v>
      </c>
      <c r="L102" s="213">
        <f>SUM(L13:L101)-L43</f>
        <v>102197.32999999999</v>
      </c>
      <c r="M102" s="232">
        <f>SUM(M13:M101)-M43</f>
        <v>103552.93000000001</v>
      </c>
      <c r="N102" s="126"/>
      <c r="O102" s="501"/>
      <c r="P102" s="18"/>
      <c r="Q102" s="778"/>
      <c r="R102" s="502"/>
    </row>
    <row r="103" spans="1:18" ht="32.25" customHeight="1" x14ac:dyDescent="0.25">
      <c r="A103" s="503" t="s">
        <v>13</v>
      </c>
      <c r="B103" s="504" t="s">
        <v>13</v>
      </c>
      <c r="C103" s="458" t="s">
        <v>16</v>
      </c>
      <c r="D103" s="28"/>
      <c r="E103" s="28"/>
      <c r="F103" s="775" t="s">
        <v>64</v>
      </c>
      <c r="G103" s="505"/>
      <c r="H103" s="1021" t="s">
        <v>196</v>
      </c>
      <c r="I103" s="17"/>
      <c r="J103" s="64"/>
      <c r="K103" s="47"/>
      <c r="L103" s="186"/>
      <c r="M103" s="176"/>
      <c r="N103" s="506"/>
      <c r="O103" s="744"/>
      <c r="P103" s="6"/>
      <c r="Q103" s="777"/>
      <c r="R103" s="282"/>
    </row>
    <row r="104" spans="1:18" ht="29.7" customHeight="1" x14ac:dyDescent="0.25">
      <c r="A104" s="469"/>
      <c r="B104" s="460"/>
      <c r="C104" s="468"/>
      <c r="D104" s="38" t="s">
        <v>13</v>
      </c>
      <c r="E104" s="38"/>
      <c r="F104" s="115" t="s">
        <v>231</v>
      </c>
      <c r="G104" s="507"/>
      <c r="H104" s="974"/>
      <c r="I104" s="19" t="s">
        <v>17</v>
      </c>
      <c r="J104" s="62">
        <v>214.1</v>
      </c>
      <c r="K104" s="12">
        <v>256.5</v>
      </c>
      <c r="L104" s="185">
        <f>+K104</f>
        <v>256.5</v>
      </c>
      <c r="M104" s="175">
        <f>+L104</f>
        <v>256.5</v>
      </c>
      <c r="N104" s="508" t="s">
        <v>86</v>
      </c>
      <c r="O104" s="51">
        <v>6550</v>
      </c>
      <c r="P104" s="8">
        <v>3080</v>
      </c>
      <c r="Q104" s="150">
        <v>3090</v>
      </c>
      <c r="R104" s="151">
        <v>3100</v>
      </c>
    </row>
    <row r="105" spans="1:18" ht="16.2" customHeight="1" x14ac:dyDescent="0.25">
      <c r="A105" s="469"/>
      <c r="B105" s="460"/>
      <c r="C105" s="468"/>
      <c r="D105" s="29" t="s">
        <v>16</v>
      </c>
      <c r="E105" s="29"/>
      <c r="F105" s="755" t="s">
        <v>47</v>
      </c>
      <c r="G105" s="785" t="s">
        <v>183</v>
      </c>
      <c r="H105" s="745"/>
      <c r="I105" s="2" t="s">
        <v>14</v>
      </c>
      <c r="J105" s="641">
        <v>117.4</v>
      </c>
      <c r="K105" s="169">
        <v>130</v>
      </c>
      <c r="L105" s="188">
        <v>140</v>
      </c>
      <c r="M105" s="178">
        <v>150</v>
      </c>
      <c r="N105" s="13" t="s">
        <v>107</v>
      </c>
      <c r="O105" s="760">
        <v>110</v>
      </c>
      <c r="P105" s="106">
        <v>70</v>
      </c>
      <c r="Q105" s="155">
        <v>80</v>
      </c>
      <c r="R105" s="123">
        <v>100</v>
      </c>
    </row>
    <row r="106" spans="1:18" ht="16.2" customHeight="1" x14ac:dyDescent="0.25">
      <c r="A106" s="469"/>
      <c r="B106" s="460"/>
      <c r="C106" s="468"/>
      <c r="D106" s="29"/>
      <c r="E106" s="29"/>
      <c r="F106" s="749"/>
      <c r="G106" s="787"/>
      <c r="H106" s="745"/>
      <c r="I106" s="8" t="s">
        <v>17</v>
      </c>
      <c r="J106" s="62">
        <f>156.8+154.1</f>
        <v>310.89999999999998</v>
      </c>
      <c r="K106" s="12"/>
      <c r="L106" s="185"/>
      <c r="M106" s="175"/>
      <c r="N106" s="20"/>
      <c r="O106" s="745"/>
      <c r="P106" s="316"/>
      <c r="Q106" s="155"/>
      <c r="R106" s="123"/>
    </row>
    <row r="107" spans="1:18" ht="15.75" customHeight="1" x14ac:dyDescent="0.25">
      <c r="A107" s="469"/>
      <c r="B107" s="460"/>
      <c r="C107" s="468"/>
      <c r="D107" s="40" t="s">
        <v>18</v>
      </c>
      <c r="E107" s="40"/>
      <c r="F107" s="945" t="s">
        <v>60</v>
      </c>
      <c r="G107" s="509"/>
      <c r="H107" s="745"/>
      <c r="I107" s="106" t="s">
        <v>77</v>
      </c>
      <c r="J107" s="105">
        <v>730.3</v>
      </c>
      <c r="K107" s="168">
        <v>730.3</v>
      </c>
      <c r="L107" s="187">
        <v>730.3</v>
      </c>
      <c r="M107" s="177">
        <v>730.3</v>
      </c>
      <c r="N107" s="346" t="s">
        <v>107</v>
      </c>
      <c r="O107" s="107">
        <v>100</v>
      </c>
      <c r="P107" s="7">
        <v>96</v>
      </c>
      <c r="Q107" s="382">
        <v>100</v>
      </c>
      <c r="R107" s="510">
        <v>100</v>
      </c>
    </row>
    <row r="108" spans="1:18" ht="15.75" customHeight="1" x14ac:dyDescent="0.25">
      <c r="A108" s="469"/>
      <c r="B108" s="460"/>
      <c r="C108" s="468"/>
      <c r="D108" s="29"/>
      <c r="E108" s="29"/>
      <c r="F108" s="958"/>
      <c r="G108" s="507"/>
      <c r="H108" s="745"/>
      <c r="I108" s="51" t="s">
        <v>17</v>
      </c>
      <c r="J108" s="105">
        <v>207.4</v>
      </c>
      <c r="K108" s="168"/>
      <c r="L108" s="187"/>
      <c r="M108" s="177"/>
      <c r="N108" s="916" t="s">
        <v>167</v>
      </c>
      <c r="O108" s="760">
        <v>5600</v>
      </c>
      <c r="P108" s="144">
        <v>5733</v>
      </c>
      <c r="Q108" s="148">
        <v>5800</v>
      </c>
      <c r="R108" s="138">
        <v>5800</v>
      </c>
    </row>
    <row r="109" spans="1:18" ht="15.75" customHeight="1" x14ac:dyDescent="0.25">
      <c r="A109" s="469"/>
      <c r="B109" s="460"/>
      <c r="C109" s="468"/>
      <c r="D109" s="29"/>
      <c r="E109" s="29"/>
      <c r="F109" s="958"/>
      <c r="G109" s="507"/>
      <c r="H109" s="745"/>
      <c r="I109" s="19" t="s">
        <v>164</v>
      </c>
      <c r="J109" s="62">
        <v>0.2</v>
      </c>
      <c r="K109" s="12"/>
      <c r="L109" s="185"/>
      <c r="M109" s="175"/>
      <c r="N109" s="918"/>
      <c r="O109" s="745"/>
      <c r="P109" s="316"/>
      <c r="Q109" s="155"/>
      <c r="R109" s="123"/>
    </row>
    <row r="110" spans="1:18" ht="15.75" customHeight="1" thickBot="1" x14ac:dyDescent="0.3">
      <c r="A110" s="511"/>
      <c r="B110" s="512"/>
      <c r="C110" s="513"/>
      <c r="D110" s="30"/>
      <c r="E110" s="30"/>
      <c r="F110" s="957"/>
      <c r="G110" s="514"/>
      <c r="H110" s="751"/>
      <c r="I110" s="515" t="s">
        <v>15</v>
      </c>
      <c r="J110" s="669">
        <f>SUM(J104:J109)</f>
        <v>1580.3</v>
      </c>
      <c r="K110" s="46">
        <f>SUM(K104:K109)</f>
        <v>1116.8</v>
      </c>
      <c r="L110" s="213">
        <f t="shared" ref="L110:M110" si="1">SUM(L104:L109)</f>
        <v>1126.8</v>
      </c>
      <c r="M110" s="232">
        <f t="shared" si="1"/>
        <v>1136.8</v>
      </c>
      <c r="N110" s="516"/>
      <c r="O110" s="751"/>
      <c r="P110" s="351"/>
      <c r="Q110" s="778"/>
      <c r="R110" s="139"/>
    </row>
    <row r="111" spans="1:18" ht="30.6" customHeight="1" x14ac:dyDescent="0.25">
      <c r="A111" s="503" t="s">
        <v>13</v>
      </c>
      <c r="B111" s="504" t="s">
        <v>13</v>
      </c>
      <c r="C111" s="458" t="s">
        <v>18</v>
      </c>
      <c r="D111" s="28"/>
      <c r="E111" s="28"/>
      <c r="F111" s="982" t="s">
        <v>53</v>
      </c>
      <c r="G111" s="507"/>
      <c r="H111" s="1093" t="s">
        <v>223</v>
      </c>
      <c r="I111" s="17" t="s">
        <v>14</v>
      </c>
      <c r="J111" s="63">
        <v>0.7</v>
      </c>
      <c r="K111" s="660">
        <v>3.9</v>
      </c>
      <c r="L111" s="661">
        <v>3.9</v>
      </c>
      <c r="M111" s="495">
        <v>3.9</v>
      </c>
      <c r="N111" s="506" t="s">
        <v>94</v>
      </c>
      <c r="O111" s="744">
        <v>5</v>
      </c>
      <c r="P111" s="344">
        <v>10</v>
      </c>
      <c r="Q111" s="272">
        <v>10</v>
      </c>
      <c r="R111" s="282"/>
    </row>
    <row r="112" spans="1:18" ht="16.95" customHeight="1" thickBot="1" x14ac:dyDescent="0.3">
      <c r="A112" s="511"/>
      <c r="B112" s="499"/>
      <c r="C112" s="513"/>
      <c r="D112" s="30"/>
      <c r="E112" s="30"/>
      <c r="F112" s="957"/>
      <c r="G112" s="514"/>
      <c r="H112" s="1094"/>
      <c r="I112" s="515" t="s">
        <v>15</v>
      </c>
      <c r="J112" s="669">
        <f t="shared" ref="J112:M112" si="2">J111</f>
        <v>0.7</v>
      </c>
      <c r="K112" s="657">
        <f t="shared" si="2"/>
        <v>3.9</v>
      </c>
      <c r="L112" s="658">
        <f t="shared" si="2"/>
        <v>3.9</v>
      </c>
      <c r="M112" s="659">
        <f t="shared" si="2"/>
        <v>3.9</v>
      </c>
      <c r="N112" s="57" t="s">
        <v>87</v>
      </c>
      <c r="O112" s="60">
        <v>540</v>
      </c>
      <c r="P112" s="145">
        <v>860</v>
      </c>
      <c r="Q112" s="149">
        <v>860</v>
      </c>
      <c r="R112" s="283"/>
    </row>
    <row r="113" spans="1:18" ht="18.75" customHeight="1" x14ac:dyDescent="0.25">
      <c r="A113" s="503" t="s">
        <v>13</v>
      </c>
      <c r="B113" s="504" t="s">
        <v>13</v>
      </c>
      <c r="C113" s="458" t="s">
        <v>20</v>
      </c>
      <c r="D113" s="28"/>
      <c r="E113" s="28"/>
      <c r="F113" s="982" t="s">
        <v>98</v>
      </c>
      <c r="G113" s="505"/>
      <c r="H113" s="1021" t="s">
        <v>196</v>
      </c>
      <c r="I113" s="17" t="s">
        <v>14</v>
      </c>
      <c r="J113" s="641">
        <v>47</v>
      </c>
      <c r="K113" s="169">
        <v>47.2</v>
      </c>
      <c r="L113" s="188">
        <v>48</v>
      </c>
      <c r="M113" s="178">
        <v>48</v>
      </c>
      <c r="N113" s="1077" t="s">
        <v>108</v>
      </c>
      <c r="O113" s="781">
        <v>39</v>
      </c>
      <c r="P113" s="517">
        <v>39</v>
      </c>
      <c r="Q113" s="518">
        <v>39</v>
      </c>
      <c r="R113" s="519">
        <v>39</v>
      </c>
    </row>
    <row r="114" spans="1:18" ht="14.25" customHeight="1" thickBot="1" x14ac:dyDescent="0.3">
      <c r="A114" s="511"/>
      <c r="B114" s="512"/>
      <c r="C114" s="513"/>
      <c r="D114" s="30"/>
      <c r="E114" s="30"/>
      <c r="F114" s="957"/>
      <c r="G114" s="514"/>
      <c r="H114" s="994"/>
      <c r="I114" s="515" t="s">
        <v>15</v>
      </c>
      <c r="J114" s="669">
        <f t="shared" ref="J114:M114" si="3">SUM(J113)</f>
        <v>47</v>
      </c>
      <c r="K114" s="46">
        <f t="shared" si="3"/>
        <v>47.2</v>
      </c>
      <c r="L114" s="213">
        <f t="shared" si="3"/>
        <v>48</v>
      </c>
      <c r="M114" s="232">
        <f t="shared" si="3"/>
        <v>48</v>
      </c>
      <c r="N114" s="1078"/>
      <c r="O114" s="782"/>
      <c r="P114" s="520"/>
      <c r="Q114" s="146"/>
      <c r="R114" s="147"/>
    </row>
    <row r="115" spans="1:18" ht="28.2" customHeight="1" x14ac:dyDescent="0.25">
      <c r="A115" s="503" t="s">
        <v>13</v>
      </c>
      <c r="B115" s="504" t="s">
        <v>13</v>
      </c>
      <c r="C115" s="458" t="s">
        <v>21</v>
      </c>
      <c r="D115" s="28"/>
      <c r="E115" s="28"/>
      <c r="F115" s="982" t="s">
        <v>230</v>
      </c>
      <c r="G115" s="505"/>
      <c r="H115" s="1021" t="s">
        <v>212</v>
      </c>
      <c r="I115" s="17" t="s">
        <v>14</v>
      </c>
      <c r="J115" s="64">
        <v>1.5</v>
      </c>
      <c r="K115" s="660">
        <v>2.7</v>
      </c>
      <c r="L115" s="661">
        <v>2.7</v>
      </c>
      <c r="M115" s="495">
        <v>2.7</v>
      </c>
      <c r="N115" s="1104" t="s">
        <v>229</v>
      </c>
      <c r="O115" s="744">
        <v>2</v>
      </c>
      <c r="P115" s="344">
        <v>1</v>
      </c>
      <c r="Q115" s="777">
        <v>1</v>
      </c>
      <c r="R115" s="282">
        <v>1</v>
      </c>
    </row>
    <row r="116" spans="1:18" ht="15.75" customHeight="1" thickBot="1" x14ac:dyDescent="0.3">
      <c r="A116" s="511"/>
      <c r="B116" s="512"/>
      <c r="C116" s="513"/>
      <c r="D116" s="30"/>
      <c r="E116" s="30"/>
      <c r="F116" s="957"/>
      <c r="G116" s="514"/>
      <c r="H116" s="994"/>
      <c r="I116" s="515" t="s">
        <v>15</v>
      </c>
      <c r="J116" s="669">
        <f>SUM(J115:J115)</f>
        <v>1.5</v>
      </c>
      <c r="K116" s="46">
        <f t="shared" ref="K116:M116" si="4">SUM(K115:K115)</f>
        <v>2.7</v>
      </c>
      <c r="L116" s="213">
        <f t="shared" si="4"/>
        <v>2.7</v>
      </c>
      <c r="M116" s="232">
        <f t="shared" si="4"/>
        <v>2.7</v>
      </c>
      <c r="N116" s="917"/>
      <c r="O116" s="751"/>
      <c r="P116" s="351"/>
      <c r="Q116" s="778"/>
      <c r="R116" s="139"/>
    </row>
    <row r="117" spans="1:18" ht="16.2" customHeight="1" x14ac:dyDescent="0.25">
      <c r="A117" s="503" t="s">
        <v>13</v>
      </c>
      <c r="B117" s="504" t="s">
        <v>13</v>
      </c>
      <c r="C117" s="458" t="s">
        <v>73</v>
      </c>
      <c r="D117" s="28"/>
      <c r="E117" s="28"/>
      <c r="F117" s="982" t="s">
        <v>103</v>
      </c>
      <c r="G117" s="521"/>
      <c r="H117" s="1001" t="s">
        <v>196</v>
      </c>
      <c r="I117" s="522" t="s">
        <v>14</v>
      </c>
      <c r="J117" s="332">
        <v>5.7</v>
      </c>
      <c r="K117" s="900">
        <v>11.7</v>
      </c>
      <c r="L117" s="901">
        <v>12</v>
      </c>
      <c r="M117" s="902">
        <v>12</v>
      </c>
      <c r="N117" s="762" t="s">
        <v>85</v>
      </c>
      <c r="O117" s="744">
        <v>92</v>
      </c>
      <c r="P117" s="344">
        <v>92</v>
      </c>
      <c r="Q117" s="777">
        <v>92</v>
      </c>
      <c r="R117" s="282">
        <v>92</v>
      </c>
    </row>
    <row r="118" spans="1:18" ht="16.2" customHeight="1" thickBot="1" x14ac:dyDescent="0.3">
      <c r="A118" s="511"/>
      <c r="B118" s="512"/>
      <c r="C118" s="513"/>
      <c r="D118" s="30"/>
      <c r="E118" s="30"/>
      <c r="F118" s="957"/>
      <c r="G118" s="523"/>
      <c r="H118" s="949"/>
      <c r="I118" s="515" t="s">
        <v>15</v>
      </c>
      <c r="J118" s="669">
        <f t="shared" ref="J118:M118" si="5">SUM(J117)</f>
        <v>5.7</v>
      </c>
      <c r="K118" s="46">
        <f t="shared" si="5"/>
        <v>11.7</v>
      </c>
      <c r="L118" s="213">
        <f t="shared" si="5"/>
        <v>12</v>
      </c>
      <c r="M118" s="232">
        <f t="shared" si="5"/>
        <v>12</v>
      </c>
      <c r="N118" s="763"/>
      <c r="O118" s="751"/>
      <c r="P118" s="314"/>
      <c r="Q118" s="778"/>
      <c r="R118" s="139"/>
    </row>
    <row r="119" spans="1:18" ht="13.5" customHeight="1" thickBot="1" x14ac:dyDescent="0.3">
      <c r="A119" s="524" t="s">
        <v>13</v>
      </c>
      <c r="B119" s="525" t="s">
        <v>13</v>
      </c>
      <c r="C119" s="931" t="s">
        <v>19</v>
      </c>
      <c r="D119" s="932"/>
      <c r="E119" s="932"/>
      <c r="F119" s="932"/>
      <c r="G119" s="932"/>
      <c r="H119" s="932"/>
      <c r="I119" s="932"/>
      <c r="J119" s="670">
        <f>J102+J110+J114+J116+J118+J112</f>
        <v>95469.4</v>
      </c>
      <c r="K119" s="526">
        <f>K102+K110+K114+K116+K118+K112</f>
        <v>101486.00299999997</v>
      </c>
      <c r="L119" s="527">
        <f>L102+L110+L114+L116+L118+L112</f>
        <v>103390.72999999998</v>
      </c>
      <c r="M119" s="528">
        <f t="shared" ref="M119" si="6">M102+M110+M114+M116+M118+M112</f>
        <v>104756.33</v>
      </c>
      <c r="N119" s="811"/>
      <c r="O119" s="811"/>
      <c r="P119" s="811"/>
      <c r="Q119" s="811"/>
      <c r="R119" s="812"/>
    </row>
    <row r="120" spans="1:18" ht="15.75" customHeight="1" thickBot="1" x14ac:dyDescent="0.3">
      <c r="A120" s="524" t="s">
        <v>13</v>
      </c>
      <c r="B120" s="960" t="s">
        <v>6</v>
      </c>
      <c r="C120" s="961"/>
      <c r="D120" s="961"/>
      <c r="E120" s="961"/>
      <c r="F120" s="961"/>
      <c r="G120" s="961"/>
      <c r="H120" s="961"/>
      <c r="I120" s="961"/>
      <c r="J120" s="671">
        <f>J119</f>
        <v>95469.4</v>
      </c>
      <c r="K120" s="529">
        <f t="shared" ref="K120:M120" si="7">K119</f>
        <v>101486.00299999997</v>
      </c>
      <c r="L120" s="530">
        <f t="shared" si="7"/>
        <v>103390.72999999998</v>
      </c>
      <c r="M120" s="531">
        <f t="shared" si="7"/>
        <v>104756.33</v>
      </c>
      <c r="N120" s="532"/>
      <c r="O120" s="532"/>
      <c r="P120" s="532"/>
      <c r="Q120" s="532"/>
      <c r="R120" s="533"/>
    </row>
    <row r="121" spans="1:18" ht="15.75" customHeight="1" thickBot="1" x14ac:dyDescent="0.3">
      <c r="A121" s="503" t="s">
        <v>16</v>
      </c>
      <c r="B121" s="1014" t="s">
        <v>32</v>
      </c>
      <c r="C121" s="1015"/>
      <c r="D121" s="1015"/>
      <c r="E121" s="1015"/>
      <c r="F121" s="1015"/>
      <c r="G121" s="1015"/>
      <c r="H121" s="1015"/>
      <c r="I121" s="1015"/>
      <c r="J121" s="1015"/>
      <c r="K121" s="1015"/>
      <c r="L121" s="1015"/>
      <c r="M121" s="1015"/>
      <c r="N121" s="1015"/>
      <c r="O121" s="1015"/>
      <c r="P121" s="1015"/>
      <c r="Q121" s="1015"/>
      <c r="R121" s="1016"/>
    </row>
    <row r="122" spans="1:18" ht="15.75" customHeight="1" thickBot="1" x14ac:dyDescent="0.3">
      <c r="A122" s="524" t="s">
        <v>16</v>
      </c>
      <c r="B122" s="534" t="s">
        <v>13</v>
      </c>
      <c r="C122" s="933" t="s">
        <v>28</v>
      </c>
      <c r="D122" s="934"/>
      <c r="E122" s="934"/>
      <c r="F122" s="934"/>
      <c r="G122" s="934"/>
      <c r="H122" s="934"/>
      <c r="I122" s="934"/>
      <c r="J122" s="934"/>
      <c r="K122" s="934"/>
      <c r="L122" s="934"/>
      <c r="M122" s="934"/>
      <c r="N122" s="934"/>
      <c r="O122" s="934"/>
      <c r="P122" s="934"/>
      <c r="Q122" s="934"/>
      <c r="R122" s="935"/>
    </row>
    <row r="123" spans="1:18" s="535" customFormat="1" ht="55.95" customHeight="1" x14ac:dyDescent="0.25">
      <c r="A123" s="1095" t="s">
        <v>16</v>
      </c>
      <c r="B123" s="1017" t="s">
        <v>13</v>
      </c>
      <c r="C123" s="1108" t="s">
        <v>13</v>
      </c>
      <c r="D123" s="31"/>
      <c r="E123" s="31"/>
      <c r="F123" s="982" t="s">
        <v>136</v>
      </c>
      <c r="G123" s="1086" t="s">
        <v>183</v>
      </c>
      <c r="H123" s="744" t="s">
        <v>195</v>
      </c>
      <c r="I123" s="744" t="s">
        <v>75</v>
      </c>
      <c r="J123" s="47">
        <v>233.6</v>
      </c>
      <c r="K123" s="47">
        <v>220.9</v>
      </c>
      <c r="L123" s="186"/>
      <c r="M123" s="176"/>
      <c r="N123" s="364" t="s">
        <v>182</v>
      </c>
      <c r="O123" s="45">
        <v>6</v>
      </c>
      <c r="P123" s="67"/>
      <c r="Q123" s="272"/>
      <c r="R123" s="122"/>
    </row>
    <row r="124" spans="1:18" s="535" customFormat="1" ht="16.2" customHeight="1" x14ac:dyDescent="0.25">
      <c r="A124" s="965"/>
      <c r="B124" s="1018"/>
      <c r="C124" s="1109"/>
      <c r="D124" s="49"/>
      <c r="E124" s="49"/>
      <c r="F124" s="958"/>
      <c r="G124" s="976"/>
      <c r="H124" s="745"/>
      <c r="I124" s="761"/>
      <c r="J124" s="168"/>
      <c r="K124" s="168"/>
      <c r="L124" s="187"/>
      <c r="M124" s="681"/>
      <c r="N124" s="156" t="s">
        <v>279</v>
      </c>
      <c r="O124" s="860"/>
      <c r="P124" s="3">
        <v>6</v>
      </c>
      <c r="Q124" s="154"/>
      <c r="R124" s="286"/>
    </row>
    <row r="125" spans="1:18" s="535" customFormat="1" ht="15.6" customHeight="1" x14ac:dyDescent="0.25">
      <c r="A125" s="965"/>
      <c r="B125" s="1018"/>
      <c r="C125" s="1109"/>
      <c r="D125" s="49"/>
      <c r="E125" s="49"/>
      <c r="F125" s="958"/>
      <c r="G125" s="976"/>
      <c r="H125" s="973" t="s">
        <v>211</v>
      </c>
      <c r="I125" s="51" t="s">
        <v>14</v>
      </c>
      <c r="J125" s="12">
        <v>20.9</v>
      </c>
      <c r="K125" s="731">
        <v>50.8</v>
      </c>
      <c r="L125" s="662">
        <v>71.7</v>
      </c>
      <c r="M125" s="663">
        <v>71.7</v>
      </c>
      <c r="N125" s="916" t="s">
        <v>194</v>
      </c>
      <c r="O125" s="859">
        <v>2</v>
      </c>
      <c r="P125" s="106"/>
      <c r="Q125" s="155"/>
      <c r="R125" s="123"/>
    </row>
    <row r="126" spans="1:18" s="535" customFormat="1" ht="15.6" customHeight="1" x14ac:dyDescent="0.25">
      <c r="A126" s="965"/>
      <c r="B126" s="1018"/>
      <c r="C126" s="1109"/>
      <c r="D126" s="49"/>
      <c r="E126" s="49"/>
      <c r="F126" s="958"/>
      <c r="G126" s="976"/>
      <c r="H126" s="986"/>
      <c r="I126" s="732" t="s">
        <v>75</v>
      </c>
      <c r="J126" s="733"/>
      <c r="K126" s="734">
        <v>20.9</v>
      </c>
      <c r="L126" s="735"/>
      <c r="M126" s="736"/>
      <c r="N126" s="919"/>
      <c r="O126" s="859"/>
      <c r="P126" s="106"/>
      <c r="Q126" s="155"/>
      <c r="R126" s="123"/>
    </row>
    <row r="127" spans="1:18" s="535" customFormat="1" ht="14.7" customHeight="1" x14ac:dyDescent="0.25">
      <c r="A127" s="965"/>
      <c r="B127" s="1018"/>
      <c r="C127" s="1109"/>
      <c r="D127" s="49"/>
      <c r="E127" s="49"/>
      <c r="F127" s="958"/>
      <c r="G127" s="976"/>
      <c r="H127" s="973" t="s">
        <v>196</v>
      </c>
      <c r="I127" s="761" t="s">
        <v>14</v>
      </c>
      <c r="J127" s="168">
        <v>23</v>
      </c>
      <c r="K127" s="168"/>
      <c r="L127" s="185"/>
      <c r="M127" s="194"/>
      <c r="N127" s="916" t="s">
        <v>96</v>
      </c>
      <c r="O127" s="973">
        <v>390</v>
      </c>
      <c r="P127" s="2"/>
      <c r="Q127" s="148"/>
      <c r="R127" s="138"/>
    </row>
    <row r="128" spans="1:18" s="535" customFormat="1" ht="14.7" customHeight="1" thickBot="1" x14ac:dyDescent="0.3">
      <c r="A128" s="966"/>
      <c r="B128" s="1019"/>
      <c r="C128" s="1110"/>
      <c r="D128" s="32"/>
      <c r="E128" s="32"/>
      <c r="F128" s="957"/>
      <c r="G128" s="1087"/>
      <c r="H128" s="994"/>
      <c r="I128" s="52" t="s">
        <v>15</v>
      </c>
      <c r="J128" s="46">
        <f>SUM(J123:J127)</f>
        <v>277.5</v>
      </c>
      <c r="K128" s="46">
        <f t="shared" ref="K128:M128" si="8">SUM(K123:K127)</f>
        <v>292.59999999999997</v>
      </c>
      <c r="L128" s="213">
        <f t="shared" si="8"/>
        <v>71.7</v>
      </c>
      <c r="M128" s="195">
        <f t="shared" si="8"/>
        <v>71.7</v>
      </c>
      <c r="N128" s="917"/>
      <c r="O128" s="994"/>
      <c r="P128" s="18"/>
      <c r="Q128" s="864"/>
      <c r="R128" s="139"/>
    </row>
    <row r="129" spans="1:18" ht="41.7" customHeight="1" x14ac:dyDescent="0.25">
      <c r="A129" s="503" t="s">
        <v>16</v>
      </c>
      <c r="B129" s="504" t="s">
        <v>13</v>
      </c>
      <c r="C129" s="458" t="s">
        <v>16</v>
      </c>
      <c r="D129" s="33"/>
      <c r="E129" s="33"/>
      <c r="F129" s="65" t="s">
        <v>198</v>
      </c>
      <c r="G129" s="342" t="s">
        <v>2</v>
      </c>
      <c r="H129" s="1021"/>
      <c r="I129" s="17"/>
      <c r="J129" s="47"/>
      <c r="K129" s="47"/>
      <c r="L129" s="186"/>
      <c r="M129" s="176"/>
      <c r="N129" s="6"/>
      <c r="O129" s="862"/>
      <c r="P129" s="17"/>
      <c r="Q129" s="863"/>
      <c r="R129" s="282"/>
    </row>
    <row r="130" spans="1:18" s="99" customFormat="1" ht="43.5" customHeight="1" x14ac:dyDescent="0.25">
      <c r="A130" s="536"/>
      <c r="B130" s="537"/>
      <c r="C130" s="538"/>
      <c r="D130" s="103" t="s">
        <v>13</v>
      </c>
      <c r="E130" s="100"/>
      <c r="F130" s="101" t="s">
        <v>109</v>
      </c>
      <c r="G130" s="539"/>
      <c r="H130" s="974"/>
      <c r="I130" s="119"/>
      <c r="J130" s="203"/>
      <c r="K130" s="203"/>
      <c r="L130" s="214"/>
      <c r="M130" s="196"/>
      <c r="N130" s="870"/>
      <c r="O130" s="871"/>
      <c r="P130" s="872"/>
      <c r="Q130" s="873"/>
      <c r="R130" s="874"/>
    </row>
    <row r="131" spans="1:18" ht="14.25" customHeight="1" x14ac:dyDescent="0.25">
      <c r="A131" s="469"/>
      <c r="B131" s="460"/>
      <c r="C131" s="468"/>
      <c r="D131" s="772"/>
      <c r="E131" s="804" t="s">
        <v>13</v>
      </c>
      <c r="F131" s="945" t="s">
        <v>291</v>
      </c>
      <c r="G131" s="786" t="s">
        <v>183</v>
      </c>
      <c r="H131" s="760" t="s">
        <v>195</v>
      </c>
      <c r="I131" s="365" t="s">
        <v>17</v>
      </c>
      <c r="J131" s="206">
        <v>120</v>
      </c>
      <c r="K131" s="207"/>
      <c r="L131" s="875"/>
      <c r="M131" s="199"/>
      <c r="N131" s="971" t="s">
        <v>46</v>
      </c>
      <c r="O131" s="366"/>
      <c r="P131" s="367">
        <v>1</v>
      </c>
      <c r="Q131" s="368"/>
      <c r="R131" s="262"/>
    </row>
    <row r="132" spans="1:18" ht="14.7" customHeight="1" x14ac:dyDescent="0.25">
      <c r="A132" s="469"/>
      <c r="B132" s="460"/>
      <c r="C132" s="468"/>
      <c r="D132" s="772"/>
      <c r="E132" s="772"/>
      <c r="F132" s="958"/>
      <c r="G132" s="801"/>
      <c r="H132" s="745"/>
      <c r="I132" s="844" t="s">
        <v>75</v>
      </c>
      <c r="J132" s="404">
        <v>18</v>
      </c>
      <c r="K132" s="206">
        <v>37</v>
      </c>
      <c r="L132" s="217"/>
      <c r="M132" s="199"/>
      <c r="N132" s="972"/>
      <c r="O132" s="370"/>
      <c r="P132" s="371"/>
      <c r="Q132" s="372"/>
      <c r="R132" s="264"/>
    </row>
    <row r="133" spans="1:18" ht="31.2" customHeight="1" x14ac:dyDescent="0.25">
      <c r="A133" s="469"/>
      <c r="B133" s="460"/>
      <c r="C133" s="468"/>
      <c r="D133" s="772"/>
      <c r="E133" s="772"/>
      <c r="F133" s="958"/>
      <c r="G133" s="801"/>
      <c r="H133" s="745"/>
      <c r="I133" s="885" t="s">
        <v>3</v>
      </c>
      <c r="J133" s="886"/>
      <c r="K133" s="207">
        <f>670.4-460.4</f>
        <v>210</v>
      </c>
      <c r="L133" s="875">
        <v>789.8</v>
      </c>
      <c r="M133" s="199">
        <v>614</v>
      </c>
      <c r="N133" s="891" t="s">
        <v>247</v>
      </c>
      <c r="O133" s="376">
        <v>5</v>
      </c>
      <c r="P133" s="876">
        <v>15</v>
      </c>
      <c r="Q133" s="883">
        <v>65</v>
      </c>
      <c r="R133" s="884">
        <v>100</v>
      </c>
    </row>
    <row r="134" spans="1:18" ht="23.7" customHeight="1" x14ac:dyDescent="0.25">
      <c r="A134" s="469"/>
      <c r="B134" s="460"/>
      <c r="C134" s="468"/>
      <c r="D134" s="772"/>
      <c r="E134" s="804" t="s">
        <v>16</v>
      </c>
      <c r="F134" s="945" t="s">
        <v>292</v>
      </c>
      <c r="G134" s="373" t="s">
        <v>183</v>
      </c>
      <c r="H134" s="973" t="s">
        <v>224</v>
      </c>
      <c r="I134" s="374" t="s">
        <v>14</v>
      </c>
      <c r="J134" s="207">
        <v>263.89999999999998</v>
      </c>
      <c r="K134" s="207">
        <f>3126.5+2000+145.7+125.8-1000+1089.9-36.8+1121.3+18-3933.9-254</f>
        <v>2402.4999999999995</v>
      </c>
      <c r="L134" s="218">
        <f>4481.2+254</f>
        <v>4735.2</v>
      </c>
      <c r="M134" s="369"/>
      <c r="N134" s="375" t="s">
        <v>50</v>
      </c>
      <c r="O134" s="376">
        <v>20</v>
      </c>
      <c r="P134" s="876">
        <v>70</v>
      </c>
      <c r="Q134" s="377">
        <v>100</v>
      </c>
      <c r="R134" s="265"/>
    </row>
    <row r="135" spans="1:18" ht="23.7" customHeight="1" x14ac:dyDescent="0.25">
      <c r="A135" s="469"/>
      <c r="B135" s="460"/>
      <c r="C135" s="468"/>
      <c r="D135" s="772"/>
      <c r="E135" s="772"/>
      <c r="F135" s="958"/>
      <c r="G135" s="378"/>
      <c r="H135" s="974"/>
      <c r="I135" s="374" t="s">
        <v>75</v>
      </c>
      <c r="J135" s="207">
        <v>2081</v>
      </c>
      <c r="K135" s="207">
        <v>2822.3</v>
      </c>
      <c r="L135" s="218"/>
      <c r="M135" s="369"/>
      <c r="N135" s="133"/>
      <c r="O135" s="137"/>
      <c r="P135" s="281"/>
      <c r="Q135" s="276"/>
      <c r="R135" s="266"/>
    </row>
    <row r="136" spans="1:18" ht="23.7" customHeight="1" x14ac:dyDescent="0.25">
      <c r="A136" s="469"/>
      <c r="B136" s="460"/>
      <c r="C136" s="468"/>
      <c r="D136" s="772"/>
      <c r="E136" s="772"/>
      <c r="F136" s="749"/>
      <c r="G136" s="378"/>
      <c r="H136" s="986"/>
      <c r="I136" s="297" t="s">
        <v>275</v>
      </c>
      <c r="J136" s="207"/>
      <c r="K136" s="877">
        <f>1778.7</f>
        <v>1778.7</v>
      </c>
      <c r="L136" s="218"/>
      <c r="M136" s="199"/>
      <c r="N136" s="133"/>
      <c r="O136" s="137"/>
      <c r="P136" s="281"/>
      <c r="Q136" s="276"/>
      <c r="R136" s="266"/>
    </row>
    <row r="137" spans="1:18" ht="15" customHeight="1" x14ac:dyDescent="0.25">
      <c r="A137" s="469"/>
      <c r="B137" s="460"/>
      <c r="C137" s="468"/>
      <c r="D137" s="772"/>
      <c r="E137" s="804" t="s">
        <v>18</v>
      </c>
      <c r="F137" s="1022" t="s">
        <v>111</v>
      </c>
      <c r="G137" s="746"/>
      <c r="H137" s="973" t="s">
        <v>210</v>
      </c>
      <c r="I137" s="2" t="s">
        <v>14</v>
      </c>
      <c r="J137" s="12">
        <v>635.79999999999995</v>
      </c>
      <c r="K137" s="12">
        <f>68.7+65.9</f>
        <v>134.60000000000002</v>
      </c>
      <c r="L137" s="185"/>
      <c r="M137" s="175"/>
      <c r="N137" s="992" t="s">
        <v>97</v>
      </c>
      <c r="O137" s="379">
        <v>60</v>
      </c>
      <c r="P137" s="152">
        <v>100</v>
      </c>
      <c r="Q137" s="157"/>
      <c r="R137" s="267"/>
    </row>
    <row r="138" spans="1:18" ht="15" customHeight="1" x14ac:dyDescent="0.25">
      <c r="A138" s="469"/>
      <c r="B138" s="460"/>
      <c r="C138" s="468"/>
      <c r="D138" s="772"/>
      <c r="E138" s="772"/>
      <c r="F138" s="1023"/>
      <c r="G138" s="746"/>
      <c r="H138" s="974"/>
      <c r="I138" s="2" t="s">
        <v>75</v>
      </c>
      <c r="J138" s="168"/>
      <c r="K138" s="168">
        <v>325.7</v>
      </c>
      <c r="L138" s="187"/>
      <c r="M138" s="177"/>
      <c r="N138" s="993"/>
      <c r="O138" s="817"/>
      <c r="P138" s="736"/>
      <c r="Q138" s="735"/>
      <c r="R138" s="497"/>
    </row>
    <row r="139" spans="1:18" ht="15" customHeight="1" x14ac:dyDescent="0.25">
      <c r="A139" s="469"/>
      <c r="B139" s="460"/>
      <c r="C139" s="468"/>
      <c r="D139" s="772"/>
      <c r="E139" s="772"/>
      <c r="F139" s="1023"/>
      <c r="G139" s="746"/>
      <c r="H139" s="974"/>
      <c r="I139" s="19" t="s">
        <v>75</v>
      </c>
      <c r="J139" s="168">
        <v>264.10000000000002</v>
      </c>
      <c r="K139" s="168">
        <v>180</v>
      </c>
      <c r="L139" s="187"/>
      <c r="M139" s="177"/>
      <c r="N139" s="995"/>
      <c r="O139" s="160"/>
      <c r="P139" s="153"/>
      <c r="Q139" s="158"/>
      <c r="R139" s="268"/>
    </row>
    <row r="140" spans="1:18" ht="28.2" customHeight="1" x14ac:dyDescent="0.25">
      <c r="A140" s="469"/>
      <c r="B140" s="460"/>
      <c r="C140" s="461"/>
      <c r="D140" s="303"/>
      <c r="E140" s="304" t="s">
        <v>20</v>
      </c>
      <c r="F140" s="945" t="s">
        <v>314</v>
      </c>
      <c r="G140" s="785"/>
      <c r="H140" s="973" t="s">
        <v>210</v>
      </c>
      <c r="I140" s="2" t="s">
        <v>14</v>
      </c>
      <c r="J140" s="207">
        <v>210.1</v>
      </c>
      <c r="K140" s="168">
        <v>586.1</v>
      </c>
      <c r="L140" s="217">
        <f>870-80</f>
        <v>790</v>
      </c>
      <c r="M140" s="383">
        <f>1020-420</f>
        <v>600</v>
      </c>
      <c r="N140" s="125" t="s">
        <v>119</v>
      </c>
      <c r="O140" s="51">
        <v>1</v>
      </c>
      <c r="P140" s="320">
        <f>2-1</f>
        <v>1</v>
      </c>
      <c r="Q140" s="150">
        <v>1</v>
      </c>
      <c r="R140" s="286">
        <v>1</v>
      </c>
    </row>
    <row r="141" spans="1:18" ht="20.399999999999999" customHeight="1" x14ac:dyDescent="0.25">
      <c r="A141" s="469"/>
      <c r="B141" s="460"/>
      <c r="C141" s="461"/>
      <c r="D141" s="303"/>
      <c r="E141" s="303"/>
      <c r="F141" s="958"/>
      <c r="G141" s="328"/>
      <c r="H141" s="974"/>
      <c r="I141" s="131" t="s">
        <v>75</v>
      </c>
      <c r="J141" s="167">
        <v>20</v>
      </c>
      <c r="K141" s="167">
        <v>150</v>
      </c>
      <c r="L141" s="310"/>
      <c r="M141" s="311"/>
      <c r="N141" s="13" t="s">
        <v>267</v>
      </c>
      <c r="O141" s="858"/>
      <c r="P141" s="363">
        <v>1</v>
      </c>
      <c r="Q141" s="148">
        <v>2</v>
      </c>
      <c r="R141" s="319">
        <v>1</v>
      </c>
    </row>
    <row r="142" spans="1:18" ht="20.399999999999999" customHeight="1" x14ac:dyDescent="0.25">
      <c r="A142" s="469"/>
      <c r="B142" s="460"/>
      <c r="C142" s="461"/>
      <c r="D142" s="303"/>
      <c r="E142" s="303"/>
      <c r="F142" s="946"/>
      <c r="G142" s="328"/>
      <c r="H142" s="81"/>
      <c r="I142" s="8" t="s">
        <v>266</v>
      </c>
      <c r="J142" s="12"/>
      <c r="K142" s="12">
        <v>89.9</v>
      </c>
      <c r="L142" s="185"/>
      <c r="M142" s="175"/>
      <c r="N142" s="845"/>
      <c r="O142" s="860"/>
      <c r="P142" s="3"/>
      <c r="Q142" s="154"/>
      <c r="R142" s="284"/>
    </row>
    <row r="143" spans="1:18" ht="16.2" customHeight="1" x14ac:dyDescent="0.25">
      <c r="A143" s="469"/>
      <c r="B143" s="460"/>
      <c r="C143" s="468"/>
      <c r="D143" s="772"/>
      <c r="E143" s="804" t="s">
        <v>21</v>
      </c>
      <c r="F143" s="945" t="s">
        <v>208</v>
      </c>
      <c r="G143" s="785" t="s">
        <v>183</v>
      </c>
      <c r="H143" s="973" t="s">
        <v>195</v>
      </c>
      <c r="I143" s="108" t="s">
        <v>14</v>
      </c>
      <c r="J143" s="204">
        <v>60.1</v>
      </c>
      <c r="K143" s="204"/>
      <c r="L143" s="215"/>
      <c r="M143" s="197"/>
      <c r="N143" s="971" t="s">
        <v>78</v>
      </c>
      <c r="O143" s="140">
        <v>2</v>
      </c>
      <c r="P143" s="279"/>
      <c r="Q143" s="273"/>
      <c r="R143" s="262"/>
    </row>
    <row r="144" spans="1:18" ht="16.2" customHeight="1" x14ac:dyDescent="0.25">
      <c r="A144" s="469"/>
      <c r="B144" s="460"/>
      <c r="C144" s="468"/>
      <c r="D144" s="772"/>
      <c r="E144" s="772"/>
      <c r="F144" s="958"/>
      <c r="G144" s="774"/>
      <c r="H144" s="974"/>
      <c r="I144" s="109" t="s">
        <v>75</v>
      </c>
      <c r="J144" s="205">
        <v>52.3</v>
      </c>
      <c r="K144" s="205">
        <f>21-3+33.5</f>
        <v>51.5</v>
      </c>
      <c r="L144" s="216"/>
      <c r="M144" s="198"/>
      <c r="N144" s="972"/>
      <c r="O144" s="136"/>
      <c r="P144" s="280"/>
      <c r="Q144" s="274"/>
      <c r="R144" s="263"/>
    </row>
    <row r="145" spans="1:23" ht="16.2" customHeight="1" x14ac:dyDescent="0.25">
      <c r="A145" s="469"/>
      <c r="B145" s="460"/>
      <c r="C145" s="468"/>
      <c r="D145" s="772"/>
      <c r="E145" s="772"/>
      <c r="F145" s="958"/>
      <c r="G145" s="774"/>
      <c r="H145" s="974"/>
      <c r="I145" s="110" t="s">
        <v>77</v>
      </c>
      <c r="J145" s="205">
        <v>558.4</v>
      </c>
      <c r="K145" s="205">
        <f>210.4+14.8-10.7</f>
        <v>214.50000000000003</v>
      </c>
      <c r="L145" s="216"/>
      <c r="M145" s="198"/>
      <c r="N145" s="971" t="s">
        <v>110</v>
      </c>
      <c r="O145" s="141">
        <v>2</v>
      </c>
      <c r="P145" s="161">
        <v>7</v>
      </c>
      <c r="Q145" s="275"/>
      <c r="R145" s="264"/>
    </row>
    <row r="146" spans="1:23" ht="16.2" customHeight="1" x14ac:dyDescent="0.25">
      <c r="A146" s="469"/>
      <c r="B146" s="460"/>
      <c r="C146" s="468"/>
      <c r="D146" s="772"/>
      <c r="E146" s="772"/>
      <c r="F146" s="958"/>
      <c r="G146" s="774"/>
      <c r="H146" s="745"/>
      <c r="I146" s="109" t="s">
        <v>164</v>
      </c>
      <c r="J146" s="205">
        <v>41.3</v>
      </c>
      <c r="K146" s="205">
        <v>10.7</v>
      </c>
      <c r="L146" s="216"/>
      <c r="M146" s="198"/>
      <c r="N146" s="1079"/>
      <c r="O146" s="859"/>
      <c r="P146" s="106"/>
      <c r="Q146" s="155"/>
      <c r="R146" s="123"/>
    </row>
    <row r="147" spans="1:23" ht="16.2" customHeight="1" x14ac:dyDescent="0.25">
      <c r="A147" s="469"/>
      <c r="B147" s="460"/>
      <c r="C147" s="468"/>
      <c r="D147" s="772"/>
      <c r="E147" s="772"/>
      <c r="F147" s="958"/>
      <c r="G147" s="774"/>
      <c r="H147" s="745"/>
      <c r="I147" s="110" t="s">
        <v>17</v>
      </c>
      <c r="J147" s="204">
        <v>49.3</v>
      </c>
      <c r="K147" s="204">
        <f>18.6+1.3-1</f>
        <v>18.900000000000002</v>
      </c>
      <c r="L147" s="215"/>
      <c r="M147" s="197"/>
      <c r="N147" s="865"/>
      <c r="O147" s="859"/>
      <c r="P147" s="106"/>
      <c r="Q147" s="155"/>
      <c r="R147" s="123"/>
    </row>
    <row r="148" spans="1:23" ht="16.2" customHeight="1" x14ac:dyDescent="0.25">
      <c r="A148" s="469"/>
      <c r="B148" s="460"/>
      <c r="C148" s="468"/>
      <c r="D148" s="772"/>
      <c r="E148" s="772"/>
      <c r="F148" s="946"/>
      <c r="G148" s="774"/>
      <c r="H148" s="745"/>
      <c r="I148" s="109" t="s">
        <v>165</v>
      </c>
      <c r="J148" s="206">
        <v>3.6</v>
      </c>
      <c r="K148" s="206">
        <v>1</v>
      </c>
      <c r="L148" s="217"/>
      <c r="M148" s="199"/>
      <c r="N148" s="865"/>
      <c r="O148" s="859"/>
      <c r="P148" s="106"/>
      <c r="Q148" s="155"/>
      <c r="R148" s="123"/>
    </row>
    <row r="149" spans="1:23" s="20" customFormat="1" ht="29.7" customHeight="1" x14ac:dyDescent="0.25">
      <c r="A149" s="469"/>
      <c r="B149" s="460"/>
      <c r="C149" s="540"/>
      <c r="D149" s="37"/>
      <c r="E149" s="1024" t="s">
        <v>73</v>
      </c>
      <c r="F149" s="945" t="s">
        <v>311</v>
      </c>
      <c r="G149" s="950" t="s">
        <v>183</v>
      </c>
      <c r="H149" s="973" t="s">
        <v>210</v>
      </c>
      <c r="I149" s="131" t="s">
        <v>75</v>
      </c>
      <c r="J149" s="11">
        <v>8.5</v>
      </c>
      <c r="K149" s="11"/>
      <c r="L149" s="193"/>
      <c r="M149" s="182"/>
      <c r="N149" s="708" t="s">
        <v>299</v>
      </c>
      <c r="O149" s="858">
        <v>1</v>
      </c>
      <c r="P149" s="2"/>
      <c r="Q149" s="148">
        <v>1</v>
      </c>
      <c r="R149" s="138">
        <v>1</v>
      </c>
    </row>
    <row r="150" spans="1:23" s="20" customFormat="1" ht="30" customHeight="1" x14ac:dyDescent="0.25">
      <c r="A150" s="469"/>
      <c r="B150" s="460"/>
      <c r="C150" s="540"/>
      <c r="D150" s="37"/>
      <c r="E150" s="1025"/>
      <c r="F150" s="946"/>
      <c r="G150" s="1049"/>
      <c r="H150" s="986"/>
      <c r="I150" s="8" t="s">
        <v>14</v>
      </c>
      <c r="J150" s="10"/>
      <c r="K150" s="11"/>
      <c r="L150" s="193">
        <v>200</v>
      </c>
      <c r="M150" s="714">
        <v>200</v>
      </c>
      <c r="N150" s="708" t="s">
        <v>242</v>
      </c>
      <c r="O150" s="760"/>
      <c r="P150" s="320"/>
      <c r="Q150" s="150">
        <v>1</v>
      </c>
      <c r="R150" s="715">
        <v>1</v>
      </c>
    </row>
    <row r="151" spans="1:23" ht="30" customHeight="1" x14ac:dyDescent="0.25">
      <c r="A151" s="469"/>
      <c r="B151" s="460"/>
      <c r="C151" s="468"/>
      <c r="D151" s="772"/>
      <c r="E151" s="804" t="s">
        <v>74</v>
      </c>
      <c r="F151" s="996" t="s">
        <v>271</v>
      </c>
      <c r="G151" s="975" t="s">
        <v>272</v>
      </c>
      <c r="H151" s="973" t="s">
        <v>195</v>
      </c>
      <c r="I151" s="833" t="s">
        <v>14</v>
      </c>
      <c r="J151" s="405"/>
      <c r="K151" s="834"/>
      <c r="L151" s="835">
        <v>50</v>
      </c>
      <c r="M151" s="543"/>
      <c r="N151" s="836" t="s">
        <v>273</v>
      </c>
      <c r="O151" s="830"/>
      <c r="P151" s="2"/>
      <c r="Q151" s="148">
        <v>1</v>
      </c>
      <c r="R151" s="138"/>
      <c r="S151" s="1111"/>
      <c r="T151" s="1112"/>
      <c r="U151" s="1112"/>
      <c r="V151" s="1112"/>
      <c r="W151" s="1112"/>
    </row>
    <row r="152" spans="1:23" ht="14.7" customHeight="1" x14ac:dyDescent="0.25">
      <c r="A152" s="469"/>
      <c r="B152" s="460"/>
      <c r="C152" s="468"/>
      <c r="D152" s="772"/>
      <c r="E152" s="772"/>
      <c r="F152" s="997"/>
      <c r="G152" s="976"/>
      <c r="H152" s="974"/>
      <c r="I152" s="833" t="s">
        <v>3</v>
      </c>
      <c r="J152" s="405"/>
      <c r="K152" s="206"/>
      <c r="L152" s="217"/>
      <c r="M152" s="199">
        <v>843</v>
      </c>
      <c r="N152" s="971" t="s">
        <v>274</v>
      </c>
      <c r="O152" s="830"/>
      <c r="P152" s="2"/>
      <c r="Q152" s="148"/>
      <c r="R152" s="138">
        <v>100</v>
      </c>
    </row>
    <row r="153" spans="1:23" ht="14.7" customHeight="1" x14ac:dyDescent="0.25">
      <c r="A153" s="469"/>
      <c r="B153" s="460"/>
      <c r="C153" s="468"/>
      <c r="D153" s="772"/>
      <c r="E153" s="772"/>
      <c r="F153" s="998"/>
      <c r="G153" s="837"/>
      <c r="H153" s="832"/>
      <c r="I153" s="838"/>
      <c r="J153" s="839"/>
      <c r="K153" s="840"/>
      <c r="L153" s="544"/>
      <c r="M153" s="841"/>
      <c r="N153" s="972"/>
      <c r="O153" s="832"/>
      <c r="P153" s="3"/>
      <c r="Q153" s="154"/>
      <c r="R153" s="284"/>
    </row>
    <row r="154" spans="1:23" ht="15.6" customHeight="1" x14ac:dyDescent="0.25">
      <c r="A154" s="469"/>
      <c r="B154" s="460"/>
      <c r="C154" s="468"/>
      <c r="D154" s="772"/>
      <c r="E154" s="804" t="s">
        <v>140</v>
      </c>
      <c r="F154" s="945" t="s">
        <v>276</v>
      </c>
      <c r="G154" s="384" t="s">
        <v>183</v>
      </c>
      <c r="H154" s="760" t="s">
        <v>195</v>
      </c>
      <c r="I154" s="385" t="s">
        <v>14</v>
      </c>
      <c r="J154" s="206"/>
      <c r="K154" s="206"/>
      <c r="L154" s="386"/>
      <c r="M154" s="383">
        <v>36.9</v>
      </c>
      <c r="N154" s="936" t="s">
        <v>317</v>
      </c>
      <c r="O154" s="394"/>
      <c r="P154" s="395"/>
      <c r="Q154" s="396"/>
      <c r="R154" s="269">
        <v>100</v>
      </c>
    </row>
    <row r="155" spans="1:23" ht="15.6" customHeight="1" x14ac:dyDescent="0.25">
      <c r="A155" s="469"/>
      <c r="B155" s="460"/>
      <c r="C155" s="468"/>
      <c r="D155" s="772"/>
      <c r="E155" s="805"/>
      <c r="F155" s="946"/>
      <c r="G155" s="391"/>
      <c r="H155" s="761"/>
      <c r="I155" s="392" t="s">
        <v>3</v>
      </c>
      <c r="J155" s="207"/>
      <c r="K155" s="207"/>
      <c r="L155" s="218"/>
      <c r="M155" s="383">
        <v>200</v>
      </c>
      <c r="N155" s="999"/>
      <c r="O155" s="388"/>
      <c r="P155" s="389"/>
      <c r="Q155" s="390"/>
      <c r="R155" s="299"/>
    </row>
    <row r="156" spans="1:23" ht="15.6" customHeight="1" x14ac:dyDescent="0.25">
      <c r="A156" s="469"/>
      <c r="B156" s="460"/>
      <c r="C156" s="468"/>
      <c r="D156" s="772"/>
      <c r="E156" s="772" t="s">
        <v>141</v>
      </c>
      <c r="F156" s="945" t="s">
        <v>278</v>
      </c>
      <c r="G156" s="384" t="s">
        <v>183</v>
      </c>
      <c r="H156" s="745" t="s">
        <v>195</v>
      </c>
      <c r="I156" s="385" t="s">
        <v>14</v>
      </c>
      <c r="J156" s="206"/>
      <c r="K156" s="206"/>
      <c r="L156" s="386"/>
      <c r="M156" s="393">
        <v>58.6</v>
      </c>
      <c r="N156" s="124" t="s">
        <v>277</v>
      </c>
      <c r="O156" s="394"/>
      <c r="P156" s="395"/>
      <c r="Q156" s="396"/>
      <c r="R156" s="269">
        <v>100</v>
      </c>
    </row>
    <row r="157" spans="1:23" ht="15.6" customHeight="1" x14ac:dyDescent="0.25">
      <c r="A157" s="469"/>
      <c r="B157" s="460"/>
      <c r="C157" s="468"/>
      <c r="D157" s="772"/>
      <c r="E157" s="772"/>
      <c r="F157" s="958"/>
      <c r="G157" s="397"/>
      <c r="H157" s="745"/>
      <c r="I157" s="392" t="s">
        <v>3</v>
      </c>
      <c r="J157" s="206"/>
      <c r="K157" s="206"/>
      <c r="L157" s="398"/>
      <c r="M157" s="399">
        <v>300</v>
      </c>
      <c r="N157" s="387"/>
      <c r="O157" s="388"/>
      <c r="P157" s="389"/>
      <c r="Q157" s="390"/>
      <c r="R157" s="299"/>
    </row>
    <row r="158" spans="1:23" ht="14.25" customHeight="1" thickBot="1" x14ac:dyDescent="0.3">
      <c r="A158" s="511"/>
      <c r="B158" s="512"/>
      <c r="C158" s="541"/>
      <c r="D158" s="36"/>
      <c r="E158" s="36"/>
      <c r="F158" s="719"/>
      <c r="G158" s="400"/>
      <c r="H158" s="751"/>
      <c r="I158" s="769" t="s">
        <v>15</v>
      </c>
      <c r="J158" s="46">
        <f>SUM(J131:J157)</f>
        <v>4386.4000000000005</v>
      </c>
      <c r="K158" s="46">
        <f>SUM(K131:K157)</f>
        <v>9013.4</v>
      </c>
      <c r="L158" s="213">
        <f>SUM(L131:L157)</f>
        <v>6565</v>
      </c>
      <c r="M158" s="195">
        <f>SUM(M131:M157)</f>
        <v>2852.5</v>
      </c>
      <c r="N158" s="127"/>
      <c r="O158" s="401"/>
      <c r="P158" s="402"/>
      <c r="Q158" s="403"/>
      <c r="R158" s="302"/>
    </row>
    <row r="159" spans="1:23" ht="14.7" customHeight="1" x14ac:dyDescent="0.25">
      <c r="A159" s="469"/>
      <c r="B159" s="460"/>
      <c r="C159" s="468"/>
      <c r="D159" s="301" t="s">
        <v>16</v>
      </c>
      <c r="E159" s="98"/>
      <c r="F159" s="1076" t="s">
        <v>112</v>
      </c>
      <c r="G159" s="774" t="s">
        <v>2</v>
      </c>
      <c r="H159" s="974" t="s">
        <v>195</v>
      </c>
      <c r="I159" s="106"/>
      <c r="J159" s="641"/>
      <c r="K159" s="14"/>
      <c r="L159" s="236"/>
      <c r="M159" s="300"/>
      <c r="N159" s="134"/>
      <c r="O159" s="783"/>
      <c r="Q159" s="258"/>
      <c r="R159" s="252"/>
    </row>
    <row r="160" spans="1:23" ht="14.7" customHeight="1" x14ac:dyDescent="0.25">
      <c r="A160" s="469"/>
      <c r="B160" s="460"/>
      <c r="C160" s="468"/>
      <c r="D160" s="98"/>
      <c r="E160" s="98"/>
      <c r="F160" s="1076"/>
      <c r="G160" s="774"/>
      <c r="H160" s="974"/>
      <c r="I160" s="120"/>
      <c r="J160" s="105"/>
      <c r="K160" s="168"/>
      <c r="L160" s="187"/>
      <c r="M160" s="177"/>
      <c r="N160" s="134"/>
      <c r="O160" s="784"/>
      <c r="Q160" s="258"/>
      <c r="R160" s="252"/>
    </row>
    <row r="161" spans="1:25" ht="14.7" customHeight="1" x14ac:dyDescent="0.25">
      <c r="A161" s="469"/>
      <c r="B161" s="460"/>
      <c r="C161" s="468"/>
      <c r="D161" s="772"/>
      <c r="E161" s="804" t="s">
        <v>13</v>
      </c>
      <c r="F161" s="945" t="s">
        <v>158</v>
      </c>
      <c r="G161" s="373" t="s">
        <v>183</v>
      </c>
      <c r="H161" s="973" t="s">
        <v>195</v>
      </c>
      <c r="I161" s="109" t="s">
        <v>14</v>
      </c>
      <c r="J161" s="404"/>
      <c r="K161" s="398">
        <f>396.2-396.2+356+140+40+7.4+152.9+551+220.9-800</f>
        <v>668.2</v>
      </c>
      <c r="L161" s="217">
        <f>358.7+800+49</f>
        <v>1207.7</v>
      </c>
      <c r="M161" s="369"/>
      <c r="N161" s="969" t="s">
        <v>46</v>
      </c>
      <c r="O161" s="697">
        <v>1</v>
      </c>
      <c r="P161" s="698"/>
      <c r="Q161" s="699"/>
      <c r="R161" s="700"/>
    </row>
    <row r="162" spans="1:25" ht="14.7" customHeight="1" x14ac:dyDescent="0.25">
      <c r="A162" s="469"/>
      <c r="B162" s="460"/>
      <c r="C162" s="468"/>
      <c r="D162" s="772"/>
      <c r="E162" s="772"/>
      <c r="F162" s="958"/>
      <c r="G162" s="378" t="s">
        <v>320</v>
      </c>
      <c r="H162" s="974"/>
      <c r="I162" s="110" t="s">
        <v>75</v>
      </c>
      <c r="J162" s="128">
        <v>93</v>
      </c>
      <c r="K162" s="208">
        <f>86.4-49</f>
        <v>37.400000000000006</v>
      </c>
      <c r="L162" s="218"/>
      <c r="M162" s="200"/>
      <c r="N162" s="970"/>
      <c r="O162" s="701"/>
      <c r="P162" s="702"/>
      <c r="Q162" s="703"/>
      <c r="R162" s="704"/>
    </row>
    <row r="163" spans="1:25" ht="25.2" customHeight="1" x14ac:dyDescent="0.25">
      <c r="A163" s="469"/>
      <c r="B163" s="460"/>
      <c r="C163" s="468"/>
      <c r="D163" s="772"/>
      <c r="E163" s="772"/>
      <c r="F163" s="958"/>
      <c r="G163" s="378"/>
      <c r="H163" s="986"/>
      <c r="I163" s="108" t="s">
        <v>77</v>
      </c>
      <c r="J163" s="405">
        <v>150</v>
      </c>
      <c r="K163" s="207">
        <f>263.7+255.8+95.9</f>
        <v>615.4</v>
      </c>
      <c r="L163" s="218">
        <f>113.7+150</f>
        <v>263.7</v>
      </c>
      <c r="M163" s="199"/>
      <c r="N163" s="856" t="s">
        <v>84</v>
      </c>
      <c r="O163" s="705">
        <v>10</v>
      </c>
      <c r="P163" s="878">
        <v>50</v>
      </c>
      <c r="Q163" s="706">
        <v>100</v>
      </c>
      <c r="R163" s="707"/>
    </row>
    <row r="164" spans="1:25" ht="30" customHeight="1" x14ac:dyDescent="0.25">
      <c r="A164" s="469"/>
      <c r="B164" s="460"/>
      <c r="C164" s="542"/>
      <c r="D164" s="35"/>
      <c r="E164" s="159" t="s">
        <v>16</v>
      </c>
      <c r="F164" s="766" t="s">
        <v>243</v>
      </c>
      <c r="G164" s="384" t="s">
        <v>183</v>
      </c>
      <c r="H164" s="760"/>
      <c r="I164" s="725"/>
      <c r="J164" s="726"/>
      <c r="K164" s="727"/>
      <c r="L164" s="217"/>
      <c r="M164" s="543"/>
      <c r="N164" s="298"/>
      <c r="O164" s="406"/>
      <c r="P164" s="407"/>
      <c r="Q164" s="408"/>
      <c r="R164" s="254"/>
    </row>
    <row r="165" spans="1:25" ht="30" customHeight="1" x14ac:dyDescent="0.25">
      <c r="A165" s="469"/>
      <c r="B165" s="460"/>
      <c r="C165" s="542"/>
      <c r="D165" s="35"/>
      <c r="E165" s="35"/>
      <c r="F165" s="938" t="s">
        <v>283</v>
      </c>
      <c r="G165" s="331"/>
      <c r="H165" s="745" t="s">
        <v>195</v>
      </c>
      <c r="I165" s="725" t="s">
        <v>14</v>
      </c>
      <c r="J165" s="726"/>
      <c r="K165" s="727"/>
      <c r="L165" s="217">
        <v>35.700000000000003</v>
      </c>
      <c r="M165" s="543">
        <v>1013.6</v>
      </c>
      <c r="N165" s="298" t="s">
        <v>46</v>
      </c>
      <c r="O165" s="406"/>
      <c r="P165" s="407"/>
      <c r="Q165" s="408">
        <v>1</v>
      </c>
      <c r="R165" s="691">
        <v>2</v>
      </c>
    </row>
    <row r="166" spans="1:25" ht="33" customHeight="1" x14ac:dyDescent="0.25">
      <c r="A166" s="469"/>
      <c r="B166" s="460"/>
      <c r="C166" s="542"/>
      <c r="D166" s="35"/>
      <c r="E166" s="35"/>
      <c r="F166" s="939"/>
      <c r="G166" s="331"/>
      <c r="H166" s="745"/>
      <c r="I166" s="724"/>
      <c r="J166" s="132"/>
      <c r="K166" s="210"/>
      <c r="L166" s="544"/>
      <c r="M166" s="201"/>
      <c r="N166" s="857" t="s">
        <v>244</v>
      </c>
      <c r="O166" s="376"/>
      <c r="P166" s="716"/>
      <c r="Q166" s="377"/>
      <c r="R166" s="691">
        <v>30</v>
      </c>
    </row>
    <row r="167" spans="1:25" ht="45" customHeight="1" x14ac:dyDescent="0.25">
      <c r="A167" s="469"/>
      <c r="B167" s="460"/>
      <c r="C167" s="542"/>
      <c r="D167" s="35"/>
      <c r="E167" s="35"/>
      <c r="F167" s="409" t="s">
        <v>308</v>
      </c>
      <c r="G167" s="331"/>
      <c r="H167" s="51" t="s">
        <v>210</v>
      </c>
      <c r="I167" s="724" t="s">
        <v>14</v>
      </c>
      <c r="J167" s="132"/>
      <c r="K167" s="210"/>
      <c r="L167" s="544"/>
      <c r="M167" s="201"/>
      <c r="N167" s="710" t="s">
        <v>245</v>
      </c>
      <c r="O167" s="858"/>
      <c r="P167" s="2"/>
      <c r="Q167" s="148">
        <v>1</v>
      </c>
      <c r="R167" s="691">
        <v>1</v>
      </c>
    </row>
    <row r="168" spans="1:25" ht="30.6" customHeight="1" x14ac:dyDescent="0.25">
      <c r="A168" s="469"/>
      <c r="B168" s="460"/>
      <c r="C168" s="542"/>
      <c r="D168" s="35"/>
      <c r="E168" s="305" t="s">
        <v>20</v>
      </c>
      <c r="F168" s="410" t="s">
        <v>280</v>
      </c>
      <c r="G168" s="331"/>
      <c r="H168" s="760" t="s">
        <v>195</v>
      </c>
      <c r="I168" s="152" t="s">
        <v>14</v>
      </c>
      <c r="J168" s="132"/>
      <c r="K168" s="210"/>
      <c r="L168" s="220">
        <v>672.6</v>
      </c>
      <c r="M168" s="201"/>
      <c r="N168" s="764" t="s">
        <v>274</v>
      </c>
      <c r="O168" s="760"/>
      <c r="P168" s="2">
        <v>100</v>
      </c>
      <c r="Q168" s="148"/>
      <c r="R168" s="254"/>
    </row>
    <row r="169" spans="1:25" ht="29.25" customHeight="1" x14ac:dyDescent="0.25">
      <c r="A169" s="469"/>
      <c r="B169" s="460"/>
      <c r="C169" s="468"/>
      <c r="D169" s="772"/>
      <c r="E169" s="827" t="s">
        <v>21</v>
      </c>
      <c r="F169" s="1022" t="s">
        <v>293</v>
      </c>
      <c r="G169" s="373" t="s">
        <v>183</v>
      </c>
      <c r="H169" s="973" t="s">
        <v>195</v>
      </c>
      <c r="I169" s="108" t="s">
        <v>75</v>
      </c>
      <c r="J169" s="405">
        <f>31.3+7.4</f>
        <v>38.700000000000003</v>
      </c>
      <c r="K169" s="206"/>
      <c r="L169" s="217"/>
      <c r="M169" s="199"/>
      <c r="N169" s="708" t="s">
        <v>46</v>
      </c>
      <c r="O169" s="830">
        <v>1</v>
      </c>
      <c r="P169" s="2"/>
      <c r="Q169" s="148"/>
      <c r="R169" s="138"/>
      <c r="S169" s="1113"/>
      <c r="T169" s="1114"/>
      <c r="U169" s="1114"/>
      <c r="V169" s="1114"/>
      <c r="W169" s="1114"/>
      <c r="X169" s="1114"/>
      <c r="Y169" s="1114"/>
    </row>
    <row r="170" spans="1:25" ht="29.25" customHeight="1" x14ac:dyDescent="0.25">
      <c r="A170" s="469"/>
      <c r="B170" s="460"/>
      <c r="C170" s="468"/>
      <c r="D170" s="772"/>
      <c r="E170" s="829"/>
      <c r="F170" s="1073"/>
      <c r="G170" s="391" t="s">
        <v>320</v>
      </c>
      <c r="H170" s="986"/>
      <c r="I170" s="844" t="s">
        <v>14</v>
      </c>
      <c r="J170" s="404"/>
      <c r="K170" s="207"/>
      <c r="L170" s="218">
        <v>100</v>
      </c>
      <c r="M170" s="369">
        <f>200+2138.9</f>
        <v>2338.9</v>
      </c>
      <c r="N170" s="125" t="s">
        <v>274</v>
      </c>
      <c r="O170" s="51"/>
      <c r="P170" s="19"/>
      <c r="Q170" s="150">
        <v>2</v>
      </c>
      <c r="R170" s="151">
        <v>50</v>
      </c>
      <c r="S170" s="1113"/>
      <c r="T170" s="1114"/>
      <c r="U170" s="1114"/>
      <c r="V170" s="1114"/>
      <c r="W170" s="1114"/>
      <c r="X170" s="1114"/>
      <c r="Y170" s="1114"/>
    </row>
    <row r="171" spans="1:25" ht="22.5" customHeight="1" x14ac:dyDescent="0.25">
      <c r="A171" s="469"/>
      <c r="B171" s="460"/>
      <c r="C171" s="545"/>
      <c r="D171" s="771"/>
      <c r="E171" s="1105"/>
      <c r="F171" s="938" t="s">
        <v>203</v>
      </c>
      <c r="G171" s="331"/>
      <c r="H171" s="973" t="s">
        <v>197</v>
      </c>
      <c r="I171" s="546" t="s">
        <v>17</v>
      </c>
      <c r="J171" s="88">
        <v>537</v>
      </c>
      <c r="K171" s="10"/>
      <c r="L171" s="184"/>
      <c r="M171" s="174"/>
      <c r="N171" s="992" t="s">
        <v>139</v>
      </c>
      <c r="O171" s="803">
        <v>100</v>
      </c>
      <c r="P171" s="163"/>
      <c r="Q171" s="259"/>
      <c r="R171" s="253"/>
    </row>
    <row r="172" spans="1:25" ht="22.5" customHeight="1" x14ac:dyDescent="0.25">
      <c r="A172" s="469"/>
      <c r="B172" s="460"/>
      <c r="C172" s="542"/>
      <c r="D172" s="35"/>
      <c r="E172" s="1105"/>
      <c r="F172" s="987"/>
      <c r="G172" s="331"/>
      <c r="H172" s="974"/>
      <c r="I172" s="546" t="s">
        <v>75</v>
      </c>
      <c r="J172" s="132">
        <v>399.3</v>
      </c>
      <c r="K172" s="210"/>
      <c r="L172" s="547"/>
      <c r="M172" s="548"/>
      <c r="N172" s="993"/>
      <c r="O172" s="802"/>
      <c r="P172" s="164"/>
      <c r="Q172" s="815"/>
      <c r="R172" s="549"/>
    </row>
    <row r="173" spans="1:25" ht="13.95" customHeight="1" x14ac:dyDescent="0.25">
      <c r="A173" s="469"/>
      <c r="B173" s="460"/>
      <c r="C173" s="468"/>
      <c r="D173" s="772"/>
      <c r="E173" s="805"/>
      <c r="F173" s="411"/>
      <c r="G173" s="774"/>
      <c r="H173" s="160"/>
      <c r="I173" s="113" t="s">
        <v>204</v>
      </c>
      <c r="J173" s="668">
        <f>SUM(J161:J172)</f>
        <v>1218</v>
      </c>
      <c r="K173" s="211">
        <f>SUM(K161:K172)</f>
        <v>1321</v>
      </c>
      <c r="L173" s="221">
        <f>SUM(L161:L172)</f>
        <v>2279.7000000000003</v>
      </c>
      <c r="M173" s="202">
        <f>SUM(M161:M172)</f>
        <v>3352.5</v>
      </c>
      <c r="N173" s="765"/>
      <c r="O173" s="137"/>
      <c r="P173" s="281"/>
      <c r="Q173" s="276"/>
      <c r="R173" s="306"/>
    </row>
    <row r="174" spans="1:25" ht="15" customHeight="1" x14ac:dyDescent="0.25">
      <c r="A174" s="469"/>
      <c r="B174" s="460"/>
      <c r="C174" s="468"/>
      <c r="D174" s="103" t="s">
        <v>18</v>
      </c>
      <c r="E174" s="102"/>
      <c r="F174" s="1008" t="s">
        <v>113</v>
      </c>
      <c r="G174" s="785" t="s">
        <v>2</v>
      </c>
      <c r="H174" s="973" t="s">
        <v>199</v>
      </c>
      <c r="I174" s="2"/>
      <c r="J174" s="128"/>
      <c r="K174" s="208"/>
      <c r="L174" s="219"/>
      <c r="M174" s="200"/>
      <c r="N174" s="708"/>
      <c r="O174" s="789"/>
      <c r="P174" s="294"/>
      <c r="Q174" s="415"/>
      <c r="R174" s="416"/>
    </row>
    <row r="175" spans="1:25" ht="15" customHeight="1" x14ac:dyDescent="0.25">
      <c r="A175" s="469"/>
      <c r="B175" s="460"/>
      <c r="C175" s="468"/>
      <c r="D175" s="98"/>
      <c r="E175" s="98"/>
      <c r="F175" s="1009"/>
      <c r="G175" s="774"/>
      <c r="H175" s="986"/>
      <c r="I175" s="106"/>
      <c r="J175" s="128"/>
      <c r="K175" s="208"/>
      <c r="L175" s="219"/>
      <c r="M175" s="200"/>
      <c r="N175" s="709"/>
      <c r="O175" s="784"/>
      <c r="Q175" s="258"/>
      <c r="R175" s="252"/>
    </row>
    <row r="176" spans="1:25" ht="27.75" customHeight="1" x14ac:dyDescent="0.25">
      <c r="A176" s="469"/>
      <c r="B176" s="460"/>
      <c r="C176" s="468"/>
      <c r="D176" s="772"/>
      <c r="E176" s="804" t="s">
        <v>13</v>
      </c>
      <c r="F176" s="945" t="s">
        <v>114</v>
      </c>
      <c r="G176" s="785" t="s">
        <v>183</v>
      </c>
      <c r="H176" s="973" t="s">
        <v>199</v>
      </c>
      <c r="I176" s="550" t="s">
        <v>14</v>
      </c>
      <c r="J176" s="404">
        <v>11.4</v>
      </c>
      <c r="K176" s="207"/>
      <c r="L176" s="218"/>
      <c r="M176" s="369"/>
      <c r="N176" s="551" t="s">
        <v>71</v>
      </c>
      <c r="O176" s="552">
        <v>80</v>
      </c>
      <c r="P176" s="553">
        <v>100</v>
      </c>
      <c r="Q176" s="277"/>
      <c r="R176" s="270"/>
    </row>
    <row r="177" spans="1:18" ht="14.4" customHeight="1" x14ac:dyDescent="0.25">
      <c r="A177" s="469"/>
      <c r="B177" s="460"/>
      <c r="C177" s="467"/>
      <c r="D177" s="772"/>
      <c r="E177" s="772"/>
      <c r="F177" s="958"/>
      <c r="G177" s="774"/>
      <c r="H177" s="974"/>
      <c r="I177" s="550" t="s">
        <v>75</v>
      </c>
      <c r="J177" s="404">
        <v>196.2</v>
      </c>
      <c r="K177" s="207">
        <f>113.7+35</f>
        <v>148.69999999999999</v>
      </c>
      <c r="L177" s="218"/>
      <c r="M177" s="369"/>
      <c r="N177" s="551" t="s">
        <v>83</v>
      </c>
      <c r="O177" s="554">
        <v>80</v>
      </c>
      <c r="P177" s="555">
        <v>100</v>
      </c>
      <c r="Q177" s="278"/>
      <c r="R177" s="271"/>
    </row>
    <row r="178" spans="1:18" ht="14.4" customHeight="1" x14ac:dyDescent="0.25">
      <c r="A178" s="469"/>
      <c r="B178" s="460"/>
      <c r="C178" s="467"/>
      <c r="D178" s="772"/>
      <c r="E178" s="772"/>
      <c r="F178" s="958"/>
      <c r="G178" s="774"/>
      <c r="H178" s="974"/>
      <c r="I178" s="550" t="s">
        <v>164</v>
      </c>
      <c r="J178" s="404">
        <v>2.5</v>
      </c>
      <c r="K178" s="207">
        <v>118.6</v>
      </c>
      <c r="L178" s="218"/>
      <c r="M178" s="369"/>
      <c r="N178" s="135"/>
      <c r="O178" s="745"/>
      <c r="P178" s="106"/>
      <c r="Q178" s="155"/>
      <c r="R178" s="123"/>
    </row>
    <row r="179" spans="1:18" ht="14.4" customHeight="1" x14ac:dyDescent="0.25">
      <c r="A179" s="469"/>
      <c r="B179" s="460"/>
      <c r="C179" s="467"/>
      <c r="D179" s="772"/>
      <c r="E179" s="772"/>
      <c r="F179" s="749"/>
      <c r="G179" s="746"/>
      <c r="H179" s="745"/>
      <c r="I179" s="412" t="s">
        <v>77</v>
      </c>
      <c r="J179" s="405">
        <v>466.3</v>
      </c>
      <c r="K179" s="206">
        <f>285.8-17.9-118.6</f>
        <v>149.30000000000004</v>
      </c>
      <c r="L179" s="217"/>
      <c r="M179" s="199"/>
      <c r="N179" s="135"/>
      <c r="O179" s="745"/>
      <c r="P179" s="106"/>
      <c r="Q179" s="155"/>
      <c r="R179" s="123"/>
    </row>
    <row r="180" spans="1:18" ht="14.4" customHeight="1" x14ac:dyDescent="0.25">
      <c r="A180" s="469"/>
      <c r="B180" s="460"/>
      <c r="C180" s="467"/>
      <c r="D180" s="771"/>
      <c r="E180" s="772"/>
      <c r="F180" s="807"/>
      <c r="G180" s="746"/>
      <c r="H180" s="745"/>
      <c r="I180" s="111" t="s">
        <v>15</v>
      </c>
      <c r="J180" s="667">
        <f>SUM(J176:J179)</f>
        <v>676.4</v>
      </c>
      <c r="K180" s="556">
        <f>SUM(K176:K179)</f>
        <v>416.6</v>
      </c>
      <c r="L180" s="557">
        <f>SUM(L176:L179)</f>
        <v>0</v>
      </c>
      <c r="M180" s="558">
        <f>SUM(M176:M179)</f>
        <v>0</v>
      </c>
      <c r="N180" s="135"/>
      <c r="O180" s="141"/>
      <c r="P180" s="161"/>
      <c r="Q180" s="275"/>
      <c r="R180" s="264"/>
    </row>
    <row r="181" spans="1:18" ht="33" customHeight="1" x14ac:dyDescent="0.25">
      <c r="A181" s="469"/>
      <c r="B181" s="460"/>
      <c r="C181" s="545"/>
      <c r="D181" s="159" t="s">
        <v>20</v>
      </c>
      <c r="E181" s="559"/>
      <c r="F181" s="945" t="s">
        <v>246</v>
      </c>
      <c r="G181" s="560"/>
      <c r="H181" s="973" t="s">
        <v>195</v>
      </c>
      <c r="I181" s="546" t="s">
        <v>3</v>
      </c>
      <c r="J181" s="88"/>
      <c r="K181" s="10"/>
      <c r="L181" s="184"/>
      <c r="M181" s="174">
        <v>676.1</v>
      </c>
      <c r="N181" s="561" t="s">
        <v>247</v>
      </c>
      <c r="O181" s="140"/>
      <c r="P181" s="279"/>
      <c r="Q181" s="273"/>
      <c r="R181" s="262">
        <v>30</v>
      </c>
    </row>
    <row r="182" spans="1:18" ht="13.95" customHeight="1" x14ac:dyDescent="0.25">
      <c r="A182" s="469"/>
      <c r="B182" s="460"/>
      <c r="C182" s="468"/>
      <c r="D182" s="772"/>
      <c r="E182" s="772"/>
      <c r="F182" s="946"/>
      <c r="G182" s="774"/>
      <c r="H182" s="986"/>
      <c r="I182" s="113" t="s">
        <v>204</v>
      </c>
      <c r="J182" s="668">
        <f>SUM(J181)</f>
        <v>0</v>
      </c>
      <c r="K182" s="211">
        <f t="shared" ref="K182" si="9">SUM(K181)</f>
        <v>0</v>
      </c>
      <c r="L182" s="221">
        <f t="shared" ref="L182" si="10">SUM(L181)</f>
        <v>0</v>
      </c>
      <c r="M182" s="202">
        <f t="shared" ref="M182" si="11">SUM(M181)</f>
        <v>676.1</v>
      </c>
      <c r="N182" s="135"/>
      <c r="O182" s="141"/>
      <c r="P182" s="562"/>
      <c r="Q182" s="275"/>
      <c r="R182" s="266"/>
    </row>
    <row r="183" spans="1:18" ht="13.95" customHeight="1" x14ac:dyDescent="0.25">
      <c r="A183" s="469"/>
      <c r="B183" s="460"/>
      <c r="C183" s="545"/>
      <c r="D183" s="159"/>
      <c r="E183" s="559"/>
      <c r="F183" s="945" t="s">
        <v>227</v>
      </c>
      <c r="G183" s="560"/>
      <c r="H183" s="973" t="s">
        <v>196</v>
      </c>
      <c r="I183" s="546" t="s">
        <v>17</v>
      </c>
      <c r="J183" s="88">
        <v>204.3</v>
      </c>
      <c r="K183" s="10"/>
      <c r="L183" s="184"/>
      <c r="M183" s="174"/>
      <c r="N183" s="561" t="s">
        <v>228</v>
      </c>
      <c r="O183" s="140">
        <v>25</v>
      </c>
      <c r="P183" s="279"/>
      <c r="Q183" s="273"/>
      <c r="R183" s="262"/>
    </row>
    <row r="184" spans="1:18" ht="13.95" customHeight="1" x14ac:dyDescent="0.25">
      <c r="A184" s="469"/>
      <c r="B184" s="460"/>
      <c r="C184" s="468"/>
      <c r="D184" s="772"/>
      <c r="E184" s="772"/>
      <c r="F184" s="958"/>
      <c r="G184" s="774"/>
      <c r="H184" s="986"/>
      <c r="I184" s="113" t="s">
        <v>204</v>
      </c>
      <c r="J184" s="668">
        <f>SUM(J183)</f>
        <v>204.3</v>
      </c>
      <c r="K184" s="211">
        <f t="shared" ref="K184:M184" si="12">SUM(K183)</f>
        <v>0</v>
      </c>
      <c r="L184" s="221">
        <f t="shared" si="12"/>
        <v>0</v>
      </c>
      <c r="M184" s="202">
        <f t="shared" si="12"/>
        <v>0</v>
      </c>
      <c r="N184" s="135"/>
      <c r="O184" s="137"/>
      <c r="P184" s="281"/>
      <c r="Q184" s="276"/>
      <c r="R184" s="266"/>
    </row>
    <row r="185" spans="1:18" ht="13.5" customHeight="1" thickBot="1" x14ac:dyDescent="0.3">
      <c r="A185" s="511"/>
      <c r="B185" s="512"/>
      <c r="C185" s="513"/>
      <c r="D185" s="36"/>
      <c r="E185" s="36"/>
      <c r="F185" s="719"/>
      <c r="G185" s="1010" t="s">
        <v>44</v>
      </c>
      <c r="H185" s="1011"/>
      <c r="I185" s="1011"/>
      <c r="J185" s="669">
        <f>+J180+J173+J158+J184+J182</f>
        <v>6485.1000000000013</v>
      </c>
      <c r="K185" s="46">
        <f>+K180+K173+K158+K184+K182</f>
        <v>10751</v>
      </c>
      <c r="L185" s="213">
        <f>+L180+L173+L158+L184+L182</f>
        <v>8844.7000000000007</v>
      </c>
      <c r="M185" s="232">
        <f>+M180+M173+M158+M184+M182</f>
        <v>6881.1</v>
      </c>
      <c r="N185" s="729"/>
      <c r="O185" s="751"/>
      <c r="P185" s="18"/>
      <c r="Q185" s="778"/>
      <c r="R185" s="139"/>
    </row>
    <row r="186" spans="1:18" ht="29.25" customHeight="1" x14ac:dyDescent="0.25">
      <c r="A186" s="503" t="s">
        <v>16</v>
      </c>
      <c r="B186" s="504" t="s">
        <v>13</v>
      </c>
      <c r="C186" s="458" t="s">
        <v>18</v>
      </c>
      <c r="D186" s="33"/>
      <c r="E186" s="33"/>
      <c r="F186" s="775" t="s">
        <v>72</v>
      </c>
      <c r="G186" s="483"/>
      <c r="H186" s="744" t="s">
        <v>196</v>
      </c>
      <c r="I186" s="282"/>
      <c r="J186" s="47"/>
      <c r="K186" s="54"/>
      <c r="L186" s="442"/>
      <c r="M186" s="443"/>
      <c r="N186" s="742"/>
      <c r="O186" s="783"/>
      <c r="P186" s="250"/>
      <c r="Q186" s="257"/>
      <c r="R186" s="251"/>
    </row>
    <row r="187" spans="1:18" ht="21" customHeight="1" x14ac:dyDescent="0.25">
      <c r="A187" s="469"/>
      <c r="B187" s="460"/>
      <c r="C187" s="461"/>
      <c r="D187" s="804" t="s">
        <v>13</v>
      </c>
      <c r="E187" s="804"/>
      <c r="F187" s="945" t="s">
        <v>159</v>
      </c>
      <c r="G187" s="347"/>
      <c r="H187" s="745"/>
      <c r="I187" s="138" t="s">
        <v>14</v>
      </c>
      <c r="J187" s="11">
        <v>104</v>
      </c>
      <c r="K187" s="11">
        <v>104</v>
      </c>
      <c r="L187" s="193">
        <f>131+24</f>
        <v>155</v>
      </c>
      <c r="M187" s="226">
        <v>158.80000000000001</v>
      </c>
      <c r="N187" s="850" t="s">
        <v>85</v>
      </c>
      <c r="O187" s="858">
        <v>8</v>
      </c>
      <c r="P187" s="80">
        <v>10</v>
      </c>
      <c r="Q187" s="148">
        <v>13</v>
      </c>
      <c r="R187" s="138">
        <v>15</v>
      </c>
    </row>
    <row r="188" spans="1:18" ht="21" customHeight="1" x14ac:dyDescent="0.25">
      <c r="A188" s="469"/>
      <c r="B188" s="460"/>
      <c r="C188" s="461"/>
      <c r="D188" s="805"/>
      <c r="E188" s="805"/>
      <c r="F188" s="946"/>
      <c r="G188" s="347"/>
      <c r="H188" s="745"/>
      <c r="I188" s="284"/>
      <c r="J188" s="168"/>
      <c r="K188" s="168"/>
      <c r="L188" s="187"/>
      <c r="M188" s="681"/>
      <c r="N188" s="160"/>
      <c r="O188" s="860"/>
      <c r="P188" s="3"/>
      <c r="Q188" s="154"/>
      <c r="R188" s="284"/>
    </row>
    <row r="189" spans="1:18" ht="30" customHeight="1" x14ac:dyDescent="0.25">
      <c r="A189" s="469"/>
      <c r="B189" s="460"/>
      <c r="C189" s="540"/>
      <c r="D189" s="773" t="s">
        <v>16</v>
      </c>
      <c r="E189" s="773"/>
      <c r="F189" s="755" t="s">
        <v>160</v>
      </c>
      <c r="G189" s="345"/>
      <c r="H189" s="745"/>
      <c r="I189" s="284" t="s">
        <v>14</v>
      </c>
      <c r="J189" s="16">
        <v>227</v>
      </c>
      <c r="K189" s="16">
        <v>127.5</v>
      </c>
      <c r="L189" s="191">
        <v>190</v>
      </c>
      <c r="M189" s="229">
        <v>230</v>
      </c>
      <c r="N189" s="768" t="s">
        <v>85</v>
      </c>
      <c r="O189" s="802">
        <v>26</v>
      </c>
      <c r="P189" s="164">
        <v>13</v>
      </c>
      <c r="Q189" s="815">
        <v>21</v>
      </c>
      <c r="R189" s="254">
        <v>23</v>
      </c>
    </row>
    <row r="190" spans="1:18" s="535" customFormat="1" ht="27" customHeight="1" x14ac:dyDescent="0.25">
      <c r="A190" s="758"/>
      <c r="B190" s="564"/>
      <c r="C190" s="565"/>
      <c r="D190" s="162" t="s">
        <v>18</v>
      </c>
      <c r="E190" s="162"/>
      <c r="F190" s="56" t="s">
        <v>169</v>
      </c>
      <c r="G190" s="328"/>
      <c r="H190" s="745"/>
      <c r="I190" s="151" t="s">
        <v>14</v>
      </c>
      <c r="J190" s="10">
        <v>14</v>
      </c>
      <c r="K190" s="10"/>
      <c r="L190" s="184">
        <v>19</v>
      </c>
      <c r="M190" s="227">
        <v>15</v>
      </c>
      <c r="N190" s="743" t="s">
        <v>85</v>
      </c>
      <c r="O190" s="803">
        <v>7</v>
      </c>
      <c r="P190" s="165"/>
      <c r="Q190" s="260">
        <v>5</v>
      </c>
      <c r="R190" s="255">
        <v>3</v>
      </c>
    </row>
    <row r="191" spans="1:18" s="535" customFormat="1" ht="30" customHeight="1" x14ac:dyDescent="0.25">
      <c r="A191" s="758"/>
      <c r="B191" s="564"/>
      <c r="C191" s="565"/>
      <c r="D191" s="162" t="s">
        <v>20</v>
      </c>
      <c r="E191" s="162"/>
      <c r="F191" s="56" t="s">
        <v>248</v>
      </c>
      <c r="G191" s="328"/>
      <c r="H191" s="745"/>
      <c r="I191" s="151" t="s">
        <v>14</v>
      </c>
      <c r="J191" s="11"/>
      <c r="K191" s="11"/>
      <c r="L191" s="193">
        <v>20</v>
      </c>
      <c r="M191" s="226"/>
      <c r="N191" s="156" t="s">
        <v>249</v>
      </c>
      <c r="O191" s="104"/>
      <c r="P191" s="165"/>
      <c r="Q191" s="815">
        <v>1</v>
      </c>
      <c r="R191" s="692"/>
    </row>
    <row r="192" spans="1:18" s="535" customFormat="1" ht="46.2" customHeight="1" x14ac:dyDescent="0.25">
      <c r="A192" s="758"/>
      <c r="B192" s="564"/>
      <c r="C192" s="565"/>
      <c r="D192" s="810" t="s">
        <v>21</v>
      </c>
      <c r="E192" s="810"/>
      <c r="F192" s="945" t="s">
        <v>286</v>
      </c>
      <c r="G192" s="328"/>
      <c r="H192" s="761"/>
      <c r="I192" s="151" t="s">
        <v>14</v>
      </c>
      <c r="J192" s="11"/>
      <c r="K192" s="11"/>
      <c r="L192" s="193">
        <v>25.4</v>
      </c>
      <c r="M192" s="226">
        <v>30.4</v>
      </c>
      <c r="N192" s="916" t="s">
        <v>250</v>
      </c>
      <c r="O192" s="803"/>
      <c r="P192" s="163"/>
      <c r="Q192" s="259">
        <v>1</v>
      </c>
      <c r="R192" s="254">
        <v>1</v>
      </c>
    </row>
    <row r="193" spans="1:18" ht="15" customHeight="1" thickBot="1" x14ac:dyDescent="0.3">
      <c r="A193" s="469"/>
      <c r="B193" s="460"/>
      <c r="C193" s="467"/>
      <c r="D193" s="36"/>
      <c r="E193" s="36"/>
      <c r="F193" s="957"/>
      <c r="G193" s="1010" t="s">
        <v>44</v>
      </c>
      <c r="H193" s="1074"/>
      <c r="I193" s="1075"/>
      <c r="J193" s="46">
        <f>SUM(J187:J190)</f>
        <v>345</v>
      </c>
      <c r="K193" s="46">
        <f>SUM(K187:K192)</f>
        <v>231.5</v>
      </c>
      <c r="L193" s="213">
        <f t="shared" ref="L193:M193" si="13">SUM(L187:L192)</f>
        <v>409.4</v>
      </c>
      <c r="M193" s="195">
        <f t="shared" si="13"/>
        <v>434.2</v>
      </c>
      <c r="N193" s="917"/>
      <c r="O193" s="751"/>
      <c r="P193" s="18"/>
      <c r="Q193" s="778"/>
      <c r="R193" s="139"/>
    </row>
    <row r="194" spans="1:18" ht="15.75" customHeight="1" thickBot="1" x14ac:dyDescent="0.3">
      <c r="A194" s="524" t="s">
        <v>16</v>
      </c>
      <c r="B194" s="525" t="s">
        <v>13</v>
      </c>
      <c r="C194" s="931" t="s">
        <v>19</v>
      </c>
      <c r="D194" s="932"/>
      <c r="E194" s="932"/>
      <c r="F194" s="932"/>
      <c r="G194" s="932"/>
      <c r="H194" s="932"/>
      <c r="I194" s="932"/>
      <c r="J194" s="672">
        <f>+J193+J185+J128</f>
        <v>7107.6000000000013</v>
      </c>
      <c r="K194" s="526">
        <f>+K193+K185+K128</f>
        <v>11275.1</v>
      </c>
      <c r="L194" s="527">
        <f>+L193+L185+L128</f>
        <v>9325.8000000000011</v>
      </c>
      <c r="M194" s="566">
        <f>+M193+M185+M128</f>
        <v>7387</v>
      </c>
      <c r="N194" s="567"/>
      <c r="O194" s="914"/>
      <c r="P194" s="914"/>
      <c r="Q194" s="914"/>
      <c r="R194" s="915"/>
    </row>
    <row r="195" spans="1:18" ht="17.25" customHeight="1" thickBot="1" x14ac:dyDescent="0.3">
      <c r="A195" s="469" t="s">
        <v>16</v>
      </c>
      <c r="B195" s="525" t="s">
        <v>16</v>
      </c>
      <c r="C195" s="933" t="s">
        <v>57</v>
      </c>
      <c r="D195" s="934"/>
      <c r="E195" s="934"/>
      <c r="F195" s="934"/>
      <c r="G195" s="934"/>
      <c r="H195" s="934"/>
      <c r="I195" s="934"/>
      <c r="J195" s="934"/>
      <c r="K195" s="934"/>
      <c r="L195" s="934"/>
      <c r="M195" s="934"/>
      <c r="N195" s="934"/>
      <c r="O195" s="934"/>
      <c r="P195" s="934"/>
      <c r="Q195" s="934"/>
      <c r="R195" s="935"/>
    </row>
    <row r="196" spans="1:18" ht="16.2" customHeight="1" x14ac:dyDescent="0.25">
      <c r="A196" s="503" t="s">
        <v>16</v>
      </c>
      <c r="B196" s="504" t="s">
        <v>16</v>
      </c>
      <c r="C196" s="568" t="s">
        <v>13</v>
      </c>
      <c r="D196" s="129"/>
      <c r="E196" s="33"/>
      <c r="F196" s="775" t="s">
        <v>65</v>
      </c>
      <c r="G196" s="569"/>
      <c r="H196" s="781" t="s">
        <v>196</v>
      </c>
      <c r="I196" s="783"/>
      <c r="J196" s="47"/>
      <c r="K196" s="54"/>
      <c r="L196" s="442"/>
      <c r="M196" s="443"/>
      <c r="N196" s="798"/>
      <c r="O196" s="489"/>
      <c r="P196" s="489"/>
      <c r="Q196" s="257"/>
      <c r="R196" s="251"/>
    </row>
    <row r="197" spans="1:18" ht="16.95" customHeight="1" x14ac:dyDescent="0.25">
      <c r="A197" s="469"/>
      <c r="B197" s="460"/>
      <c r="C197" s="461"/>
      <c r="D197" s="804" t="s">
        <v>13</v>
      </c>
      <c r="E197" s="309"/>
      <c r="F197" s="945" t="s">
        <v>319</v>
      </c>
      <c r="G197" s="413"/>
      <c r="H197" s="800"/>
      <c r="I197" s="293" t="s">
        <v>14</v>
      </c>
      <c r="J197" s="167">
        <v>50</v>
      </c>
      <c r="K197" s="167">
        <v>12.4</v>
      </c>
      <c r="L197" s="324"/>
      <c r="M197" s="414"/>
      <c r="N197" s="743" t="s">
        <v>96</v>
      </c>
      <c r="O197" s="293">
        <v>573</v>
      </c>
      <c r="P197" s="293"/>
      <c r="Q197" s="415"/>
      <c r="R197" s="416"/>
    </row>
    <row r="198" spans="1:18" ht="31.2" customHeight="1" x14ac:dyDescent="0.25">
      <c r="A198" s="469"/>
      <c r="B198" s="460"/>
      <c r="C198" s="461"/>
      <c r="D198" s="772"/>
      <c r="E198" s="308"/>
      <c r="F198" s="946"/>
      <c r="G198" s="307"/>
      <c r="H198" s="800"/>
      <c r="I198" s="770"/>
      <c r="J198" s="169"/>
      <c r="K198" s="14"/>
      <c r="L198" s="236"/>
      <c r="M198" s="15"/>
      <c r="N198" s="708" t="s">
        <v>287</v>
      </c>
      <c r="O198" s="293"/>
      <c r="P198" s="293">
        <v>100</v>
      </c>
      <c r="Q198" s="415"/>
      <c r="R198" s="416"/>
    </row>
    <row r="199" spans="1:18" ht="15.6" customHeight="1" x14ac:dyDescent="0.25">
      <c r="A199" s="469"/>
      <c r="B199" s="460"/>
      <c r="C199" s="461"/>
      <c r="D199" s="40" t="s">
        <v>16</v>
      </c>
      <c r="E199" s="804"/>
      <c r="F199" s="945" t="s">
        <v>251</v>
      </c>
      <c r="G199" s="307"/>
      <c r="H199" s="800"/>
      <c r="I199" s="570" t="s">
        <v>14</v>
      </c>
      <c r="J199" s="167"/>
      <c r="K199" s="209">
        <v>28</v>
      </c>
      <c r="L199" s="324"/>
      <c r="M199" s="417"/>
      <c r="N199" s="50" t="s">
        <v>85</v>
      </c>
      <c r="O199" s="813"/>
      <c r="P199" s="8">
        <v>7</v>
      </c>
      <c r="Q199" s="260"/>
      <c r="R199" s="780"/>
    </row>
    <row r="200" spans="1:18" ht="15.6" customHeight="1" x14ac:dyDescent="0.25">
      <c r="A200" s="469"/>
      <c r="B200" s="460"/>
      <c r="C200" s="461"/>
      <c r="D200" s="41"/>
      <c r="E200" s="805"/>
      <c r="F200" s="946"/>
      <c r="G200" s="413"/>
      <c r="H200" s="800"/>
      <c r="I200" s="571"/>
      <c r="J200" s="168"/>
      <c r="K200" s="380"/>
      <c r="L200" s="418"/>
      <c r="M200" s="419"/>
      <c r="N200" s="13" t="s">
        <v>252</v>
      </c>
      <c r="O200" s="80"/>
      <c r="P200" s="131">
        <v>284</v>
      </c>
      <c r="Q200" s="259"/>
      <c r="R200" s="252"/>
    </row>
    <row r="201" spans="1:18" s="535" customFormat="1" ht="15.6" customHeight="1" x14ac:dyDescent="0.25">
      <c r="A201" s="758"/>
      <c r="B201" s="564"/>
      <c r="C201" s="572"/>
      <c r="D201" s="34" t="s">
        <v>18</v>
      </c>
      <c r="E201" s="34"/>
      <c r="F201" s="945" t="s">
        <v>68</v>
      </c>
      <c r="G201" s="345"/>
      <c r="H201" s="952"/>
      <c r="I201" s="426" t="s">
        <v>14</v>
      </c>
      <c r="J201" s="16">
        <v>53</v>
      </c>
      <c r="K201" s="420">
        <v>20.5</v>
      </c>
      <c r="L201" s="421"/>
      <c r="M201" s="422"/>
      <c r="N201" s="156" t="s">
        <v>85</v>
      </c>
      <c r="O201" s="813"/>
      <c r="P201" s="8">
        <v>4</v>
      </c>
      <c r="Q201" s="423"/>
      <c r="R201" s="424"/>
    </row>
    <row r="202" spans="1:18" s="535" customFormat="1" ht="15.6" customHeight="1" x14ac:dyDescent="0.25">
      <c r="A202" s="758"/>
      <c r="B202" s="564"/>
      <c r="C202" s="572"/>
      <c r="D202" s="34"/>
      <c r="E202" s="34"/>
      <c r="F202" s="958"/>
      <c r="G202" s="345"/>
      <c r="H202" s="953"/>
      <c r="I202" s="563"/>
      <c r="J202" s="16"/>
      <c r="K202" s="420"/>
      <c r="L202" s="421"/>
      <c r="M202" s="422"/>
      <c r="N202" s="81" t="s">
        <v>54</v>
      </c>
      <c r="O202" s="425">
        <v>19</v>
      </c>
      <c r="P202" s="425">
        <v>8</v>
      </c>
      <c r="Q202" s="259"/>
      <c r="R202" s="426"/>
    </row>
    <row r="203" spans="1:18" s="535" customFormat="1" ht="15.6" customHeight="1" thickBot="1" x14ac:dyDescent="0.3">
      <c r="A203" s="758"/>
      <c r="B203" s="564"/>
      <c r="C203" s="572"/>
      <c r="D203" s="90"/>
      <c r="E203" s="42"/>
      <c r="F203" s="750"/>
      <c r="G203" s="345"/>
      <c r="H203" s="954"/>
      <c r="I203" s="111" t="s">
        <v>15</v>
      </c>
      <c r="J203" s="46">
        <f>SUM(J197:J201)</f>
        <v>103</v>
      </c>
      <c r="K203" s="46">
        <f>SUM(K197:K202)</f>
        <v>60.9</v>
      </c>
      <c r="L203" s="213">
        <f>SUM(L197:L202)</f>
        <v>0</v>
      </c>
      <c r="M203" s="195">
        <f>SUM(M197:M202)</f>
        <v>0</v>
      </c>
      <c r="N203" s="81"/>
      <c r="O203" s="425"/>
      <c r="P203" s="425"/>
      <c r="Q203" s="816"/>
      <c r="R203" s="254"/>
    </row>
    <row r="204" spans="1:18" s="535" customFormat="1" ht="43.5" customHeight="1" x14ac:dyDescent="0.25">
      <c r="A204" s="757" t="s">
        <v>16</v>
      </c>
      <c r="B204" s="573" t="s">
        <v>16</v>
      </c>
      <c r="C204" s="574" t="s">
        <v>16</v>
      </c>
      <c r="D204" s="71"/>
      <c r="E204" s="71"/>
      <c r="F204" s="575" t="s">
        <v>318</v>
      </c>
      <c r="G204" s="576"/>
      <c r="H204" s="93"/>
      <c r="I204" s="6"/>
      <c r="J204" s="170"/>
      <c r="K204" s="69"/>
      <c r="L204" s="223"/>
      <c r="M204" s="222"/>
      <c r="N204" s="577"/>
      <c r="O204" s="578"/>
      <c r="P204" s="579"/>
      <c r="Q204" s="580"/>
      <c r="R204" s="581"/>
    </row>
    <row r="205" spans="1:18" s="535" customFormat="1" ht="16.2" customHeight="1" x14ac:dyDescent="0.25">
      <c r="A205" s="758"/>
      <c r="B205" s="564"/>
      <c r="C205" s="572"/>
      <c r="D205" s="809" t="s">
        <v>13</v>
      </c>
      <c r="E205" s="809"/>
      <c r="F205" s="806" t="s">
        <v>138</v>
      </c>
      <c r="G205" s="752"/>
      <c r="H205" s="107" t="s">
        <v>196</v>
      </c>
      <c r="I205" s="760" t="s">
        <v>14</v>
      </c>
      <c r="J205" s="11">
        <v>5</v>
      </c>
      <c r="K205" s="70">
        <v>5</v>
      </c>
      <c r="L205" s="381">
        <v>55</v>
      </c>
      <c r="M205" s="582">
        <v>35</v>
      </c>
      <c r="N205" s="285" t="s">
        <v>91</v>
      </c>
      <c r="O205" s="80">
        <v>1</v>
      </c>
      <c r="P205" s="583">
        <v>1</v>
      </c>
      <c r="Q205" s="260">
        <v>11</v>
      </c>
      <c r="R205" s="255">
        <v>7</v>
      </c>
    </row>
    <row r="206" spans="1:18" s="535" customFormat="1" ht="16.95" customHeight="1" x14ac:dyDescent="0.25">
      <c r="A206" s="758"/>
      <c r="B206" s="564"/>
      <c r="C206" s="572"/>
      <c r="D206" s="927" t="s">
        <v>16</v>
      </c>
      <c r="E206" s="927"/>
      <c r="F206" s="945" t="s">
        <v>137</v>
      </c>
      <c r="G206" s="950" t="s">
        <v>183</v>
      </c>
      <c r="H206" s="929" t="s">
        <v>212</v>
      </c>
      <c r="I206" s="8" t="s">
        <v>14</v>
      </c>
      <c r="J206" s="650">
        <v>158</v>
      </c>
      <c r="K206" s="79">
        <v>158</v>
      </c>
      <c r="L206" s="429">
        <v>122.3</v>
      </c>
      <c r="M206" s="584"/>
      <c r="N206" s="285" t="s">
        <v>85</v>
      </c>
      <c r="O206" s="80">
        <v>10</v>
      </c>
      <c r="P206" s="425">
        <v>10</v>
      </c>
      <c r="Q206" s="815">
        <v>10</v>
      </c>
      <c r="R206" s="254"/>
    </row>
    <row r="207" spans="1:18" s="535" customFormat="1" ht="16.95" customHeight="1" x14ac:dyDescent="0.25">
      <c r="A207" s="758"/>
      <c r="B207" s="564"/>
      <c r="C207" s="572"/>
      <c r="D207" s="928"/>
      <c r="E207" s="928"/>
      <c r="F207" s="958"/>
      <c r="G207" s="951"/>
      <c r="H207" s="929"/>
      <c r="I207" s="585" t="s">
        <v>75</v>
      </c>
      <c r="J207" s="10">
        <v>151</v>
      </c>
      <c r="K207" s="10">
        <v>7.4</v>
      </c>
      <c r="L207" s="184"/>
      <c r="M207" s="227"/>
      <c r="N207" s="285" t="s">
        <v>178</v>
      </c>
      <c r="O207" s="80">
        <v>5</v>
      </c>
      <c r="P207" s="583">
        <v>5</v>
      </c>
      <c r="Q207" s="260">
        <v>55</v>
      </c>
      <c r="R207" s="255">
        <v>35</v>
      </c>
    </row>
    <row r="208" spans="1:18" s="535" customFormat="1" ht="30" customHeight="1" x14ac:dyDescent="0.25">
      <c r="A208" s="758"/>
      <c r="B208" s="564"/>
      <c r="C208" s="572"/>
      <c r="D208" s="48" t="s">
        <v>18</v>
      </c>
      <c r="E208" s="48"/>
      <c r="F208" s="945" t="s">
        <v>253</v>
      </c>
      <c r="G208" s="586"/>
      <c r="H208" s="929"/>
      <c r="I208" s="134" t="s">
        <v>14</v>
      </c>
      <c r="J208" s="11"/>
      <c r="K208" s="11"/>
      <c r="L208" s="193"/>
      <c r="M208" s="226">
        <v>104</v>
      </c>
      <c r="N208" s="947" t="s">
        <v>85</v>
      </c>
      <c r="O208" s="922"/>
      <c r="P208" s="924"/>
      <c r="Q208" s="925"/>
      <c r="R208" s="549">
        <v>52</v>
      </c>
    </row>
    <row r="209" spans="1:18" s="535" customFormat="1" ht="15.75" customHeight="1" thickBot="1" x14ac:dyDescent="0.3">
      <c r="A209" s="759"/>
      <c r="B209" s="587"/>
      <c r="C209" s="588"/>
      <c r="D209" s="90"/>
      <c r="E209" s="90"/>
      <c r="F209" s="957"/>
      <c r="G209" s="589"/>
      <c r="H209" s="949"/>
      <c r="I209" s="9" t="s">
        <v>15</v>
      </c>
      <c r="J209" s="83">
        <f>SUM(J205:J207)</f>
        <v>314</v>
      </c>
      <c r="K209" s="83">
        <f>SUM(K205:K207)</f>
        <v>170.4</v>
      </c>
      <c r="L209" s="235">
        <f t="shared" ref="L209" si="14">SUM(L205:L207)</f>
        <v>177.3</v>
      </c>
      <c r="M209" s="230">
        <f>SUM(M205:M208)</f>
        <v>139</v>
      </c>
      <c r="N209" s="948"/>
      <c r="O209" s="923"/>
      <c r="P209" s="923"/>
      <c r="Q209" s="926"/>
      <c r="R209" s="441"/>
    </row>
    <row r="210" spans="1:18" ht="15.75" customHeight="1" thickBot="1" x14ac:dyDescent="0.3">
      <c r="A210" s="524" t="s">
        <v>16</v>
      </c>
      <c r="B210" s="512" t="s">
        <v>16</v>
      </c>
      <c r="C210" s="988" t="s">
        <v>19</v>
      </c>
      <c r="D210" s="989"/>
      <c r="E210" s="989"/>
      <c r="F210" s="989"/>
      <c r="G210" s="989"/>
      <c r="H210" s="989"/>
      <c r="I210" s="989"/>
      <c r="J210" s="676">
        <f>J203+J209</f>
        <v>417</v>
      </c>
      <c r="K210" s="590">
        <f>K203+K209</f>
        <v>231.3</v>
      </c>
      <c r="L210" s="591">
        <f t="shared" ref="L210:M210" si="15">L203+L209</f>
        <v>177.3</v>
      </c>
      <c r="M210" s="592">
        <f t="shared" si="15"/>
        <v>139</v>
      </c>
      <c r="N210" s="593"/>
      <c r="O210" s="811"/>
      <c r="P210" s="811"/>
      <c r="Q210" s="594"/>
      <c r="R210" s="812"/>
    </row>
    <row r="211" spans="1:18" ht="15.75" customHeight="1" thickBot="1" x14ac:dyDescent="0.3">
      <c r="A211" s="524" t="s">
        <v>16</v>
      </c>
      <c r="B211" s="595" t="s">
        <v>18</v>
      </c>
      <c r="C211" s="933" t="s">
        <v>29</v>
      </c>
      <c r="D211" s="934"/>
      <c r="E211" s="934"/>
      <c r="F211" s="934"/>
      <c r="G211" s="934"/>
      <c r="H211" s="934"/>
      <c r="I211" s="934"/>
      <c r="J211" s="934"/>
      <c r="K211" s="934"/>
      <c r="L211" s="934"/>
      <c r="M211" s="934"/>
      <c r="N211" s="934"/>
      <c r="O211" s="934"/>
      <c r="P211" s="934"/>
      <c r="Q211" s="934"/>
      <c r="R211" s="935"/>
    </row>
    <row r="212" spans="1:18" ht="15.6" customHeight="1" x14ac:dyDescent="0.25">
      <c r="A212" s="503" t="s">
        <v>16</v>
      </c>
      <c r="B212" s="504" t="s">
        <v>18</v>
      </c>
      <c r="C212" s="458" t="s">
        <v>13</v>
      </c>
      <c r="D212" s="28"/>
      <c r="E212" s="28"/>
      <c r="F212" s="983" t="s">
        <v>30</v>
      </c>
      <c r="G212" s="790"/>
      <c r="H212" s="1020"/>
      <c r="I212" s="4"/>
      <c r="J212" s="64"/>
      <c r="K212" s="73"/>
      <c r="L212" s="233"/>
      <c r="M212" s="224"/>
      <c r="N212" s="791"/>
      <c r="O212" s="489"/>
      <c r="P212" s="489"/>
      <c r="Q212" s="257"/>
      <c r="R212" s="251"/>
    </row>
    <row r="213" spans="1:18" ht="13.2" customHeight="1" x14ac:dyDescent="0.25">
      <c r="A213" s="469"/>
      <c r="B213" s="460"/>
      <c r="C213" s="468"/>
      <c r="D213" s="29"/>
      <c r="E213" s="29"/>
      <c r="F213" s="984"/>
      <c r="G213" s="796"/>
      <c r="H213" s="978"/>
      <c r="I213" s="74"/>
      <c r="J213" s="105"/>
      <c r="K213" s="75"/>
      <c r="L213" s="234"/>
      <c r="M213" s="225"/>
      <c r="N213" s="792"/>
      <c r="O213" s="656"/>
      <c r="P213" s="656"/>
      <c r="Q213" s="258"/>
      <c r="R213" s="252"/>
    </row>
    <row r="214" spans="1:18" ht="29.4" customHeight="1" x14ac:dyDescent="0.25">
      <c r="A214" s="469"/>
      <c r="B214" s="460"/>
      <c r="C214" s="596"/>
      <c r="D214" s="940" t="s">
        <v>13</v>
      </c>
      <c r="E214" s="940"/>
      <c r="F214" s="920" t="s">
        <v>316</v>
      </c>
      <c r="G214" s="796"/>
      <c r="H214" s="978" t="s">
        <v>210</v>
      </c>
      <c r="I214" s="1" t="s">
        <v>14</v>
      </c>
      <c r="J214" s="648">
        <v>610.4</v>
      </c>
      <c r="K214" s="167">
        <v>500</v>
      </c>
      <c r="L214" s="193">
        <v>500</v>
      </c>
      <c r="M214" s="717">
        <v>500</v>
      </c>
      <c r="N214" s="285" t="s">
        <v>115</v>
      </c>
      <c r="O214" s="80">
        <v>22</v>
      </c>
      <c r="P214" s="80">
        <v>22</v>
      </c>
      <c r="Q214" s="259">
        <v>21</v>
      </c>
      <c r="R214" s="253">
        <v>21</v>
      </c>
    </row>
    <row r="215" spans="1:18" ht="26.4" customHeight="1" x14ac:dyDescent="0.25">
      <c r="A215" s="469"/>
      <c r="B215" s="460"/>
      <c r="C215" s="596"/>
      <c r="D215" s="941"/>
      <c r="E215" s="941"/>
      <c r="F215" s="985"/>
      <c r="G215" s="796"/>
      <c r="H215" s="1000"/>
      <c r="I215" s="1" t="s">
        <v>75</v>
      </c>
      <c r="J215" s="648">
        <v>117.3</v>
      </c>
      <c r="K215" s="11">
        <v>7.2</v>
      </c>
      <c r="L215" s="193"/>
      <c r="M215" s="226"/>
      <c r="N215" s="81"/>
      <c r="O215" s="425"/>
      <c r="P215" s="425"/>
      <c r="Q215" s="815"/>
      <c r="R215" s="254"/>
    </row>
    <row r="216" spans="1:18" ht="45" customHeight="1" x14ac:dyDescent="0.25">
      <c r="A216" s="469"/>
      <c r="B216" s="460"/>
      <c r="C216" s="596"/>
      <c r="D216" s="941"/>
      <c r="E216" s="941"/>
      <c r="F216" s="985"/>
      <c r="G216" s="796"/>
      <c r="H216" s="51" t="s">
        <v>268</v>
      </c>
      <c r="I216" s="8" t="s">
        <v>14</v>
      </c>
      <c r="J216" s="88"/>
      <c r="K216" s="10">
        <v>72</v>
      </c>
      <c r="L216" s="184"/>
      <c r="M216" s="227"/>
      <c r="N216" s="799" t="s">
        <v>312</v>
      </c>
      <c r="O216" s="813"/>
      <c r="P216" s="813">
        <v>1</v>
      </c>
      <c r="Q216" s="260"/>
      <c r="R216" s="255"/>
    </row>
    <row r="217" spans="1:18" ht="47.4" customHeight="1" x14ac:dyDescent="0.25">
      <c r="A217" s="469"/>
      <c r="B217" s="460"/>
      <c r="C217" s="596"/>
      <c r="D217" s="942"/>
      <c r="E217" s="942"/>
      <c r="F217" s="921"/>
      <c r="G217" s="796"/>
      <c r="H217" s="597" t="s">
        <v>284</v>
      </c>
      <c r="I217" s="74" t="s">
        <v>14</v>
      </c>
      <c r="J217" s="644">
        <f>6+19.7</f>
        <v>25.7</v>
      </c>
      <c r="K217" s="16"/>
      <c r="L217" s="191"/>
      <c r="M217" s="229"/>
      <c r="N217" s="160"/>
      <c r="O217" s="425"/>
      <c r="P217" s="425"/>
      <c r="Q217" s="815"/>
      <c r="R217" s="254"/>
    </row>
    <row r="218" spans="1:18" s="599" customFormat="1" ht="15.75" customHeight="1" x14ac:dyDescent="0.25">
      <c r="A218" s="469"/>
      <c r="B218" s="460"/>
      <c r="C218" s="596"/>
      <c r="D218" s="804" t="s">
        <v>16</v>
      </c>
      <c r="E218" s="804"/>
      <c r="F218" s="920" t="s">
        <v>67</v>
      </c>
      <c r="G218" s="796"/>
      <c r="H218" s="598"/>
      <c r="I218" s="7" t="s">
        <v>14</v>
      </c>
      <c r="J218" s="88">
        <v>33.700000000000003</v>
      </c>
      <c r="K218" s="10">
        <v>36.700000000000003</v>
      </c>
      <c r="L218" s="184">
        <v>36.700000000000003</v>
      </c>
      <c r="M218" s="227">
        <v>36.700000000000003</v>
      </c>
      <c r="N218" s="743" t="s">
        <v>85</v>
      </c>
      <c r="O218" s="80">
        <v>93</v>
      </c>
      <c r="P218" s="80">
        <v>93</v>
      </c>
      <c r="Q218" s="259">
        <v>93</v>
      </c>
      <c r="R218" s="253">
        <v>93</v>
      </c>
    </row>
    <row r="219" spans="1:18" s="599" customFormat="1" ht="15.75" customHeight="1" x14ac:dyDescent="0.25">
      <c r="A219" s="469"/>
      <c r="B219" s="460"/>
      <c r="C219" s="596"/>
      <c r="D219" s="41"/>
      <c r="E219" s="805"/>
      <c r="F219" s="921"/>
      <c r="G219" s="796"/>
      <c r="H219" s="784"/>
      <c r="I219" s="7" t="s">
        <v>75</v>
      </c>
      <c r="J219" s="647">
        <v>3</v>
      </c>
      <c r="K219" s="55"/>
      <c r="L219" s="192"/>
      <c r="M219" s="228"/>
      <c r="N219" s="747"/>
      <c r="O219" s="814"/>
      <c r="P219" s="814"/>
      <c r="Q219" s="427"/>
      <c r="R219" s="428"/>
    </row>
    <row r="220" spans="1:18" ht="28.5" customHeight="1" x14ac:dyDescent="0.25">
      <c r="A220" s="469"/>
      <c r="B220" s="460"/>
      <c r="C220" s="596"/>
      <c r="D220" s="41" t="s">
        <v>18</v>
      </c>
      <c r="E220" s="805"/>
      <c r="F220" s="77" t="s">
        <v>34</v>
      </c>
      <c r="G220" s="796"/>
      <c r="H220" s="784"/>
      <c r="I220" s="7" t="s">
        <v>14</v>
      </c>
      <c r="J220" s="644">
        <v>90.2</v>
      </c>
      <c r="K220" s="16">
        <v>90.2</v>
      </c>
      <c r="L220" s="191">
        <v>90.2</v>
      </c>
      <c r="M220" s="229">
        <v>90.2</v>
      </c>
      <c r="N220" s="747" t="s">
        <v>116</v>
      </c>
      <c r="O220" s="814">
        <v>30</v>
      </c>
      <c r="P220" s="814">
        <v>30</v>
      </c>
      <c r="Q220" s="427">
        <v>30</v>
      </c>
      <c r="R220" s="428">
        <v>30</v>
      </c>
    </row>
    <row r="221" spans="1:18" ht="29.25" customHeight="1" x14ac:dyDescent="0.25">
      <c r="A221" s="469"/>
      <c r="B221" s="460"/>
      <c r="C221" s="596"/>
      <c r="D221" s="772" t="s">
        <v>20</v>
      </c>
      <c r="E221" s="772"/>
      <c r="F221" s="77" t="s">
        <v>36</v>
      </c>
      <c r="G221" s="796"/>
      <c r="H221" s="784"/>
      <c r="I221" s="78" t="s">
        <v>14</v>
      </c>
      <c r="J221" s="88">
        <v>55</v>
      </c>
      <c r="K221" s="10">
        <v>42</v>
      </c>
      <c r="L221" s="184">
        <v>40</v>
      </c>
      <c r="M221" s="227">
        <v>40</v>
      </c>
      <c r="N221" s="747" t="s">
        <v>117</v>
      </c>
      <c r="O221" s="814">
        <v>4</v>
      </c>
      <c r="P221" s="814">
        <v>3</v>
      </c>
      <c r="Q221" s="260">
        <v>3</v>
      </c>
      <c r="R221" s="428">
        <v>3</v>
      </c>
    </row>
    <row r="222" spans="1:18" ht="18" customHeight="1" x14ac:dyDescent="0.25">
      <c r="A222" s="469"/>
      <c r="B222" s="460"/>
      <c r="C222" s="596"/>
      <c r="D222" s="38" t="s">
        <v>21</v>
      </c>
      <c r="E222" s="38"/>
      <c r="F222" s="76" t="s">
        <v>33</v>
      </c>
      <c r="G222" s="796"/>
      <c r="H222" s="784"/>
      <c r="I222" s="78" t="s">
        <v>14</v>
      </c>
      <c r="J222" s="88">
        <v>17.5</v>
      </c>
      <c r="K222" s="10">
        <v>17.5</v>
      </c>
      <c r="L222" s="184">
        <v>17.5</v>
      </c>
      <c r="M222" s="227">
        <v>17.5</v>
      </c>
      <c r="N222" s="799" t="s">
        <v>37</v>
      </c>
      <c r="O222" s="10">
        <v>37.700000000000003</v>
      </c>
      <c r="P222" s="818">
        <v>38</v>
      </c>
      <c r="Q222" s="430">
        <f>+P222</f>
        <v>38</v>
      </c>
      <c r="R222" s="431">
        <v>38</v>
      </c>
    </row>
    <row r="223" spans="1:18" ht="18" customHeight="1" x14ac:dyDescent="0.25">
      <c r="A223" s="469"/>
      <c r="B223" s="460"/>
      <c r="C223" s="468"/>
      <c r="D223" s="40" t="s">
        <v>73</v>
      </c>
      <c r="E223" s="40"/>
      <c r="F223" s="793" t="s">
        <v>35</v>
      </c>
      <c r="G223" s="796"/>
      <c r="H223" s="784"/>
      <c r="I223" s="78" t="s">
        <v>14</v>
      </c>
      <c r="J223" s="88">
        <f>261.4-2.3</f>
        <v>259.09999999999997</v>
      </c>
      <c r="K223" s="10">
        <v>282.5</v>
      </c>
      <c r="L223" s="184">
        <v>282.60000000000002</v>
      </c>
      <c r="M223" s="227">
        <v>282.7</v>
      </c>
      <c r="N223" s="916" t="s">
        <v>118</v>
      </c>
      <c r="O223" s="425">
        <v>101</v>
      </c>
      <c r="P223" s="425">
        <v>101</v>
      </c>
      <c r="Q223" s="815">
        <v>101</v>
      </c>
      <c r="R223" s="254">
        <v>101</v>
      </c>
    </row>
    <row r="224" spans="1:18" ht="14.4" customHeight="1" x14ac:dyDescent="0.25">
      <c r="A224" s="469"/>
      <c r="B224" s="460"/>
      <c r="C224" s="468"/>
      <c r="D224" s="29"/>
      <c r="E224" s="29"/>
      <c r="F224" s="794"/>
      <c r="G224" s="796"/>
      <c r="H224" s="784"/>
      <c r="I224" s="78" t="s">
        <v>75</v>
      </c>
      <c r="J224" s="88">
        <v>26</v>
      </c>
      <c r="K224" s="10"/>
      <c r="L224" s="184"/>
      <c r="M224" s="227"/>
      <c r="N224" s="918"/>
      <c r="O224" s="425"/>
      <c r="P224" s="425"/>
      <c r="Q224" s="815"/>
      <c r="R224" s="254"/>
    </row>
    <row r="225" spans="1:18" ht="14.4" customHeight="1" x14ac:dyDescent="0.25">
      <c r="A225" s="469"/>
      <c r="B225" s="460"/>
      <c r="C225" s="468"/>
      <c r="D225" s="41"/>
      <c r="E225" s="41"/>
      <c r="F225" s="795"/>
      <c r="G225" s="796"/>
      <c r="H225" s="784"/>
      <c r="I225" s="80" t="s">
        <v>17</v>
      </c>
      <c r="J225" s="88">
        <v>2.6</v>
      </c>
      <c r="K225" s="819">
        <v>2.6</v>
      </c>
      <c r="L225" s="192">
        <v>2.6</v>
      </c>
      <c r="M225" s="820">
        <v>2.6</v>
      </c>
      <c r="N225" s="919"/>
      <c r="O225" s="425"/>
      <c r="P225" s="425"/>
      <c r="Q225" s="815"/>
      <c r="R225" s="254"/>
    </row>
    <row r="226" spans="1:18" ht="27" customHeight="1" x14ac:dyDescent="0.25">
      <c r="A226" s="469"/>
      <c r="B226" s="460"/>
      <c r="C226" s="596"/>
      <c r="D226" s="772" t="s">
        <v>74</v>
      </c>
      <c r="E226" s="772"/>
      <c r="F226" s="807" t="s">
        <v>43</v>
      </c>
      <c r="G226" s="600"/>
      <c r="H226" s="745"/>
      <c r="I226" s="813" t="s">
        <v>14</v>
      </c>
      <c r="J226" s="88">
        <v>290</v>
      </c>
      <c r="K226" s="10">
        <v>207</v>
      </c>
      <c r="L226" s="184">
        <v>200</v>
      </c>
      <c r="M226" s="184">
        <v>200</v>
      </c>
      <c r="N226" s="156" t="s">
        <v>85</v>
      </c>
      <c r="O226" s="813">
        <v>11</v>
      </c>
      <c r="P226" s="813">
        <v>8</v>
      </c>
      <c r="Q226" s="260">
        <v>8</v>
      </c>
      <c r="R226" s="255">
        <v>8</v>
      </c>
    </row>
    <row r="227" spans="1:18" ht="27" customHeight="1" x14ac:dyDescent="0.25">
      <c r="A227" s="469"/>
      <c r="B227" s="460"/>
      <c r="C227" s="596"/>
      <c r="D227" s="38" t="s">
        <v>140</v>
      </c>
      <c r="E227" s="38"/>
      <c r="F227" s="115" t="s">
        <v>202</v>
      </c>
      <c r="G227" s="600"/>
      <c r="H227" s="745"/>
      <c r="I227" s="813" t="s">
        <v>14</v>
      </c>
      <c r="J227" s="88">
        <f>180-20.3</f>
        <v>159.69999999999999</v>
      </c>
      <c r="K227" s="10">
        <f>300-50</f>
        <v>250</v>
      </c>
      <c r="L227" s="184">
        <f>300-50</f>
        <v>250</v>
      </c>
      <c r="M227" s="227">
        <f>300-50</f>
        <v>250</v>
      </c>
      <c r="N227" s="156" t="s">
        <v>85</v>
      </c>
      <c r="O227" s="814">
        <v>9</v>
      </c>
      <c r="P227" s="688">
        <f>10-1</f>
        <v>9</v>
      </c>
      <c r="Q227" s="689">
        <f t="shared" ref="Q227:R227" si="16">10-1</f>
        <v>9</v>
      </c>
      <c r="R227" s="690">
        <f t="shared" si="16"/>
        <v>9</v>
      </c>
    </row>
    <row r="228" spans="1:18" ht="18" customHeight="1" x14ac:dyDescent="0.25">
      <c r="A228" s="469"/>
      <c r="B228" s="460"/>
      <c r="C228" s="596"/>
      <c r="D228" s="38" t="s">
        <v>141</v>
      </c>
      <c r="E228" s="38"/>
      <c r="F228" s="756" t="s">
        <v>61</v>
      </c>
      <c r="G228" s="601"/>
      <c r="H228" s="745"/>
      <c r="I228" s="813" t="s">
        <v>14</v>
      </c>
      <c r="J228" s="88">
        <f>200-25.1</f>
        <v>174.9</v>
      </c>
      <c r="K228" s="10">
        <v>200</v>
      </c>
      <c r="L228" s="184">
        <v>200</v>
      </c>
      <c r="M228" s="227">
        <v>200</v>
      </c>
      <c r="N228" s="156" t="s">
        <v>85</v>
      </c>
      <c r="O228" s="814">
        <v>9</v>
      </c>
      <c r="P228" s="814">
        <v>8</v>
      </c>
      <c r="Q228" s="260">
        <v>8</v>
      </c>
      <c r="R228" s="428">
        <v>8</v>
      </c>
    </row>
    <row r="229" spans="1:18" ht="27.75" customHeight="1" x14ac:dyDescent="0.25">
      <c r="A229" s="469"/>
      <c r="B229" s="460"/>
      <c r="C229" s="468"/>
      <c r="D229" s="29" t="s">
        <v>5</v>
      </c>
      <c r="E229" s="29"/>
      <c r="F229" s="945" t="s">
        <v>313</v>
      </c>
      <c r="G229" s="1012" t="s">
        <v>42</v>
      </c>
      <c r="H229" s="784"/>
      <c r="I229" s="1" t="s">
        <v>14</v>
      </c>
      <c r="J229" s="88">
        <v>168</v>
      </c>
      <c r="K229" s="718">
        <v>53</v>
      </c>
      <c r="L229" s="193">
        <v>140</v>
      </c>
      <c r="M229" s="226">
        <v>140</v>
      </c>
      <c r="N229" s="768" t="s">
        <v>120</v>
      </c>
      <c r="O229" s="814">
        <v>1</v>
      </c>
      <c r="P229" s="814">
        <v>2</v>
      </c>
      <c r="Q229" s="260">
        <v>2</v>
      </c>
      <c r="R229" s="428">
        <v>2</v>
      </c>
    </row>
    <row r="230" spans="1:18" ht="27.75" customHeight="1" x14ac:dyDescent="0.25">
      <c r="A230" s="469"/>
      <c r="B230" s="460"/>
      <c r="C230" s="468"/>
      <c r="D230" s="29"/>
      <c r="E230" s="29"/>
      <c r="F230" s="946"/>
      <c r="G230" s="1013"/>
      <c r="H230" s="784"/>
      <c r="I230" s="1" t="s">
        <v>75</v>
      </c>
      <c r="J230" s="88">
        <v>45.1</v>
      </c>
      <c r="K230" s="10">
        <v>100.8</v>
      </c>
      <c r="L230" s="184"/>
      <c r="M230" s="227"/>
      <c r="N230" s="799" t="s">
        <v>126</v>
      </c>
      <c r="O230" s="80">
        <v>2</v>
      </c>
      <c r="P230" s="80">
        <v>3</v>
      </c>
      <c r="Q230" s="260">
        <v>3</v>
      </c>
      <c r="R230" s="253">
        <v>3</v>
      </c>
    </row>
    <row r="231" spans="1:18" ht="28.5" customHeight="1" x14ac:dyDescent="0.25">
      <c r="A231" s="469"/>
      <c r="B231" s="460"/>
      <c r="C231" s="468"/>
      <c r="D231" s="44" t="s">
        <v>142</v>
      </c>
      <c r="E231" s="44"/>
      <c r="F231" s="56" t="s">
        <v>102</v>
      </c>
      <c r="G231" s="602"/>
      <c r="H231" s="745"/>
      <c r="I231" s="8" t="s">
        <v>14</v>
      </c>
      <c r="J231" s="88">
        <f>78-7.5</f>
        <v>70.5</v>
      </c>
      <c r="K231" s="10">
        <f>80-40</f>
        <v>40</v>
      </c>
      <c r="L231" s="184">
        <v>40</v>
      </c>
      <c r="M231" s="227">
        <v>40</v>
      </c>
      <c r="N231" s="743" t="s">
        <v>85</v>
      </c>
      <c r="O231" s="80">
        <v>33</v>
      </c>
      <c r="P231" s="80">
        <v>33</v>
      </c>
      <c r="Q231" s="259">
        <v>33</v>
      </c>
      <c r="R231" s="253">
        <v>33</v>
      </c>
    </row>
    <row r="232" spans="1:18" ht="32.25" customHeight="1" x14ac:dyDescent="0.25">
      <c r="A232" s="469"/>
      <c r="B232" s="460"/>
      <c r="C232" s="468"/>
      <c r="D232" s="44" t="s">
        <v>143</v>
      </c>
      <c r="E232" s="40"/>
      <c r="F232" s="603" t="s">
        <v>300</v>
      </c>
      <c r="G232" s="604"/>
      <c r="H232" s="745"/>
      <c r="I232" s="131" t="s">
        <v>14</v>
      </c>
      <c r="J232" s="648"/>
      <c r="K232" s="11">
        <v>20</v>
      </c>
      <c r="L232" s="193"/>
      <c r="M232" s="226"/>
      <c r="N232" s="125" t="s">
        <v>85</v>
      </c>
      <c r="O232" s="104"/>
      <c r="P232" s="813">
        <v>1</v>
      </c>
      <c r="Q232" s="260"/>
      <c r="R232" s="253"/>
    </row>
    <row r="233" spans="1:18" ht="16.95" customHeight="1" x14ac:dyDescent="0.25">
      <c r="A233" s="469"/>
      <c r="B233" s="460"/>
      <c r="C233" s="468"/>
      <c r="D233" s="29" t="s">
        <v>144</v>
      </c>
      <c r="E233" s="822"/>
      <c r="F233" s="603" t="s">
        <v>297</v>
      </c>
      <c r="G233" s="604"/>
      <c r="H233" s="745"/>
      <c r="I233" s="131" t="s">
        <v>14</v>
      </c>
      <c r="J233" s="648">
        <v>7.5</v>
      </c>
      <c r="K233" s="11"/>
      <c r="L233" s="193"/>
      <c r="M233" s="226"/>
      <c r="N233" s="285" t="s">
        <v>298</v>
      </c>
      <c r="O233" s="80">
        <v>1</v>
      </c>
      <c r="P233" s="80">
        <v>1</v>
      </c>
      <c r="Q233" s="259"/>
      <c r="R233" s="253"/>
    </row>
    <row r="234" spans="1:18" ht="16.95" customHeight="1" x14ac:dyDescent="0.25">
      <c r="A234" s="469"/>
      <c r="B234" s="460"/>
      <c r="C234" s="468"/>
      <c r="D234" s="29"/>
      <c r="E234" s="29"/>
      <c r="F234" s="824"/>
      <c r="G234" s="604"/>
      <c r="H234" s="823"/>
      <c r="I234" s="131" t="s">
        <v>75</v>
      </c>
      <c r="J234" s="648"/>
      <c r="K234" s="11">
        <v>0.7</v>
      </c>
      <c r="L234" s="193"/>
      <c r="M234" s="226"/>
      <c r="N234" s="81"/>
      <c r="O234" s="425"/>
      <c r="P234" s="425"/>
      <c r="Q234" s="821"/>
      <c r="R234" s="254"/>
    </row>
    <row r="235" spans="1:18" ht="32.25" customHeight="1" x14ac:dyDescent="0.25">
      <c r="A235" s="469"/>
      <c r="B235" s="460"/>
      <c r="C235" s="468"/>
      <c r="D235" s="40"/>
      <c r="E235" s="804"/>
      <c r="F235" s="603" t="s">
        <v>205</v>
      </c>
      <c r="G235" s="604"/>
      <c r="H235" s="745"/>
      <c r="I235" s="131" t="s">
        <v>14</v>
      </c>
      <c r="J235" s="648">
        <f>55-3.4</f>
        <v>51.6</v>
      </c>
      <c r="K235" s="11"/>
      <c r="L235" s="193"/>
      <c r="M235" s="226"/>
      <c r="N235" s="285" t="s">
        <v>85</v>
      </c>
      <c r="O235" s="80">
        <v>3</v>
      </c>
      <c r="P235" s="80"/>
      <c r="Q235" s="259"/>
      <c r="R235" s="253"/>
    </row>
    <row r="236" spans="1:18" ht="30.6" customHeight="1" thickBot="1" x14ac:dyDescent="0.3">
      <c r="A236" s="511"/>
      <c r="B236" s="512"/>
      <c r="C236" s="513"/>
      <c r="D236" s="36"/>
      <c r="E236" s="30"/>
      <c r="F236" s="825" t="s">
        <v>254</v>
      </c>
      <c r="G236" s="797"/>
      <c r="H236" s="116"/>
      <c r="I236" s="9" t="s">
        <v>15</v>
      </c>
      <c r="J236" s="669">
        <f>SUM(J214:J235)</f>
        <v>2207.8000000000002</v>
      </c>
      <c r="K236" s="46">
        <f>SUM(K214:K235)</f>
        <v>1922.2</v>
      </c>
      <c r="L236" s="213">
        <f>SUM(L214:L235)</f>
        <v>1799.6000000000001</v>
      </c>
      <c r="M236" s="195">
        <f>SUM(M214:M235)</f>
        <v>1799.7000000000003</v>
      </c>
      <c r="N236" s="474" t="s">
        <v>85</v>
      </c>
      <c r="O236" s="826"/>
      <c r="P236" s="826"/>
      <c r="Q236" s="261"/>
      <c r="R236" s="256"/>
    </row>
    <row r="237" spans="1:18" s="535" customFormat="1" ht="15.75" customHeight="1" x14ac:dyDescent="0.25">
      <c r="A237" s="965" t="s">
        <v>16</v>
      </c>
      <c r="B237" s="967" t="s">
        <v>18</v>
      </c>
      <c r="C237" s="572" t="s">
        <v>16</v>
      </c>
      <c r="D237" s="71"/>
      <c r="E237" s="53"/>
      <c r="F237" s="982" t="s">
        <v>177</v>
      </c>
      <c r="G237" s="990"/>
      <c r="H237" s="1001" t="s">
        <v>196</v>
      </c>
      <c r="I237" s="82" t="s">
        <v>14</v>
      </c>
      <c r="J237" s="166">
        <v>25.6</v>
      </c>
      <c r="K237" s="166">
        <v>31.3</v>
      </c>
      <c r="L237" s="433">
        <v>31.3</v>
      </c>
      <c r="M237" s="434">
        <v>31.3</v>
      </c>
      <c r="N237" s="955" t="s">
        <v>155</v>
      </c>
      <c r="O237" s="435">
        <v>300</v>
      </c>
      <c r="P237" s="436">
        <v>300</v>
      </c>
      <c r="Q237" s="437">
        <v>300</v>
      </c>
      <c r="R237" s="438">
        <v>300</v>
      </c>
    </row>
    <row r="238" spans="1:18" s="535" customFormat="1" ht="16.5" customHeight="1" thickBot="1" x14ac:dyDescent="0.3">
      <c r="A238" s="966"/>
      <c r="B238" s="968"/>
      <c r="C238" s="605"/>
      <c r="D238" s="42"/>
      <c r="E238" s="42"/>
      <c r="F238" s="957"/>
      <c r="G238" s="991"/>
      <c r="H238" s="949"/>
      <c r="I238" s="9" t="s">
        <v>15</v>
      </c>
      <c r="J238" s="83">
        <f t="shared" ref="J238:M238" si="17">SUM(J237:J237)</f>
        <v>25.6</v>
      </c>
      <c r="K238" s="83">
        <f t="shared" si="17"/>
        <v>31.3</v>
      </c>
      <c r="L238" s="235">
        <f t="shared" si="17"/>
        <v>31.3</v>
      </c>
      <c r="M238" s="230">
        <f t="shared" si="17"/>
        <v>31.3</v>
      </c>
      <c r="N238" s="956"/>
      <c r="O238" s="439"/>
      <c r="P238" s="440"/>
      <c r="Q238" s="816"/>
      <c r="R238" s="441"/>
    </row>
    <row r="239" spans="1:18" ht="19.5" customHeight="1" x14ac:dyDescent="0.25">
      <c r="A239" s="503" t="s">
        <v>16</v>
      </c>
      <c r="B239" s="504" t="s">
        <v>18</v>
      </c>
      <c r="C239" s="568" t="s">
        <v>18</v>
      </c>
      <c r="D239" s="33"/>
      <c r="E239" s="33"/>
      <c r="F239" s="982" t="s">
        <v>101</v>
      </c>
      <c r="G239" s="979" t="s">
        <v>40</v>
      </c>
      <c r="H239" s="981" t="s">
        <v>196</v>
      </c>
      <c r="I239" s="6" t="s">
        <v>14</v>
      </c>
      <c r="J239" s="47">
        <v>45</v>
      </c>
      <c r="K239" s="47">
        <v>30</v>
      </c>
      <c r="L239" s="186">
        <v>30</v>
      </c>
      <c r="M239" s="231">
        <v>30</v>
      </c>
      <c r="N239" s="112" t="s">
        <v>121</v>
      </c>
      <c r="O239" s="744">
        <v>3</v>
      </c>
      <c r="P239" s="777">
        <v>3</v>
      </c>
      <c r="Q239" s="777">
        <v>3</v>
      </c>
      <c r="R239" s="282">
        <v>3</v>
      </c>
    </row>
    <row r="240" spans="1:18" ht="19.5" customHeight="1" x14ac:dyDescent="0.25">
      <c r="A240" s="469"/>
      <c r="B240" s="460"/>
      <c r="C240" s="485"/>
      <c r="D240" s="772"/>
      <c r="E240" s="772"/>
      <c r="F240" s="958"/>
      <c r="G240" s="980"/>
      <c r="H240" s="944"/>
      <c r="I240" s="8" t="s">
        <v>75</v>
      </c>
      <c r="J240" s="12"/>
      <c r="K240" s="12">
        <v>15.9</v>
      </c>
      <c r="L240" s="185"/>
      <c r="M240" s="175"/>
      <c r="N240" s="114"/>
      <c r="O240" s="745"/>
      <c r="P240" s="106"/>
      <c r="Q240" s="258"/>
      <c r="R240" s="252"/>
    </row>
    <row r="241" spans="1:18" ht="15" customHeight="1" thickBot="1" x14ac:dyDescent="0.3">
      <c r="A241" s="511"/>
      <c r="B241" s="512"/>
      <c r="C241" s="606"/>
      <c r="D241" s="36"/>
      <c r="E241" s="36"/>
      <c r="F241" s="750"/>
      <c r="G241" s="607" t="s">
        <v>127</v>
      </c>
      <c r="H241" s="116"/>
      <c r="I241" s="9" t="s">
        <v>15</v>
      </c>
      <c r="J241" s="46">
        <f t="shared" ref="J241:M241" si="18">+J239</f>
        <v>45</v>
      </c>
      <c r="K241" s="46">
        <f>SUM(K239:K240)</f>
        <v>45.9</v>
      </c>
      <c r="L241" s="213">
        <f t="shared" si="18"/>
        <v>30</v>
      </c>
      <c r="M241" s="195">
        <f t="shared" si="18"/>
        <v>30</v>
      </c>
      <c r="N241" s="126"/>
      <c r="O241" s="784"/>
      <c r="Q241" s="258"/>
      <c r="R241" s="252"/>
    </row>
    <row r="242" spans="1:18" ht="32.25" customHeight="1" x14ac:dyDescent="0.25">
      <c r="A242" s="503" t="s">
        <v>16</v>
      </c>
      <c r="B242" s="504" t="s">
        <v>18</v>
      </c>
      <c r="C242" s="129" t="s">
        <v>20</v>
      </c>
      <c r="D242" s="33"/>
      <c r="E242" s="33"/>
      <c r="F242" s="775" t="s">
        <v>69</v>
      </c>
      <c r="G242" s="608"/>
      <c r="H242" s="791"/>
      <c r="I242" s="6"/>
      <c r="J242" s="47"/>
      <c r="K242" s="47"/>
      <c r="L242" s="186"/>
      <c r="M242" s="231"/>
      <c r="N242" s="798"/>
      <c r="O242" s="783"/>
      <c r="P242" s="250"/>
      <c r="Q242" s="257"/>
      <c r="R242" s="251"/>
    </row>
    <row r="243" spans="1:18" s="26" customFormat="1" ht="31.2" customHeight="1" x14ac:dyDescent="0.25">
      <c r="A243" s="469"/>
      <c r="B243" s="460"/>
      <c r="C243" s="545"/>
      <c r="D243" s="159" t="s">
        <v>13</v>
      </c>
      <c r="E243" s="159"/>
      <c r="F243" s="938" t="s">
        <v>66</v>
      </c>
      <c r="G243" s="609"/>
      <c r="H243" s="977" t="s">
        <v>210</v>
      </c>
      <c r="I243" s="84" t="s">
        <v>14</v>
      </c>
      <c r="J243" s="85">
        <v>11.5</v>
      </c>
      <c r="K243" s="85">
        <v>11.5</v>
      </c>
      <c r="L243" s="444">
        <v>11.5</v>
      </c>
      <c r="M243" s="445">
        <v>11.5</v>
      </c>
      <c r="N243" s="124" t="s">
        <v>122</v>
      </c>
      <c r="O243" s="803">
        <v>79</v>
      </c>
      <c r="P243" s="813">
        <v>79</v>
      </c>
      <c r="Q243" s="260">
        <v>79</v>
      </c>
      <c r="R243" s="253">
        <v>79</v>
      </c>
    </row>
    <row r="244" spans="1:18" s="26" customFormat="1" ht="43.95" customHeight="1" x14ac:dyDescent="0.25">
      <c r="A244" s="469"/>
      <c r="B244" s="460"/>
      <c r="C244" s="545"/>
      <c r="D244" s="771"/>
      <c r="E244" s="771"/>
      <c r="F244" s="939"/>
      <c r="G244" s="610"/>
      <c r="H244" s="978"/>
      <c r="I244" s="61" t="s">
        <v>14</v>
      </c>
      <c r="J244" s="11"/>
      <c r="K244" s="70">
        <v>36</v>
      </c>
      <c r="L244" s="193"/>
      <c r="M244" s="226"/>
      <c r="N244" s="124" t="s">
        <v>269</v>
      </c>
      <c r="O244" s="803"/>
      <c r="P244" s="165">
        <v>20</v>
      </c>
      <c r="Q244" s="260"/>
      <c r="R244" s="253"/>
    </row>
    <row r="245" spans="1:18" s="26" customFormat="1" ht="31.5" customHeight="1" x14ac:dyDescent="0.25">
      <c r="A245" s="469"/>
      <c r="B245" s="463"/>
      <c r="C245" s="545"/>
      <c r="D245" s="159" t="s">
        <v>16</v>
      </c>
      <c r="E245" s="159"/>
      <c r="F245" s="938" t="s">
        <v>315</v>
      </c>
      <c r="G245" s="610"/>
      <c r="H245" s="978"/>
      <c r="I245" s="86" t="s">
        <v>14</v>
      </c>
      <c r="J245" s="10"/>
      <c r="K245" s="10">
        <v>7.8</v>
      </c>
      <c r="L245" s="184">
        <v>57.5</v>
      </c>
      <c r="M245" s="227">
        <v>57.5</v>
      </c>
      <c r="N245" s="446" t="s">
        <v>123</v>
      </c>
      <c r="O245" s="104">
        <v>2</v>
      </c>
      <c r="P245" s="19"/>
      <c r="Q245" s="260">
        <v>5</v>
      </c>
      <c r="R245" s="255">
        <v>5</v>
      </c>
    </row>
    <row r="246" spans="1:18" s="26" customFormat="1" ht="15" customHeight="1" x14ac:dyDescent="0.25">
      <c r="A246" s="469"/>
      <c r="B246" s="463"/>
      <c r="C246" s="545"/>
      <c r="D246" s="771"/>
      <c r="E246" s="771"/>
      <c r="F246" s="987"/>
      <c r="G246" s="610"/>
      <c r="H246" s="978"/>
      <c r="I246" s="87" t="s">
        <v>75</v>
      </c>
      <c r="J246" s="10">
        <v>7.2</v>
      </c>
      <c r="K246" s="10"/>
      <c r="L246" s="184"/>
      <c r="M246" s="227"/>
      <c r="N246" s="788" t="s">
        <v>209</v>
      </c>
      <c r="O246" s="447">
        <v>1</v>
      </c>
      <c r="P246" s="106">
        <v>1</v>
      </c>
      <c r="Q246" s="815">
        <v>1</v>
      </c>
      <c r="R246" s="448"/>
    </row>
    <row r="247" spans="1:18" ht="41.25" customHeight="1" x14ac:dyDescent="0.25">
      <c r="A247" s="469"/>
      <c r="B247" s="463"/>
      <c r="C247" s="545"/>
      <c r="D247" s="771"/>
      <c r="E247" s="771"/>
      <c r="F247" s="987"/>
      <c r="G247" s="611"/>
      <c r="H247" s="792"/>
      <c r="I247" s="87" t="s">
        <v>3</v>
      </c>
      <c r="J247" s="10">
        <v>4.5</v>
      </c>
      <c r="K247" s="10"/>
      <c r="L247" s="184">
        <v>200</v>
      </c>
      <c r="M247" s="227">
        <v>200</v>
      </c>
      <c r="N247" s="449" t="s">
        <v>156</v>
      </c>
      <c r="O247" s="104">
        <v>2</v>
      </c>
      <c r="P247" s="19"/>
      <c r="Q247" s="432">
        <v>5</v>
      </c>
      <c r="R247" s="255">
        <v>5</v>
      </c>
    </row>
    <row r="248" spans="1:18" ht="15.6" customHeight="1" x14ac:dyDescent="0.25">
      <c r="A248" s="469"/>
      <c r="B248" s="463"/>
      <c r="C248" s="545"/>
      <c r="D248" s="771"/>
      <c r="E248" s="771"/>
      <c r="F248" s="987"/>
      <c r="G248" s="610"/>
      <c r="H248" s="943" t="s">
        <v>196</v>
      </c>
      <c r="I248" s="61" t="s">
        <v>14</v>
      </c>
      <c r="J248" s="10">
        <v>14.1</v>
      </c>
      <c r="K248" s="10">
        <v>28.6</v>
      </c>
      <c r="L248" s="184"/>
      <c r="M248" s="227"/>
      <c r="N248" s="936" t="s">
        <v>156</v>
      </c>
      <c r="O248" s="803"/>
      <c r="P248" s="163">
        <v>3</v>
      </c>
      <c r="Q248" s="259"/>
      <c r="R248" s="253"/>
    </row>
    <row r="249" spans="1:18" ht="15.6" customHeight="1" x14ac:dyDescent="0.25">
      <c r="A249" s="469"/>
      <c r="B249" s="463"/>
      <c r="C249" s="545"/>
      <c r="D249" s="771"/>
      <c r="E249" s="771"/>
      <c r="F249" s="767"/>
      <c r="G249" s="610"/>
      <c r="H249" s="944"/>
      <c r="I249" s="61" t="s">
        <v>3</v>
      </c>
      <c r="J249" s="10">
        <v>100</v>
      </c>
      <c r="K249" s="10">
        <v>94</v>
      </c>
      <c r="L249" s="184"/>
      <c r="M249" s="227"/>
      <c r="N249" s="937"/>
      <c r="O249" s="802"/>
      <c r="P249" s="164"/>
      <c r="Q249" s="815"/>
      <c r="R249" s="254"/>
    </row>
    <row r="250" spans="1:18" ht="13.95" customHeight="1" thickBot="1" x14ac:dyDescent="0.3">
      <c r="A250" s="469"/>
      <c r="B250" s="460"/>
      <c r="C250" s="542"/>
      <c r="D250" s="35"/>
      <c r="E250" s="35"/>
      <c r="F250" s="767"/>
      <c r="G250" s="610"/>
      <c r="H250" s="116"/>
      <c r="I250" s="89" t="s">
        <v>15</v>
      </c>
      <c r="J250" s="46">
        <f>SUM(J243:J249)</f>
        <v>137.30000000000001</v>
      </c>
      <c r="K250" s="46">
        <f>SUM(K243:K249)</f>
        <v>177.9</v>
      </c>
      <c r="L250" s="213">
        <f>SUM(L243:L249)</f>
        <v>269</v>
      </c>
      <c r="M250" s="195">
        <f>SUM(M243:M249)</f>
        <v>269</v>
      </c>
      <c r="N250" s="937"/>
      <c r="O250" s="745"/>
      <c r="P250" s="106"/>
      <c r="Q250" s="155"/>
      <c r="R250" s="123"/>
    </row>
    <row r="251" spans="1:18" ht="16.2" customHeight="1" x14ac:dyDescent="0.25">
      <c r="A251" s="503" t="s">
        <v>16</v>
      </c>
      <c r="B251" s="504" t="s">
        <v>18</v>
      </c>
      <c r="C251" s="612" t="s">
        <v>21</v>
      </c>
      <c r="D251" s="33"/>
      <c r="E251" s="28"/>
      <c r="F251" s="682" t="s">
        <v>304</v>
      </c>
      <c r="G251" s="613"/>
      <c r="H251" s="93"/>
      <c r="I251" s="250"/>
      <c r="J251" s="684"/>
      <c r="K251" s="686"/>
      <c r="L251" s="696"/>
      <c r="M251" s="686"/>
      <c r="N251" s="112"/>
      <c r="O251" s="744"/>
      <c r="P251" s="17"/>
      <c r="Q251" s="777"/>
      <c r="R251" s="282"/>
    </row>
    <row r="252" spans="1:18" ht="23.7" customHeight="1" x14ac:dyDescent="0.25">
      <c r="A252" s="469"/>
      <c r="B252" s="460"/>
      <c r="C252" s="468"/>
      <c r="D252" s="772"/>
      <c r="E252" s="29"/>
      <c r="F252" s="807" t="s">
        <v>305</v>
      </c>
      <c r="G252" s="614"/>
      <c r="H252" s="929" t="s">
        <v>210</v>
      </c>
      <c r="I252" s="685" t="s">
        <v>14</v>
      </c>
      <c r="J252" s="105">
        <f>1474.3-120</f>
        <v>1354.3</v>
      </c>
      <c r="K252" s="681">
        <v>1719.3</v>
      </c>
      <c r="L252" s="187">
        <v>2019.4</v>
      </c>
      <c r="M252" s="177">
        <v>2019.4</v>
      </c>
      <c r="N252" s="114" t="s">
        <v>85</v>
      </c>
      <c r="O252" s="745">
        <v>92</v>
      </c>
      <c r="P252" s="106">
        <v>92</v>
      </c>
      <c r="Q252" s="155">
        <v>92</v>
      </c>
      <c r="R252" s="123">
        <v>92</v>
      </c>
    </row>
    <row r="253" spans="1:18" ht="23.7" customHeight="1" x14ac:dyDescent="0.25">
      <c r="A253" s="469"/>
      <c r="B253" s="460"/>
      <c r="C253" s="468"/>
      <c r="D253" s="29"/>
      <c r="E253" s="29"/>
      <c r="F253" s="808"/>
      <c r="G253" s="683"/>
      <c r="H253" s="930"/>
      <c r="I253" s="7" t="s">
        <v>75</v>
      </c>
      <c r="J253" s="88">
        <v>350</v>
      </c>
      <c r="K253" s="227">
        <v>315.10000000000002</v>
      </c>
      <c r="L253" s="184"/>
      <c r="M253" s="174"/>
      <c r="N253" s="114"/>
      <c r="O253" s="745"/>
      <c r="P253" s="106"/>
      <c r="Q253" s="155"/>
      <c r="R253" s="123"/>
    </row>
    <row r="254" spans="1:18" ht="23.7" customHeight="1" x14ac:dyDescent="0.25">
      <c r="A254" s="469"/>
      <c r="B254" s="460"/>
      <c r="C254" s="468"/>
      <c r="D254" s="29"/>
      <c r="E254" s="29"/>
      <c r="F254" s="807" t="s">
        <v>306</v>
      </c>
      <c r="G254" s="307"/>
      <c r="H254" s="964" t="s">
        <v>268</v>
      </c>
      <c r="I254" s="131" t="s">
        <v>14</v>
      </c>
      <c r="J254" s="648"/>
      <c r="K254" s="11">
        <v>332.5</v>
      </c>
      <c r="L254" s="193">
        <v>463</v>
      </c>
      <c r="M254" s="182">
        <v>463</v>
      </c>
      <c r="N254" s="114"/>
      <c r="O254" s="745"/>
      <c r="P254" s="106"/>
      <c r="Q254" s="155"/>
      <c r="R254" s="123"/>
    </row>
    <row r="255" spans="1:18" ht="23.7" customHeight="1" x14ac:dyDescent="0.25">
      <c r="A255" s="469"/>
      <c r="B255" s="460"/>
      <c r="C255" s="468"/>
      <c r="D255" s="29"/>
      <c r="E255" s="29"/>
      <c r="F255" s="849"/>
      <c r="G255" s="307"/>
      <c r="H255" s="929"/>
      <c r="I255" s="131" t="s">
        <v>17</v>
      </c>
      <c r="J255" s="648"/>
      <c r="K255" s="226">
        <v>7</v>
      </c>
      <c r="L255" s="193">
        <v>7</v>
      </c>
      <c r="M255" s="226">
        <v>7</v>
      </c>
      <c r="N255" s="114"/>
      <c r="O255" s="848"/>
      <c r="P255" s="106"/>
      <c r="Q255" s="155"/>
      <c r="R255" s="123"/>
    </row>
    <row r="256" spans="1:18" ht="15" customHeight="1" thickBot="1" x14ac:dyDescent="0.3">
      <c r="A256" s="469"/>
      <c r="B256" s="460"/>
      <c r="C256" s="542"/>
      <c r="D256" s="35"/>
      <c r="E256" s="35"/>
      <c r="F256" s="750"/>
      <c r="G256" s="610"/>
      <c r="H256" s="949"/>
      <c r="I256" s="89" t="s">
        <v>15</v>
      </c>
      <c r="J256" s="669">
        <f>SUM(J252:J253)</f>
        <v>1704.3</v>
      </c>
      <c r="K256" s="195">
        <f>SUM(K252:K255)</f>
        <v>2373.9</v>
      </c>
      <c r="L256" s="213">
        <f>SUM(L252:L255)-L254</f>
        <v>2026.4</v>
      </c>
      <c r="M256" s="195">
        <f>SUM(M252:M255)-M254</f>
        <v>2026.4</v>
      </c>
      <c r="N256" s="127"/>
      <c r="O256" s="751"/>
      <c r="P256" s="18"/>
      <c r="Q256" s="778"/>
      <c r="R256" s="139"/>
    </row>
    <row r="257" spans="1:19" ht="14.25" customHeight="1" thickBot="1" x14ac:dyDescent="0.3">
      <c r="A257" s="615" t="s">
        <v>16</v>
      </c>
      <c r="B257" s="616" t="s">
        <v>18</v>
      </c>
      <c r="C257" s="931" t="s">
        <v>19</v>
      </c>
      <c r="D257" s="932"/>
      <c r="E257" s="932"/>
      <c r="F257" s="932"/>
      <c r="G257" s="932"/>
      <c r="H257" s="932"/>
      <c r="I257" s="932"/>
      <c r="J257" s="672">
        <f>J238+J241+J250+J236+J256</f>
        <v>4120</v>
      </c>
      <c r="K257" s="526">
        <f>K238+K241+K250+K236+K256</f>
        <v>4551.2000000000007</v>
      </c>
      <c r="L257" s="527">
        <f>L238+L241+L250+L236+L256</f>
        <v>4156.3</v>
      </c>
      <c r="M257" s="566">
        <f>M238+M241+M250+M236+M256</f>
        <v>4156.4000000000005</v>
      </c>
      <c r="N257" s="567"/>
      <c r="O257" s="811"/>
      <c r="P257" s="811"/>
      <c r="Q257" s="811"/>
      <c r="R257" s="812"/>
    </row>
    <row r="258" spans="1:19" s="96" customFormat="1" ht="14.25" customHeight="1" thickBot="1" x14ac:dyDescent="0.3">
      <c r="A258" s="615" t="s">
        <v>16</v>
      </c>
      <c r="B258" s="960" t="s">
        <v>6</v>
      </c>
      <c r="C258" s="961"/>
      <c r="D258" s="961"/>
      <c r="E258" s="961"/>
      <c r="F258" s="961"/>
      <c r="G258" s="961"/>
      <c r="H258" s="961"/>
      <c r="I258" s="961"/>
      <c r="J258" s="617">
        <f>J257+J210+J194</f>
        <v>11644.600000000002</v>
      </c>
      <c r="K258" s="617">
        <f>K257+K210+K194</f>
        <v>16057.600000000002</v>
      </c>
      <c r="L258" s="618">
        <f>L257+L210+L194</f>
        <v>13659.400000000001</v>
      </c>
      <c r="M258" s="619">
        <f>M257+M210+M194</f>
        <v>11682.400000000001</v>
      </c>
      <c r="N258" s="620"/>
      <c r="O258" s="532"/>
      <c r="P258" s="532"/>
      <c r="Q258" s="532"/>
      <c r="R258" s="533"/>
    </row>
    <row r="259" spans="1:19" s="96" customFormat="1" ht="14.25" customHeight="1" thickBot="1" x14ac:dyDescent="0.3">
      <c r="A259" s="621" t="s">
        <v>5</v>
      </c>
      <c r="B259" s="962" t="s">
        <v>7</v>
      </c>
      <c r="C259" s="963"/>
      <c r="D259" s="963"/>
      <c r="E259" s="963"/>
      <c r="F259" s="963"/>
      <c r="G259" s="963"/>
      <c r="H259" s="963"/>
      <c r="I259" s="963"/>
      <c r="J259" s="622">
        <f>J258+J120</f>
        <v>107114</v>
      </c>
      <c r="K259" s="622">
        <f>K258+K120</f>
        <v>117543.60299999997</v>
      </c>
      <c r="L259" s="623">
        <f>L258+L120</f>
        <v>117050.12999999998</v>
      </c>
      <c r="M259" s="624">
        <f>M258+M120</f>
        <v>116438.73000000001</v>
      </c>
      <c r="N259" s="625"/>
      <c r="O259" s="626"/>
      <c r="P259" s="626"/>
      <c r="Q259" s="626"/>
      <c r="R259" s="627"/>
    </row>
    <row r="260" spans="1:19" s="96" customFormat="1" ht="14.25" customHeight="1" x14ac:dyDescent="0.25">
      <c r="A260" s="959" t="s">
        <v>307</v>
      </c>
      <c r="B260" s="959"/>
      <c r="C260" s="959"/>
      <c r="D260" s="959"/>
      <c r="E260" s="959"/>
      <c r="F260" s="959"/>
      <c r="G260" s="959"/>
      <c r="H260" s="959"/>
      <c r="I260" s="959"/>
      <c r="J260" s="959"/>
      <c r="K260" s="959"/>
      <c r="L260" s="959"/>
      <c r="M260" s="959"/>
      <c r="N260" s="959"/>
      <c r="O260" s="959"/>
      <c r="P260" s="959"/>
      <c r="Q260" s="959"/>
      <c r="R260" s="959"/>
    </row>
    <row r="261" spans="1:19" s="96" customFormat="1" ht="23.25" customHeight="1" thickBot="1" x14ac:dyDescent="0.3">
      <c r="A261" s="1092" t="s">
        <v>0</v>
      </c>
      <c r="B261" s="1092"/>
      <c r="C261" s="1092"/>
      <c r="D261" s="1092"/>
      <c r="E261" s="1092"/>
      <c r="F261" s="1092"/>
      <c r="G261" s="1092"/>
      <c r="H261" s="1092"/>
      <c r="I261" s="1092"/>
      <c r="J261" s="1092"/>
      <c r="K261" s="1092"/>
      <c r="L261" s="1092"/>
      <c r="M261" s="1092"/>
      <c r="N261" s="628"/>
      <c r="O261" s="628"/>
      <c r="P261" s="628"/>
      <c r="Q261" s="628"/>
      <c r="R261" s="628"/>
    </row>
    <row r="262" spans="1:19" s="96" customFormat="1" ht="58.5" customHeight="1" thickBot="1" x14ac:dyDescent="0.3">
      <c r="A262" s="1060" t="s">
        <v>1</v>
      </c>
      <c r="B262" s="1061"/>
      <c r="C262" s="1061"/>
      <c r="D262" s="1061"/>
      <c r="E262" s="1061"/>
      <c r="F262" s="1061"/>
      <c r="G262" s="1061"/>
      <c r="H262" s="1061"/>
      <c r="I262" s="1062"/>
      <c r="J262" s="651" t="s">
        <v>236</v>
      </c>
      <c r="K262" s="237" t="s">
        <v>233</v>
      </c>
      <c r="L262" s="246" t="s">
        <v>234</v>
      </c>
      <c r="M262" s="241" t="s">
        <v>235</v>
      </c>
      <c r="N262" s="68"/>
      <c r="O262" s="21"/>
      <c r="P262" s="21"/>
      <c r="Q262" s="21"/>
      <c r="R262" s="21"/>
    </row>
    <row r="263" spans="1:19" s="96" customFormat="1" ht="13.5" customHeight="1" x14ac:dyDescent="0.25">
      <c r="A263" s="1063" t="s">
        <v>23</v>
      </c>
      <c r="B263" s="1064"/>
      <c r="C263" s="1064"/>
      <c r="D263" s="1064"/>
      <c r="E263" s="1064"/>
      <c r="F263" s="1064"/>
      <c r="G263" s="1064"/>
      <c r="H263" s="1064"/>
      <c r="I263" s="1064"/>
      <c r="J263" s="673">
        <f>+J264+J271+J272+J273+J274</f>
        <v>106904.5</v>
      </c>
      <c r="K263" s="629">
        <f>+K264+K271+K272+K273+K274</f>
        <v>117149.70299999998</v>
      </c>
      <c r="L263" s="630">
        <f t="shared" ref="L263:M263" si="19">+L264+L271+L272+L273+L274</f>
        <v>116060.32999999999</v>
      </c>
      <c r="M263" s="631">
        <f t="shared" si="19"/>
        <v>113605.62999999999</v>
      </c>
      <c r="N263" s="68"/>
      <c r="O263" s="21"/>
      <c r="P263" s="21"/>
      <c r="Q263" s="21"/>
      <c r="R263" s="21"/>
    </row>
    <row r="264" spans="1:19" s="96" customFormat="1" ht="13.5" customHeight="1" x14ac:dyDescent="0.25">
      <c r="A264" s="1065" t="s">
        <v>163</v>
      </c>
      <c r="B264" s="1066"/>
      <c r="C264" s="1066"/>
      <c r="D264" s="1066"/>
      <c r="E264" s="1066"/>
      <c r="F264" s="1066"/>
      <c r="G264" s="1066"/>
      <c r="H264" s="1066"/>
      <c r="I264" s="1066"/>
      <c r="J264" s="674">
        <f t="shared" ref="J264:M264" si="20">SUM(J265:J270)</f>
        <v>101884.3</v>
      </c>
      <c r="K264" s="632">
        <f>SUM(K265:K270)</f>
        <v>112051.80299999999</v>
      </c>
      <c r="L264" s="633">
        <f t="shared" si="20"/>
        <v>116060.32999999999</v>
      </c>
      <c r="M264" s="634">
        <f t="shared" si="20"/>
        <v>113605.62999999999</v>
      </c>
      <c r="N264" s="68"/>
      <c r="O264" s="21"/>
      <c r="P264" s="21"/>
      <c r="Q264" s="21"/>
      <c r="R264" s="21"/>
      <c r="S264" s="23"/>
    </row>
    <row r="265" spans="1:19" s="96" customFormat="1" ht="14.25" customHeight="1" x14ac:dyDescent="0.25">
      <c r="A265" s="1054" t="s">
        <v>294</v>
      </c>
      <c r="B265" s="1055"/>
      <c r="C265" s="1055"/>
      <c r="D265" s="1055"/>
      <c r="E265" s="1055"/>
      <c r="F265" s="1055"/>
      <c r="G265" s="1055"/>
      <c r="H265" s="1055"/>
      <c r="I265" s="1055"/>
      <c r="J265" s="62">
        <f>SUMIF(I13:I253,"sb",J13:J253)</f>
        <v>43805.19999999999</v>
      </c>
      <c r="K265" s="5">
        <f>SUMIF(I13:I254,"sb",K13:K254)</f>
        <v>48777.00299999999</v>
      </c>
      <c r="L265" s="212">
        <f>SUMIF(I13:I253,"sb",L13:L253)</f>
        <v>54748.429999999978</v>
      </c>
      <c r="M265" s="242">
        <f>SUMIF(I13:I253,"sb",M13:M253)</f>
        <v>52524.929999999986</v>
      </c>
      <c r="N265" s="15"/>
      <c r="O265" s="21"/>
      <c r="P265" s="21"/>
      <c r="Q265" s="21"/>
      <c r="R265" s="21"/>
    </row>
    <row r="266" spans="1:19" s="96" customFormat="1" ht="15.75" customHeight="1" x14ac:dyDescent="0.25">
      <c r="A266" s="1054" t="s">
        <v>295</v>
      </c>
      <c r="B266" s="1055"/>
      <c r="C266" s="1055"/>
      <c r="D266" s="1055"/>
      <c r="E266" s="1055"/>
      <c r="F266" s="1055"/>
      <c r="G266" s="1055"/>
      <c r="H266" s="1055"/>
      <c r="I266" s="1055"/>
      <c r="J266" s="62">
        <f>SUMIF(I13:I253,"sb(sp)",J13:J253)</f>
        <v>5390</v>
      </c>
      <c r="K266" s="5">
        <f>SUMIF(I13:I253,"sb(sp)",K13:K253)</f>
        <v>5239.9000000000005</v>
      </c>
      <c r="L266" s="212">
        <f>SUMIF(I13:I249,"sb(sp)",L13:L249)</f>
        <v>6559</v>
      </c>
      <c r="M266" s="242">
        <f>SUMIF(I13:I249,"sb(sp)",M13:M249)</f>
        <v>6580.5</v>
      </c>
      <c r="N266" s="25"/>
      <c r="O266" s="21"/>
      <c r="P266" s="21"/>
      <c r="Q266" s="21"/>
      <c r="R266" s="21"/>
    </row>
    <row r="267" spans="1:19" s="96" customFormat="1" ht="15.75" customHeight="1" x14ac:dyDescent="0.25">
      <c r="A267" s="1054" t="s">
        <v>285</v>
      </c>
      <c r="B267" s="1055"/>
      <c r="C267" s="1055"/>
      <c r="D267" s="1055"/>
      <c r="E267" s="1055"/>
      <c r="F267" s="1055"/>
      <c r="G267" s="1055"/>
      <c r="H267" s="1055"/>
      <c r="I267" s="1071"/>
      <c r="J267" s="62">
        <f>SUMIF(I13:I253,"sb(p)",J13:J253)</f>
        <v>0</v>
      </c>
      <c r="K267" s="5">
        <f>SUMIF(I13:I253,"sb(p)",K13:K253)</f>
        <v>1778.7</v>
      </c>
      <c r="L267" s="212">
        <f>SUMIF(I13:I253,"sb(p)",L13:L253)</f>
        <v>0</v>
      </c>
      <c r="M267" s="242">
        <f>SUMIF(I13:I253,"sb(p)",M13:M253)</f>
        <v>0</v>
      </c>
      <c r="N267" s="25"/>
      <c r="O267" s="21"/>
      <c r="P267" s="21"/>
      <c r="Q267" s="21"/>
      <c r="R267" s="21"/>
    </row>
    <row r="268" spans="1:19" s="96" customFormat="1" ht="15.75" customHeight="1" x14ac:dyDescent="0.25">
      <c r="A268" s="1052" t="s">
        <v>296</v>
      </c>
      <c r="B268" s="1053"/>
      <c r="C268" s="1053"/>
      <c r="D268" s="1053"/>
      <c r="E268" s="1053"/>
      <c r="F268" s="1053"/>
      <c r="G268" s="1053"/>
      <c r="H268" s="1053"/>
      <c r="I268" s="1053"/>
      <c r="J268" s="62">
        <f>SUMIF(I13:I255,"sb(vb)",J13:J255)</f>
        <v>50197.30000000001</v>
      </c>
      <c r="K268" s="5">
        <f>SUMIF(I13:I255,"sb(vb)",K13:K255)</f>
        <v>54469.899999999994</v>
      </c>
      <c r="L268" s="212">
        <f>SUMIF(I13:I255,"sb(vb)",L13:L255)</f>
        <v>53758.9</v>
      </c>
      <c r="M268" s="242">
        <f>SUMIF(I13:I255,"sb(vb)",M13:M255)</f>
        <v>53769.9</v>
      </c>
      <c r="N268" s="25"/>
      <c r="O268" s="21"/>
      <c r="P268" s="21"/>
      <c r="Q268" s="21"/>
      <c r="R268" s="21"/>
    </row>
    <row r="269" spans="1:19" ht="30" customHeight="1" x14ac:dyDescent="0.25">
      <c r="A269" s="1054" t="s">
        <v>125</v>
      </c>
      <c r="B269" s="1055"/>
      <c r="C269" s="1055"/>
      <c r="D269" s="1055"/>
      <c r="E269" s="1055"/>
      <c r="F269" s="1055"/>
      <c r="G269" s="1055"/>
      <c r="H269" s="1055"/>
      <c r="I269" s="1055"/>
      <c r="J269" s="62">
        <f>SUMIF(I13:I253,"sb(esa)",J13:J253)</f>
        <v>46.5</v>
      </c>
      <c r="K269" s="5">
        <f>SUMIF(I13:I253,"sb(esa)",K13:K253)</f>
        <v>0</v>
      </c>
      <c r="L269" s="212">
        <f>SUMIF(I13:I250,"sb(esa)",L13:L250)</f>
        <v>0</v>
      </c>
      <c r="M269" s="242">
        <f>SUMIF(I13:I250,"sb(esa)",M13:M250)</f>
        <v>0</v>
      </c>
      <c r="N269" s="25"/>
      <c r="O269" s="21"/>
      <c r="P269" s="21"/>
      <c r="Q269" s="21"/>
      <c r="R269" s="21"/>
    </row>
    <row r="270" spans="1:19" ht="15.75" customHeight="1" x14ac:dyDescent="0.25">
      <c r="A270" s="1056" t="s">
        <v>161</v>
      </c>
      <c r="B270" s="1057"/>
      <c r="C270" s="1057"/>
      <c r="D270" s="1057"/>
      <c r="E270" s="1057"/>
      <c r="F270" s="1057"/>
      <c r="G270" s="1057"/>
      <c r="H270" s="1057"/>
      <c r="I270" s="1057"/>
      <c r="J270" s="62">
        <f>SUMIF(I13:I253,"sb(es)",J13:J253)</f>
        <v>2445.3000000000002</v>
      </c>
      <c r="K270" s="5">
        <f>SUMIF(I13:I253,"sb(es)",K13:K253)</f>
        <v>1786.3</v>
      </c>
      <c r="L270" s="212">
        <f>SUMIF(I13:I250,"sb(es)",L13:L250)</f>
        <v>994</v>
      </c>
      <c r="M270" s="242">
        <f>SUMIF(I13:I250,"sb(es)",M13:M250)</f>
        <v>730.3</v>
      </c>
      <c r="N270" s="25"/>
      <c r="O270" s="21"/>
      <c r="P270" s="21"/>
      <c r="Q270" s="21"/>
      <c r="R270" s="21"/>
    </row>
    <row r="271" spans="1:19" ht="15.75" customHeight="1" x14ac:dyDescent="0.25">
      <c r="A271" s="1058" t="s">
        <v>76</v>
      </c>
      <c r="B271" s="1058"/>
      <c r="C271" s="1058"/>
      <c r="D271" s="1058"/>
      <c r="E271" s="1058"/>
      <c r="F271" s="1058"/>
      <c r="G271" s="1058"/>
      <c r="H271" s="1059"/>
      <c r="I271" s="1059"/>
      <c r="J271" s="675">
        <f>SUMIF(I13:I253,"sb(l)",J13:J253)</f>
        <v>4109.3999999999996</v>
      </c>
      <c r="K271" s="238">
        <f>SUMIF(I13:I255,"sb(l)",K13:K255)</f>
        <v>4451.8999999999996</v>
      </c>
      <c r="L271" s="247">
        <f>SUMIF(I13:I253,"sb(l)",L13:L253)</f>
        <v>0</v>
      </c>
      <c r="M271" s="243">
        <f>SUMIF(I13:I253,"sb(l)",M13:M253)</f>
        <v>0</v>
      </c>
      <c r="N271" s="25"/>
      <c r="O271" s="21"/>
      <c r="P271" s="21"/>
      <c r="Q271" s="21"/>
      <c r="R271" s="21"/>
    </row>
    <row r="272" spans="1:19" ht="15.75" customHeight="1" x14ac:dyDescent="0.25">
      <c r="A272" s="1058" t="s">
        <v>162</v>
      </c>
      <c r="B272" s="1058"/>
      <c r="C272" s="1058"/>
      <c r="D272" s="1058"/>
      <c r="E272" s="1058"/>
      <c r="F272" s="1058"/>
      <c r="G272" s="1058"/>
      <c r="H272" s="1059"/>
      <c r="I272" s="1059"/>
      <c r="J272" s="675">
        <f>SUMIF(I14:I253,"sb(esl)",J14:J253)</f>
        <v>491.8</v>
      </c>
      <c r="K272" s="238">
        <f>SUMIF(I14:I253,"sb(esl)",K14:K253)</f>
        <v>645.00000000000011</v>
      </c>
      <c r="L272" s="247">
        <f>SUMIF(I14:I250,"sb(esl)",L14:L250)</f>
        <v>0</v>
      </c>
      <c r="M272" s="243">
        <f>SUMIF(I14:I250,"sb(esl)",M14:M250)</f>
        <v>0</v>
      </c>
      <c r="N272" s="25"/>
      <c r="O272" s="21"/>
      <c r="P272" s="21"/>
      <c r="Q272" s="21"/>
      <c r="R272" s="21"/>
    </row>
    <row r="273" spans="1:18" ht="16.5" customHeight="1" x14ac:dyDescent="0.25">
      <c r="A273" s="1058" t="s">
        <v>55</v>
      </c>
      <c r="B273" s="1058"/>
      <c r="C273" s="1058"/>
      <c r="D273" s="1058"/>
      <c r="E273" s="1058"/>
      <c r="F273" s="1058"/>
      <c r="G273" s="1058"/>
      <c r="H273" s="1059"/>
      <c r="I273" s="1059"/>
      <c r="J273" s="675">
        <f>SUMIF(I13:I253,"sb(spl)",J13:J253)</f>
        <v>415.4</v>
      </c>
      <c r="K273" s="238">
        <f>SUMIF(I13:I253,"sb(spl)",K13:K253)</f>
        <v>0</v>
      </c>
      <c r="L273" s="247">
        <f>SUMIF(I13:I256,"sb(spl)",L13:L257)</f>
        <v>0</v>
      </c>
      <c r="M273" s="243">
        <f>SUMIF(I13:I256,"sb(spl)",M13:M257)</f>
        <v>0</v>
      </c>
      <c r="N273" s="25"/>
      <c r="O273" s="21"/>
      <c r="P273" s="21"/>
      <c r="Q273" s="21"/>
      <c r="R273" s="21"/>
    </row>
    <row r="274" spans="1:18" ht="16.5" customHeight="1" x14ac:dyDescent="0.25">
      <c r="A274" s="1058" t="s">
        <v>168</v>
      </c>
      <c r="B274" s="1058"/>
      <c r="C274" s="1058"/>
      <c r="D274" s="1058"/>
      <c r="E274" s="1058"/>
      <c r="F274" s="1058"/>
      <c r="G274" s="1058"/>
      <c r="H274" s="1059"/>
      <c r="I274" s="1059"/>
      <c r="J274" s="675">
        <f>SUMIF(I14:I253,"sb(vbl)",J14:J253)</f>
        <v>3.6</v>
      </c>
      <c r="K274" s="238">
        <f>SUMIF(I14:I253,"sb(vbl)",K14:K253)</f>
        <v>1</v>
      </c>
      <c r="L274" s="247">
        <f>SUMIF(K14:K258,"sb(vbl)",L14:L258)</f>
        <v>0</v>
      </c>
      <c r="M274" s="243">
        <f>SUMIF(I14:I258,"sb(vbl)",M14:M258)</f>
        <v>0</v>
      </c>
      <c r="N274" s="25"/>
      <c r="O274" s="21"/>
      <c r="P274" s="21"/>
      <c r="Q274" s="21"/>
      <c r="R274" s="21"/>
    </row>
    <row r="275" spans="1:18" ht="17.25" customHeight="1" x14ac:dyDescent="0.25">
      <c r="A275" s="1067" t="s">
        <v>24</v>
      </c>
      <c r="B275" s="1068"/>
      <c r="C275" s="1068"/>
      <c r="D275" s="1068"/>
      <c r="E275" s="1068"/>
      <c r="F275" s="1068"/>
      <c r="G275" s="1068"/>
      <c r="H275" s="1068"/>
      <c r="I275" s="1068"/>
      <c r="J275" s="677">
        <f>SUM(J276:J277)</f>
        <v>209.5</v>
      </c>
      <c r="K275" s="678">
        <f>SUM(K276:K278)</f>
        <v>393.9</v>
      </c>
      <c r="L275" s="679">
        <f t="shared" ref="L275:M275" si="21">SUM(L276:L278)</f>
        <v>989.8</v>
      </c>
      <c r="M275" s="680">
        <f t="shared" si="21"/>
        <v>2833.1</v>
      </c>
      <c r="N275" s="68"/>
      <c r="O275" s="21"/>
      <c r="P275" s="21"/>
      <c r="Q275" s="21"/>
      <c r="R275" s="21"/>
    </row>
    <row r="276" spans="1:18" ht="15" customHeight="1" x14ac:dyDescent="0.25">
      <c r="A276" s="1069" t="s">
        <v>79</v>
      </c>
      <c r="B276" s="1070"/>
      <c r="C276" s="1070"/>
      <c r="D276" s="1070"/>
      <c r="E276" s="1070"/>
      <c r="F276" s="1070"/>
      <c r="G276" s="1070"/>
      <c r="H276" s="1070"/>
      <c r="I276" s="1070"/>
      <c r="J276" s="105">
        <f>SUMIF(I13:I253,"lrvb",J13:J253)</f>
        <v>104.5</v>
      </c>
      <c r="K276" s="239">
        <f>SUMIF(I13:I253,"lrvb",K13:K253)</f>
        <v>304</v>
      </c>
      <c r="L276" s="248">
        <f>SUMIF(I13:I249,"lrvb",L13:L249)</f>
        <v>989.8</v>
      </c>
      <c r="M276" s="244">
        <f>SUMIF(I13:I249,"lrvb",M13:M249)</f>
        <v>2833.1</v>
      </c>
      <c r="N276" s="25"/>
      <c r="O276" s="21"/>
      <c r="P276" s="21"/>
      <c r="Q276" s="21"/>
      <c r="R276" s="21"/>
    </row>
    <row r="277" spans="1:18" ht="15" customHeight="1" x14ac:dyDescent="0.25">
      <c r="A277" s="1056" t="s">
        <v>157</v>
      </c>
      <c r="B277" s="1057"/>
      <c r="C277" s="1057"/>
      <c r="D277" s="1057"/>
      <c r="E277" s="1057"/>
      <c r="F277" s="1057"/>
      <c r="G277" s="1057"/>
      <c r="H277" s="1057"/>
      <c r="I277" s="1057"/>
      <c r="J277" s="62">
        <f>SUMIF(I14:I253,"es",J14:J253)</f>
        <v>105</v>
      </c>
      <c r="K277" s="240">
        <f>SUMIF(I14:I253,"es",K14:K253)</f>
        <v>0</v>
      </c>
      <c r="L277" s="249">
        <f>SUMIF(I14:I250,"es",L14:L250)</f>
        <v>0</v>
      </c>
      <c r="M277" s="245">
        <f>SUMIF(I14:I250,"es",M14:M250)</f>
        <v>0</v>
      </c>
      <c r="N277" s="25"/>
      <c r="O277" s="21"/>
      <c r="P277" s="21"/>
      <c r="Q277" s="21"/>
      <c r="R277" s="21"/>
    </row>
    <row r="278" spans="1:18" ht="15" customHeight="1" x14ac:dyDescent="0.25">
      <c r="A278" s="1054" t="s">
        <v>270</v>
      </c>
      <c r="B278" s="1055"/>
      <c r="C278" s="1055"/>
      <c r="D278" s="1055"/>
      <c r="E278" s="1055"/>
      <c r="F278" s="1055"/>
      <c r="G278" s="1055"/>
      <c r="H278" s="1055"/>
      <c r="I278" s="1071"/>
      <c r="J278" s="640"/>
      <c r="K278" s="240">
        <f>SUMIF(I15:I256,"kt",K15:K256)</f>
        <v>89.9</v>
      </c>
      <c r="L278" s="295"/>
      <c r="M278" s="296"/>
      <c r="N278" s="25"/>
      <c r="O278" s="21"/>
      <c r="P278" s="21"/>
      <c r="Q278" s="21"/>
      <c r="R278" s="21"/>
    </row>
    <row r="279" spans="1:18" ht="16.5" customHeight="1" thickBot="1" x14ac:dyDescent="0.3">
      <c r="A279" s="1050" t="s">
        <v>25</v>
      </c>
      <c r="B279" s="1011"/>
      <c r="C279" s="1011"/>
      <c r="D279" s="1011"/>
      <c r="E279" s="1011"/>
      <c r="F279" s="1011"/>
      <c r="G279" s="1011"/>
      <c r="H279" s="1011"/>
      <c r="I279" s="1011"/>
      <c r="J279" s="669">
        <f>J275+J263</f>
        <v>107114</v>
      </c>
      <c r="K279" s="46">
        <f t="shared" ref="K279:M279" si="22">K275+K263</f>
        <v>117543.60299999997</v>
      </c>
      <c r="L279" s="213">
        <f t="shared" si="22"/>
        <v>117050.12999999999</v>
      </c>
      <c r="M279" s="232">
        <f t="shared" si="22"/>
        <v>116438.73</v>
      </c>
      <c r="N279" s="68"/>
    </row>
    <row r="280" spans="1:18" ht="22.5" customHeight="1" x14ac:dyDescent="0.25">
      <c r="A280" s="1051" t="s">
        <v>129</v>
      </c>
      <c r="B280" s="1051"/>
      <c r="C280" s="1051"/>
      <c r="D280" s="1051"/>
      <c r="E280" s="1051"/>
      <c r="F280" s="1051"/>
      <c r="G280" s="1051"/>
      <c r="H280" s="1051"/>
      <c r="I280" s="1051"/>
      <c r="J280" s="1051"/>
      <c r="K280" s="1051"/>
      <c r="L280" s="1051"/>
      <c r="M280" s="1051"/>
      <c r="N280" s="1051"/>
      <c r="O280" s="1051"/>
      <c r="P280" s="1051"/>
      <c r="Q280" s="1051"/>
      <c r="R280" s="1051"/>
    </row>
    <row r="281" spans="1:18" x14ac:dyDescent="0.25">
      <c r="F281" s="23"/>
      <c r="G281" s="635"/>
      <c r="H281" s="770"/>
      <c r="I281" s="106"/>
      <c r="J281" s="898">
        <f>+J279-J259</f>
        <v>0</v>
      </c>
      <c r="K281" s="898">
        <f t="shared" ref="K281:M281" si="23">+K279-K259</f>
        <v>0</v>
      </c>
      <c r="L281" s="898">
        <f t="shared" si="23"/>
        <v>0</v>
      </c>
      <c r="M281" s="898">
        <f t="shared" si="23"/>
        <v>0</v>
      </c>
      <c r="N281" s="899"/>
    </row>
    <row r="282" spans="1:18" x14ac:dyDescent="0.25">
      <c r="F282" s="23"/>
      <c r="G282" s="635"/>
      <c r="H282" s="770"/>
      <c r="I282" s="72"/>
      <c r="J282" s="97"/>
      <c r="K282" s="97"/>
      <c r="L282" s="97"/>
      <c r="M282" s="97"/>
      <c r="N282" s="117"/>
    </row>
    <row r="283" spans="1:18" x14ac:dyDescent="0.25">
      <c r="F283" s="23"/>
      <c r="G283" s="635"/>
      <c r="H283" s="770"/>
      <c r="I283" s="770"/>
      <c r="J283" s="130"/>
      <c r="K283" s="95"/>
      <c r="L283" s="95"/>
      <c r="M283" s="95"/>
    </row>
    <row r="284" spans="1:18" x14ac:dyDescent="0.25">
      <c r="F284" s="23"/>
      <c r="G284" s="635"/>
      <c r="H284" s="770"/>
      <c r="I284" s="770"/>
      <c r="J284" s="130"/>
      <c r="K284" s="95"/>
      <c r="L284" s="95"/>
      <c r="M284" s="95"/>
      <c r="O284" s="23"/>
      <c r="P284" s="23"/>
      <c r="Q284" s="23"/>
      <c r="R284" s="23"/>
    </row>
    <row r="285" spans="1:18" x14ac:dyDescent="0.25">
      <c r="F285" s="23"/>
      <c r="G285" s="635"/>
      <c r="H285" s="770"/>
      <c r="I285" s="770"/>
      <c r="J285" s="130"/>
      <c r="K285" s="95"/>
      <c r="L285" s="95"/>
      <c r="M285" s="95"/>
      <c r="O285" s="23"/>
      <c r="P285" s="23"/>
      <c r="Q285" s="23"/>
      <c r="R285" s="23"/>
    </row>
    <row r="286" spans="1:18" x14ac:dyDescent="0.25">
      <c r="F286" s="23"/>
      <c r="G286" s="635"/>
      <c r="H286" s="770"/>
      <c r="I286" s="770"/>
      <c r="J286" s="130"/>
      <c r="K286" s="95"/>
      <c r="L286" s="95"/>
      <c r="M286" s="95"/>
      <c r="O286" s="23"/>
      <c r="P286" s="23"/>
      <c r="Q286" s="23"/>
      <c r="R286" s="23"/>
    </row>
    <row r="287" spans="1:18" x14ac:dyDescent="0.25">
      <c r="F287" s="23"/>
      <c r="G287" s="635"/>
      <c r="H287" s="770"/>
      <c r="I287" s="770"/>
      <c r="J287" s="130"/>
      <c r="K287" s="95"/>
      <c r="L287" s="95"/>
      <c r="M287" s="95"/>
      <c r="O287" s="23"/>
      <c r="P287" s="23"/>
      <c r="Q287" s="23"/>
      <c r="R287" s="23"/>
    </row>
    <row r="288" spans="1:18" x14ac:dyDescent="0.25">
      <c r="F288" s="23"/>
      <c r="G288" s="635"/>
      <c r="H288" s="770"/>
      <c r="I288" s="770"/>
      <c r="J288" s="130"/>
      <c r="K288" s="95"/>
      <c r="L288" s="95"/>
      <c r="M288" s="95"/>
      <c r="O288" s="23"/>
      <c r="P288" s="23"/>
      <c r="Q288" s="23"/>
      <c r="R288" s="23"/>
    </row>
    <row r="289" spans="1:18" x14ac:dyDescent="0.25">
      <c r="A289" s="636"/>
      <c r="B289" s="636"/>
      <c r="C289" s="636"/>
      <c r="D289" s="43"/>
      <c r="E289" s="43"/>
      <c r="F289" s="23"/>
      <c r="G289" s="635"/>
      <c r="H289" s="770"/>
      <c r="I289" s="770"/>
      <c r="J289" s="130"/>
      <c r="K289" s="95"/>
      <c r="L289" s="95"/>
      <c r="M289" s="95"/>
      <c r="N289" s="23"/>
      <c r="O289" s="23"/>
      <c r="P289" s="23"/>
      <c r="Q289" s="23"/>
      <c r="R289" s="23"/>
    </row>
    <row r="290" spans="1:18" x14ac:dyDescent="0.25">
      <c r="A290" s="636"/>
      <c r="B290" s="636"/>
      <c r="C290" s="636"/>
      <c r="D290" s="43"/>
      <c r="E290" s="43"/>
      <c r="F290" s="23"/>
      <c r="G290" s="635"/>
      <c r="H290" s="770"/>
      <c r="I290" s="770"/>
      <c r="J290" s="130"/>
      <c r="K290" s="95"/>
      <c r="L290" s="95"/>
      <c r="M290" s="95"/>
      <c r="N290" s="23"/>
      <c r="O290" s="23"/>
      <c r="P290" s="23"/>
      <c r="Q290" s="23"/>
      <c r="R290" s="23"/>
    </row>
    <row r="291" spans="1:18" x14ac:dyDescent="0.25">
      <c r="A291" s="636"/>
      <c r="B291" s="636"/>
      <c r="C291" s="636"/>
      <c r="D291" s="43"/>
      <c r="E291" s="43"/>
      <c r="F291" s="23"/>
      <c r="G291" s="635"/>
      <c r="H291" s="770"/>
      <c r="I291" s="770"/>
      <c r="J291" s="130"/>
      <c r="K291" s="95"/>
      <c r="L291" s="95"/>
      <c r="M291" s="95"/>
      <c r="N291" s="23"/>
      <c r="O291" s="23"/>
      <c r="P291" s="23"/>
      <c r="Q291" s="23"/>
      <c r="R291" s="23"/>
    </row>
    <row r="292" spans="1:18" x14ac:dyDescent="0.25">
      <c r="A292" s="636"/>
      <c r="B292" s="636"/>
      <c r="C292" s="636"/>
      <c r="D292" s="43"/>
      <c r="E292" s="43"/>
      <c r="F292" s="23"/>
      <c r="G292" s="635"/>
      <c r="H292" s="770"/>
      <c r="I292" s="770"/>
      <c r="J292" s="130"/>
      <c r="K292" s="95"/>
      <c r="L292" s="95"/>
      <c r="M292" s="95"/>
      <c r="N292" s="23"/>
      <c r="O292" s="23"/>
      <c r="P292" s="23"/>
      <c r="Q292" s="23"/>
      <c r="R292" s="23"/>
    </row>
    <row r="293" spans="1:18" x14ac:dyDescent="0.25">
      <c r="A293" s="636"/>
      <c r="B293" s="636"/>
      <c r="C293" s="636"/>
      <c r="D293" s="43"/>
      <c r="E293" s="43"/>
      <c r="F293" s="23"/>
      <c r="G293" s="635"/>
      <c r="H293" s="770"/>
      <c r="I293" s="770"/>
      <c r="J293" s="130"/>
      <c r="K293" s="95"/>
      <c r="L293" s="95"/>
      <c r="M293" s="95"/>
      <c r="N293" s="23"/>
      <c r="O293" s="23"/>
      <c r="P293" s="23"/>
      <c r="Q293" s="23"/>
      <c r="R293" s="23"/>
    </row>
    <row r="294" spans="1:18" x14ac:dyDescent="0.25">
      <c r="A294" s="636"/>
      <c r="B294" s="636"/>
      <c r="C294" s="636"/>
      <c r="D294" s="43"/>
      <c r="E294" s="43"/>
      <c r="F294" s="23"/>
      <c r="G294" s="635"/>
      <c r="H294" s="770"/>
      <c r="I294" s="770"/>
      <c r="J294" s="130"/>
      <c r="K294" s="95"/>
      <c r="L294" s="95"/>
      <c r="M294" s="95"/>
      <c r="N294" s="23"/>
      <c r="O294" s="23"/>
      <c r="P294" s="23"/>
      <c r="Q294" s="23"/>
      <c r="R294" s="23"/>
    </row>
    <row r="295" spans="1:18" x14ac:dyDescent="0.25">
      <c r="A295" s="636"/>
      <c r="B295" s="636"/>
      <c r="C295" s="636"/>
      <c r="D295" s="43"/>
      <c r="E295" s="43"/>
      <c r="F295" s="23"/>
      <c r="G295" s="635"/>
      <c r="H295" s="770"/>
      <c r="I295" s="770"/>
      <c r="J295" s="130"/>
      <c r="K295" s="95"/>
      <c r="L295" s="95"/>
      <c r="M295" s="95"/>
      <c r="N295" s="23"/>
      <c r="O295" s="23"/>
      <c r="P295" s="23"/>
      <c r="Q295" s="23"/>
      <c r="R295" s="23"/>
    </row>
    <row r="296" spans="1:18" x14ac:dyDescent="0.25">
      <c r="A296" s="636"/>
      <c r="B296" s="636"/>
      <c r="C296" s="636"/>
      <c r="D296" s="43"/>
      <c r="E296" s="43"/>
      <c r="F296" s="23"/>
      <c r="G296" s="635"/>
      <c r="H296" s="770"/>
      <c r="I296" s="770"/>
      <c r="J296" s="130"/>
      <c r="K296" s="95"/>
      <c r="L296" s="95"/>
      <c r="M296" s="95"/>
      <c r="N296" s="23"/>
      <c r="O296" s="23"/>
      <c r="P296" s="23"/>
      <c r="Q296" s="23"/>
      <c r="R296" s="23"/>
    </row>
    <row r="297" spans="1:18" x14ac:dyDescent="0.25">
      <c r="A297" s="636"/>
      <c r="B297" s="636"/>
      <c r="C297" s="636"/>
      <c r="D297" s="43"/>
      <c r="E297" s="43"/>
      <c r="F297" s="23"/>
      <c r="G297" s="635"/>
      <c r="H297" s="770"/>
      <c r="I297" s="770"/>
      <c r="J297" s="130"/>
      <c r="K297" s="95"/>
      <c r="L297" s="95"/>
      <c r="M297" s="95"/>
      <c r="N297" s="23"/>
      <c r="O297" s="23"/>
      <c r="P297" s="23"/>
      <c r="Q297" s="23"/>
      <c r="R297" s="23"/>
    </row>
    <row r="298" spans="1:18" x14ac:dyDescent="0.25">
      <c r="A298" s="636"/>
      <c r="B298" s="636"/>
      <c r="C298" s="636"/>
      <c r="D298" s="43"/>
      <c r="E298" s="43"/>
      <c r="F298" s="23"/>
      <c r="G298" s="635"/>
      <c r="H298" s="770"/>
      <c r="I298" s="770"/>
      <c r="J298" s="130"/>
      <c r="K298" s="95"/>
      <c r="L298" s="95"/>
      <c r="M298" s="95"/>
      <c r="N298" s="23"/>
      <c r="O298" s="23"/>
      <c r="P298" s="23"/>
      <c r="Q298" s="23"/>
      <c r="R298" s="23"/>
    </row>
    <row r="299" spans="1:18" x14ac:dyDescent="0.25">
      <c r="A299" s="636"/>
      <c r="B299" s="636"/>
      <c r="C299" s="636"/>
      <c r="D299" s="43"/>
      <c r="E299" s="43"/>
      <c r="F299" s="23"/>
      <c r="G299" s="635"/>
      <c r="H299" s="770"/>
      <c r="I299" s="770"/>
      <c r="J299" s="130"/>
      <c r="K299" s="95"/>
      <c r="L299" s="95"/>
      <c r="M299" s="95"/>
      <c r="N299" s="23"/>
      <c r="O299" s="23"/>
      <c r="P299" s="23"/>
      <c r="Q299" s="23"/>
      <c r="R299" s="23"/>
    </row>
    <row r="300" spans="1:18" x14ac:dyDescent="0.25">
      <c r="A300" s="636"/>
      <c r="B300" s="636"/>
      <c r="C300" s="636"/>
      <c r="D300" s="43"/>
      <c r="E300" s="43"/>
      <c r="F300" s="23"/>
      <c r="G300" s="635"/>
      <c r="H300" s="770"/>
      <c r="I300" s="770"/>
      <c r="J300" s="130"/>
      <c r="K300" s="95"/>
      <c r="L300" s="95"/>
      <c r="M300" s="95"/>
      <c r="N300" s="23"/>
      <c r="O300" s="23"/>
      <c r="P300" s="23"/>
      <c r="Q300" s="23"/>
      <c r="R300" s="23"/>
    </row>
    <row r="301" spans="1:18" x14ac:dyDescent="0.25">
      <c r="A301" s="636"/>
      <c r="B301" s="636"/>
      <c r="C301" s="636"/>
      <c r="D301" s="43"/>
      <c r="E301" s="43"/>
      <c r="F301" s="23"/>
      <c r="G301" s="635"/>
      <c r="H301" s="770"/>
      <c r="I301" s="770"/>
      <c r="J301" s="130"/>
      <c r="K301" s="95"/>
      <c r="L301" s="95"/>
      <c r="M301" s="95"/>
      <c r="N301" s="23"/>
      <c r="O301" s="23"/>
      <c r="P301" s="23"/>
      <c r="Q301" s="23"/>
      <c r="R301" s="23"/>
    </row>
  </sheetData>
  <mergeCells count="206">
    <mergeCell ref="S151:W151"/>
    <mergeCell ref="S169:Y170"/>
    <mergeCell ref="A2:R2"/>
    <mergeCell ref="A3:R3"/>
    <mergeCell ref="N115:N116"/>
    <mergeCell ref="N127:N128"/>
    <mergeCell ref="N131:N132"/>
    <mergeCell ref="H103:H104"/>
    <mergeCell ref="G85:G86"/>
    <mergeCell ref="N125:N126"/>
    <mergeCell ref="G102:I102"/>
    <mergeCell ref="N7:N8"/>
    <mergeCell ref="F26:F29"/>
    <mergeCell ref="F48:F49"/>
    <mergeCell ref="F52:F55"/>
    <mergeCell ref="H113:H114"/>
    <mergeCell ref="F23:F25"/>
    <mergeCell ref="H13:H15"/>
    <mergeCell ref="H18:H22"/>
    <mergeCell ref="B11:R11"/>
    <mergeCell ref="C12:R12"/>
    <mergeCell ref="G93:G94"/>
    <mergeCell ref="F66:F69"/>
    <mergeCell ref="F85:F86"/>
    <mergeCell ref="C6:C8"/>
    <mergeCell ref="A261:M261"/>
    <mergeCell ref="E6:E8"/>
    <mergeCell ref="H111:H112"/>
    <mergeCell ref="A123:A128"/>
    <mergeCell ref="F197:F198"/>
    <mergeCell ref="F96:F97"/>
    <mergeCell ref="A9:R9"/>
    <mergeCell ref="A10:R10"/>
    <mergeCell ref="F62:F65"/>
    <mergeCell ref="N50:N51"/>
    <mergeCell ref="F44:F46"/>
    <mergeCell ref="F57:F59"/>
    <mergeCell ref="F93:F94"/>
    <mergeCell ref="C257:I257"/>
    <mergeCell ref="E171:E172"/>
    <mergeCell ref="E98:E99"/>
    <mergeCell ref="F75:F77"/>
    <mergeCell ref="F83:F84"/>
    <mergeCell ref="F115:F116"/>
    <mergeCell ref="H93:H94"/>
    <mergeCell ref="C123:C128"/>
    <mergeCell ref="H115:H116"/>
    <mergeCell ref="D6:D8"/>
    <mergeCell ref="H1:R1"/>
    <mergeCell ref="H174:H175"/>
    <mergeCell ref="F169:F170"/>
    <mergeCell ref="H169:H170"/>
    <mergeCell ref="G193:I193"/>
    <mergeCell ref="H161:H163"/>
    <mergeCell ref="F187:F188"/>
    <mergeCell ref="F159:F160"/>
    <mergeCell ref="F111:F112"/>
    <mergeCell ref="N113:N114"/>
    <mergeCell ref="F113:F114"/>
    <mergeCell ref="N143:N144"/>
    <mergeCell ref="N145:N146"/>
    <mergeCell ref="J6:J8"/>
    <mergeCell ref="K6:K8"/>
    <mergeCell ref="L6:L8"/>
    <mergeCell ref="M6:M8"/>
    <mergeCell ref="F98:F99"/>
    <mergeCell ref="F123:F128"/>
    <mergeCell ref="G123:G128"/>
    <mergeCell ref="A4:R4"/>
    <mergeCell ref="F171:F172"/>
    <mergeCell ref="N108:N109"/>
    <mergeCell ref="F50:F51"/>
    <mergeCell ref="A279:I279"/>
    <mergeCell ref="A280:R280"/>
    <mergeCell ref="A268:I268"/>
    <mergeCell ref="A269:I269"/>
    <mergeCell ref="A270:I270"/>
    <mergeCell ref="A271:I271"/>
    <mergeCell ref="A272:I272"/>
    <mergeCell ref="A273:I273"/>
    <mergeCell ref="A262:I262"/>
    <mergeCell ref="A263:I263"/>
    <mergeCell ref="A264:I264"/>
    <mergeCell ref="A265:I265"/>
    <mergeCell ref="A266:I266"/>
    <mergeCell ref="A274:I274"/>
    <mergeCell ref="A275:I275"/>
    <mergeCell ref="A276:I276"/>
    <mergeCell ref="A277:I277"/>
    <mergeCell ref="A267:I267"/>
    <mergeCell ref="A278:I278"/>
    <mergeCell ref="H125:H126"/>
    <mergeCell ref="H129:H130"/>
    <mergeCell ref="F161:F163"/>
    <mergeCell ref="F107:F110"/>
    <mergeCell ref="F137:F139"/>
    <mergeCell ref="F131:F133"/>
    <mergeCell ref="F100:F102"/>
    <mergeCell ref="E149:E150"/>
    <mergeCell ref="N5:R5"/>
    <mergeCell ref="N6:R6"/>
    <mergeCell ref="G6:G8"/>
    <mergeCell ref="I6:I8"/>
    <mergeCell ref="F21:F22"/>
    <mergeCell ref="P50:P51"/>
    <mergeCell ref="Q50:Q51"/>
    <mergeCell ref="R50:R51"/>
    <mergeCell ref="F6:F8"/>
    <mergeCell ref="O7:R7"/>
    <mergeCell ref="F34:F35"/>
    <mergeCell ref="H6:H8"/>
    <mergeCell ref="F14:F18"/>
    <mergeCell ref="G149:G150"/>
    <mergeCell ref="H214:H215"/>
    <mergeCell ref="F192:F193"/>
    <mergeCell ref="D214:D217"/>
    <mergeCell ref="H237:H238"/>
    <mergeCell ref="A6:A8"/>
    <mergeCell ref="B6:B8"/>
    <mergeCell ref="F36:F42"/>
    <mergeCell ref="N54:N55"/>
    <mergeCell ref="H82:H84"/>
    <mergeCell ref="F174:F175"/>
    <mergeCell ref="G185:I185"/>
    <mergeCell ref="F206:F207"/>
    <mergeCell ref="F229:F230"/>
    <mergeCell ref="G229:G230"/>
    <mergeCell ref="F117:F118"/>
    <mergeCell ref="C119:I119"/>
    <mergeCell ref="B120:I120"/>
    <mergeCell ref="B121:R121"/>
    <mergeCell ref="C122:R122"/>
    <mergeCell ref="H117:H118"/>
    <mergeCell ref="B123:B128"/>
    <mergeCell ref="H212:H213"/>
    <mergeCell ref="H137:H139"/>
    <mergeCell ref="H140:H141"/>
    <mergeCell ref="N171:N172"/>
    <mergeCell ref="O127:O128"/>
    <mergeCell ref="F181:F182"/>
    <mergeCell ref="N137:N139"/>
    <mergeCell ref="H134:H136"/>
    <mergeCell ref="H127:H128"/>
    <mergeCell ref="F134:F135"/>
    <mergeCell ref="F156:F157"/>
    <mergeCell ref="F140:F142"/>
    <mergeCell ref="F154:F155"/>
    <mergeCell ref="F143:F148"/>
    <mergeCell ref="F149:F150"/>
    <mergeCell ref="F151:F153"/>
    <mergeCell ref="F165:F166"/>
    <mergeCell ref="F176:F178"/>
    <mergeCell ref="H176:H178"/>
    <mergeCell ref="H181:H182"/>
    <mergeCell ref="H149:H150"/>
    <mergeCell ref="H143:H145"/>
    <mergeCell ref="H159:H160"/>
    <mergeCell ref="N154:N155"/>
    <mergeCell ref="A260:R260"/>
    <mergeCell ref="B258:I258"/>
    <mergeCell ref="B259:I259"/>
    <mergeCell ref="E206:E207"/>
    <mergeCell ref="H254:H256"/>
    <mergeCell ref="A237:A238"/>
    <mergeCell ref="B237:B238"/>
    <mergeCell ref="N161:N162"/>
    <mergeCell ref="N152:N153"/>
    <mergeCell ref="H171:H172"/>
    <mergeCell ref="G151:G152"/>
    <mergeCell ref="H151:H152"/>
    <mergeCell ref="H243:H246"/>
    <mergeCell ref="G239:G240"/>
    <mergeCell ref="H239:H240"/>
    <mergeCell ref="F239:F240"/>
    <mergeCell ref="F212:F213"/>
    <mergeCell ref="F214:F217"/>
    <mergeCell ref="H183:H184"/>
    <mergeCell ref="F245:F248"/>
    <mergeCell ref="C210:I210"/>
    <mergeCell ref="G237:G238"/>
    <mergeCell ref="F183:F184"/>
    <mergeCell ref="F237:F238"/>
    <mergeCell ref="O194:R194"/>
    <mergeCell ref="N192:N193"/>
    <mergeCell ref="N223:N225"/>
    <mergeCell ref="F218:F219"/>
    <mergeCell ref="O208:O209"/>
    <mergeCell ref="P208:P209"/>
    <mergeCell ref="Q208:Q209"/>
    <mergeCell ref="D206:D207"/>
    <mergeCell ref="H252:H253"/>
    <mergeCell ref="C194:I194"/>
    <mergeCell ref="C211:R211"/>
    <mergeCell ref="C195:R195"/>
    <mergeCell ref="N248:N250"/>
    <mergeCell ref="F243:F244"/>
    <mergeCell ref="E214:E217"/>
    <mergeCell ref="H248:H249"/>
    <mergeCell ref="F199:F200"/>
    <mergeCell ref="N208:N209"/>
    <mergeCell ref="H206:H209"/>
    <mergeCell ref="G206:G207"/>
    <mergeCell ref="H201:H203"/>
    <mergeCell ref="N237:N238"/>
    <mergeCell ref="F208:F209"/>
    <mergeCell ref="F201:F202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59" orientation="portrait" r:id="rId1"/>
  <rowBreaks count="2" manualBreakCount="2">
    <brk id="59" max="17" man="1"/>
    <brk id="109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Aiškinamoji lentelė</vt:lpstr>
      <vt:lpstr>'Aiškinamoji lentelė'!Print_Area</vt:lpstr>
      <vt:lpstr>'Aiškinamoji lentelė'!Print_Titles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Snieguole Kacerauskaite</cp:lastModifiedBy>
  <cp:lastPrinted>2021-01-15T13:22:56Z</cp:lastPrinted>
  <dcterms:created xsi:type="dcterms:W3CDTF">2006-05-12T05:50:12Z</dcterms:created>
  <dcterms:modified xsi:type="dcterms:W3CDTF">2021-01-18T08:12:19Z</dcterms:modified>
</cp:coreProperties>
</file>