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-120" yWindow="-120" windowWidth="20616" windowHeight="7740"/>
  </bookViews>
  <sheets>
    <sheet name="Aiškinamoji lentelė" sheetId="13" r:id="rId1"/>
    <sheet name="11 MVP lyginamasis" sheetId="17" state="hidden" r:id="rId2"/>
  </sheets>
  <definedNames>
    <definedName name="_xlnm.Print_Area" localSheetId="1">'11 MVP lyginamasis'!$A$2:$O$144</definedName>
    <definedName name="_xlnm.Print_Area" localSheetId="0">'Aiškinamoji lentelė'!$A$1:$S$185</definedName>
    <definedName name="_xlnm.Print_Titles" localSheetId="1">'11 MVP lyginamasis'!$7:$9</definedName>
    <definedName name="_xlnm.Print_Titles" localSheetId="0">'Aiškinamoji lentelė'!$6:$8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7" i="13" l="1"/>
  <c r="L102" i="13" l="1"/>
  <c r="L98" i="13"/>
  <c r="L97" i="13"/>
  <c r="L95" i="13"/>
  <c r="L117" i="13" s="1"/>
  <c r="N109" i="13" l="1"/>
  <c r="N117" i="13" s="1"/>
  <c r="L13" i="13" l="1"/>
  <c r="L55" i="13" l="1"/>
  <c r="L57" i="13" l="1"/>
  <c r="M142" i="13"/>
  <c r="M89" i="13" l="1"/>
  <c r="M91" i="13" l="1"/>
  <c r="L83" i="13" l="1"/>
  <c r="M65" i="13"/>
  <c r="S56" i="13"/>
  <c r="R56" i="13"/>
  <c r="Q56" i="13"/>
  <c r="N55" i="13"/>
  <c r="N57" i="13" s="1"/>
  <c r="M55" i="13"/>
  <c r="Q45" i="13"/>
  <c r="L79" i="13" l="1"/>
  <c r="N81" i="13" l="1"/>
  <c r="M81" i="13"/>
  <c r="L81" i="13"/>
  <c r="M30" i="13" l="1"/>
  <c r="M57" i="13" s="1"/>
  <c r="L16" i="13" l="1"/>
  <c r="L120" i="13" l="1"/>
  <c r="L136" i="13" s="1"/>
  <c r="L166" i="13" l="1"/>
  <c r="L142" i="13"/>
  <c r="N142" i="13"/>
  <c r="K142" i="13"/>
  <c r="M16" i="13" l="1"/>
  <c r="N16" i="13"/>
  <c r="M136" i="13"/>
  <c r="N136" i="13"/>
  <c r="K136" i="13"/>
  <c r="L167" i="13"/>
  <c r="M79" i="13" l="1"/>
  <c r="N79" i="13"/>
  <c r="K79" i="13"/>
  <c r="N25" i="13" l="1"/>
  <c r="M25" i="13"/>
  <c r="L25" i="13"/>
  <c r="K25" i="13"/>
  <c r="L22" i="13" l="1"/>
  <c r="M22" i="13"/>
  <c r="N22" i="13"/>
  <c r="L19" i="13"/>
  <c r="M19" i="13"/>
  <c r="N19" i="13"/>
  <c r="N177" i="13"/>
  <c r="N176" i="13"/>
  <c r="N174" i="13"/>
  <c r="N173" i="13"/>
  <c r="N172" i="13"/>
  <c r="N171" i="13"/>
  <c r="N170" i="13"/>
  <c r="N169" i="13"/>
  <c r="N168" i="13"/>
  <c r="N167" i="13"/>
  <c r="N166" i="13"/>
  <c r="M177" i="13"/>
  <c r="M176" i="13"/>
  <c r="M174" i="13"/>
  <c r="M173" i="13"/>
  <c r="M172" i="13"/>
  <c r="M171" i="13"/>
  <c r="M170" i="13"/>
  <c r="M169" i="13"/>
  <c r="M168" i="13"/>
  <c r="M167" i="13"/>
  <c r="M166" i="13"/>
  <c r="L177" i="13"/>
  <c r="L176" i="13"/>
  <c r="L174" i="13"/>
  <c r="L173" i="13"/>
  <c r="L172" i="13"/>
  <c r="L171" i="13"/>
  <c r="L170" i="13"/>
  <c r="L169" i="13"/>
  <c r="L168" i="13"/>
  <c r="K174" i="13"/>
  <c r="K177" i="13"/>
  <c r="K176" i="13"/>
  <c r="K173" i="13"/>
  <c r="K172" i="13"/>
  <c r="K171" i="13"/>
  <c r="K169" i="13"/>
  <c r="K168" i="13"/>
  <c r="K167" i="13"/>
  <c r="L157" i="13"/>
  <c r="M157" i="13"/>
  <c r="N157" i="13"/>
  <c r="L155" i="13"/>
  <c r="M155" i="13"/>
  <c r="N155" i="13"/>
  <c r="L145" i="13"/>
  <c r="M145" i="13"/>
  <c r="N145" i="13"/>
  <c r="L150" i="13"/>
  <c r="M150" i="13"/>
  <c r="N150" i="13"/>
  <c r="L148" i="13"/>
  <c r="M148" i="13"/>
  <c r="N148" i="13"/>
  <c r="L88" i="13"/>
  <c r="M88" i="13"/>
  <c r="N88" i="13"/>
  <c r="L75" i="13"/>
  <c r="M75" i="13"/>
  <c r="N75" i="13"/>
  <c r="L73" i="13"/>
  <c r="M73" i="13"/>
  <c r="N73" i="13"/>
  <c r="L70" i="13"/>
  <c r="M70" i="13"/>
  <c r="N70" i="13"/>
  <c r="K157" i="13"/>
  <c r="K154" i="13"/>
  <c r="K155" i="13" s="1"/>
  <c r="K145" i="13"/>
  <c r="K150" i="13"/>
  <c r="K148" i="13"/>
  <c r="K103" i="13"/>
  <c r="K117" i="13" s="1"/>
  <c r="K88" i="13"/>
  <c r="K75" i="13"/>
  <c r="K73" i="13"/>
  <c r="K61" i="13"/>
  <c r="K64" i="13"/>
  <c r="K63" i="13"/>
  <c r="K62" i="13"/>
  <c r="K60" i="13"/>
  <c r="K55" i="13"/>
  <c r="K46" i="13"/>
  <c r="K43" i="13"/>
  <c r="K40" i="13"/>
  <c r="K36" i="13"/>
  <c r="K30" i="13"/>
  <c r="K28" i="13"/>
  <c r="K170" i="13" s="1"/>
  <c r="K22" i="13"/>
  <c r="K19" i="13"/>
  <c r="K13" i="13"/>
  <c r="N84" i="13" l="1"/>
  <c r="M84" i="13"/>
  <c r="L84" i="13"/>
  <c r="N151" i="13"/>
  <c r="N152" i="13" s="1"/>
  <c r="K151" i="13"/>
  <c r="K152" i="13" s="1"/>
  <c r="L151" i="13"/>
  <c r="L152" i="13" s="1"/>
  <c r="M151" i="13"/>
  <c r="M152" i="13" s="1"/>
  <c r="K166" i="13"/>
  <c r="K165" i="13" s="1"/>
  <c r="K164" i="13" s="1"/>
  <c r="K16" i="13"/>
  <c r="K26" i="13" s="1"/>
  <c r="L26" i="13"/>
  <c r="N26" i="13"/>
  <c r="M26" i="13"/>
  <c r="M158" i="13"/>
  <c r="L158" i="13"/>
  <c r="N158" i="13"/>
  <c r="N175" i="13"/>
  <c r="N165" i="13"/>
  <c r="N164" i="13" s="1"/>
  <c r="M175" i="13"/>
  <c r="M165" i="13"/>
  <c r="M164" i="13" s="1"/>
  <c r="L175" i="13"/>
  <c r="L165" i="13"/>
  <c r="L164" i="13" s="1"/>
  <c r="K175" i="13"/>
  <c r="K70" i="13"/>
  <c r="K57" i="13"/>
  <c r="K158" i="13"/>
  <c r="K84" i="13" l="1"/>
  <c r="K159" i="13" s="1"/>
  <c r="K160" i="13" s="1"/>
  <c r="L159" i="13"/>
  <c r="L160" i="13" s="1"/>
  <c r="N159" i="13"/>
  <c r="N160" i="13" s="1"/>
  <c r="M178" i="13"/>
  <c r="M159" i="13"/>
  <c r="M160" i="13" s="1"/>
  <c r="N178" i="13"/>
  <c r="L178" i="13"/>
  <c r="K178" i="13"/>
  <c r="M61" i="17"/>
  <c r="L61" i="17"/>
  <c r="M58" i="17"/>
  <c r="L58" i="17"/>
  <c r="L136" i="17"/>
  <c r="L135" i="17"/>
  <c r="L131" i="17"/>
  <c r="L132" i="17"/>
  <c r="L133" i="17"/>
  <c r="L130" i="17"/>
  <c r="L126" i="17"/>
  <c r="L127" i="17"/>
  <c r="L128" i="17"/>
  <c r="L129" i="17"/>
  <c r="L125" i="17"/>
  <c r="L116" i="17"/>
  <c r="L117" i="17" s="1"/>
  <c r="L114" i="17"/>
  <c r="L109" i="17"/>
  <c r="L106" i="17"/>
  <c r="L103" i="17"/>
  <c r="L100" i="17"/>
  <c r="L110" i="17" s="1"/>
  <c r="L93" i="17"/>
  <c r="L88" i="17"/>
  <c r="L77" i="17"/>
  <c r="L76" i="17"/>
  <c r="L111" i="17" s="1"/>
  <c r="L71" i="17"/>
  <c r="L68" i="17"/>
  <c r="L66" i="17"/>
  <c r="L55" i="17"/>
  <c r="L44" i="17"/>
  <c r="L28" i="17"/>
  <c r="L52" i="17" s="1"/>
  <c r="L25" i="17"/>
  <c r="L23" i="17"/>
  <c r="L20" i="17"/>
  <c r="L15" i="17"/>
  <c r="L14" i="17"/>
  <c r="L17" i="17" s="1"/>
  <c r="K136" i="17"/>
  <c r="K135" i="17"/>
  <c r="K134" i="17" s="1"/>
  <c r="K133" i="17"/>
  <c r="K132" i="17"/>
  <c r="K131" i="17"/>
  <c r="K130" i="17"/>
  <c r="K128" i="17"/>
  <c r="K127" i="17"/>
  <c r="K126" i="17"/>
  <c r="K116" i="17"/>
  <c r="K114" i="17"/>
  <c r="K109" i="17"/>
  <c r="K106" i="17"/>
  <c r="K103" i="17"/>
  <c r="K100" i="17"/>
  <c r="K110" i="17" s="1"/>
  <c r="K88" i="17"/>
  <c r="K93" i="17" s="1"/>
  <c r="K77" i="17"/>
  <c r="K76" i="17"/>
  <c r="K71" i="17"/>
  <c r="K68" i="17"/>
  <c r="K66" i="17"/>
  <c r="K63" i="17"/>
  <c r="K55" i="17"/>
  <c r="K44" i="17"/>
  <c r="K28" i="17"/>
  <c r="K129" i="17" s="1"/>
  <c r="K25" i="17"/>
  <c r="K23" i="17"/>
  <c r="K20" i="17"/>
  <c r="K15" i="17"/>
  <c r="K14" i="17"/>
  <c r="K17" i="17" s="1"/>
  <c r="K180" i="13" l="1"/>
  <c r="M180" i="13"/>
  <c r="L180" i="13"/>
  <c r="N180" i="13"/>
  <c r="L63" i="17"/>
  <c r="L134" i="17"/>
  <c r="L124" i="17"/>
  <c r="L123" i="17" s="1"/>
  <c r="L137" i="17" s="1"/>
  <c r="L26" i="17"/>
  <c r="L72" i="17"/>
  <c r="L118" i="17" s="1"/>
  <c r="L119" i="17" s="1"/>
  <c r="K26" i="17"/>
  <c r="K111" i="17"/>
  <c r="K117" i="17"/>
  <c r="K52" i="17"/>
  <c r="K72" i="17" s="1"/>
  <c r="K125" i="17"/>
  <c r="K124" i="17" s="1"/>
  <c r="K123" i="17" s="1"/>
  <c r="K137" i="17" s="1"/>
  <c r="L140" i="17" l="1"/>
  <c r="K118" i="17"/>
  <c r="K119" i="17" s="1"/>
  <c r="K140" i="17" s="1"/>
</calcChain>
</file>

<file path=xl/comments1.xml><?xml version="1.0" encoding="utf-8"?>
<comments xmlns="http://schemas.openxmlformats.org/spreadsheetml/2006/main">
  <authors>
    <author>Sniega</author>
    <author>Snieguole Kacerauskaite</author>
    <author>Skaiste Kliaubiene</author>
    <author>Indrė Butenienė</author>
  </authors>
  <commentLis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F76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7.2. Sporto paslaugų prieinamumo gerinimas visiems miesto gyventojams siekiant skatinti vaikų ir suaugusiųjų būti fiziškai aktyviais ir siekti rezultatų:
</t>
        </r>
        <r>
          <rPr>
            <sz val="9"/>
            <color indexed="81"/>
            <rFont val="Tahoma"/>
            <family val="2"/>
            <charset val="186"/>
          </rPr>
          <t xml:space="preserve">7.2.1. Sukurtas ir įgyvendinamas motyvuojančios sporto sistemos (fizinio aktyvumo ir aukšto sportinio meistriškumo) modelis 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  <charset val="186"/>
          </rPr>
          <t>7.2. Sporto paslaugų prieinamumo gerinimas visiems miesto gyventojams siekiant skatinti vaikų ir suaugusiųjų būti fiziškai aktyviais ir siekti rezultatų:</t>
        </r>
        <r>
          <rPr>
            <sz val="9"/>
            <color indexed="81"/>
            <rFont val="Tahoma"/>
            <family val="2"/>
            <charset val="186"/>
          </rPr>
          <t xml:space="preserve"> 
7.2.2.  Įgyvendintų investicijų projektų sporto srityje skaičius, vnt. </t>
        </r>
      </text>
    </comment>
    <comment ref="K103" authorId="1" shape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Iš projekto rezervo lėšų bus perkami 2 mobilūs krepšinio stovai</t>
        </r>
      </text>
    </comment>
    <comment ref="O120" authorId="2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Pajūris, Mašiotas, Verdenė, Versmė, Centrinis stadionas.</t>
        </r>
      </text>
    </comment>
    <comment ref="O121" authorId="2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Verdenė, Versmė.</t>
        </r>
      </text>
    </comment>
    <comment ref="O124" authorId="2" shapeId="0">
      <text>
        <r>
          <rPr>
            <b/>
            <sz val="9"/>
            <color indexed="81"/>
            <rFont val="Tahoma"/>
            <family val="2"/>
            <charset val="186"/>
          </rPr>
          <t>Skaiste Kliaubiene</t>
        </r>
        <r>
          <rPr>
            <sz val="9"/>
            <color indexed="81"/>
            <rFont val="Tahoma"/>
            <family val="2"/>
            <charset val="186"/>
          </rPr>
          <t>,
Mašiotas, Verdenė, Versmė.</t>
        </r>
      </text>
    </comment>
    <comment ref="J149" authorId="3" shapeId="0">
      <text>
        <r>
          <rPr>
            <sz val="9"/>
            <color indexed="81"/>
            <rFont val="Tahoma"/>
            <family val="2"/>
            <charset val="186"/>
          </rPr>
          <t>AB "Klaipėdos nafta" lėšos</t>
        </r>
      </text>
    </comment>
  </commentList>
</comments>
</file>

<file path=xl/comments2.xml><?xml version="1.0" encoding="utf-8"?>
<comments xmlns="http://schemas.openxmlformats.org/spreadsheetml/2006/main">
  <authors>
    <author>Sniega</author>
    <author>Snieguole Kacerauskaite</author>
    <author>Indrė Butenienė</author>
  </authors>
  <commentLis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O24" authorId="1" shapeId="0">
      <text>
        <r>
          <rPr>
            <sz val="9"/>
            <color indexed="81"/>
            <rFont val="Tahoma"/>
            <family val="2"/>
            <charset val="186"/>
          </rPr>
          <t xml:space="preserve">Suorganizuotas vandens sporto šakų festivalis 
</t>
        </r>
      </text>
    </comment>
    <comment ref="F69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7.2. Sporto paslaugų prieinamumo gerinimas visiems miesto gyventojams siekiant skatinti vaikų ir suaugusiųjų būti fiziškai aktyviais ir siekti rezultatų:
</t>
        </r>
        <r>
          <rPr>
            <sz val="9"/>
            <color indexed="81"/>
            <rFont val="Tahoma"/>
            <family val="2"/>
            <charset val="186"/>
          </rPr>
          <t xml:space="preserve">7.2.1. Sukurtas ir įgyvendinamas motyvuojančios sporto sistemos (fizinio aktyvumo ir aukšto sportinio meistriškumo) modelis 
</t>
        </r>
      </text>
    </comment>
    <comment ref="F80" authorId="1" shapeId="0">
      <text>
        <r>
          <rPr>
            <b/>
            <sz val="9"/>
            <color indexed="81"/>
            <rFont val="Tahoma"/>
            <family val="2"/>
            <charset val="186"/>
          </rPr>
          <t>7.2. Sporto paslaugų prieinamumo gerinimas visiems miesto gyventojams siekiant skatinti vaikų ir suaugusiųjų būti fiziškai aktyviais ir siekti rezultatų:</t>
        </r>
        <r>
          <rPr>
            <sz val="9"/>
            <color indexed="81"/>
            <rFont val="Tahoma"/>
            <family val="2"/>
            <charset val="186"/>
          </rPr>
          <t xml:space="preserve"> 
7.2.2.  Įgyvendintų investicijų projektų sporto srityje skaičius, vnt. </t>
        </r>
      </text>
    </comment>
    <comment ref="O98" authorId="1" shapeId="0">
      <text>
        <r>
          <rPr>
            <sz val="9"/>
            <color indexed="81"/>
            <rFont val="Tahoma"/>
            <family val="2"/>
            <charset val="186"/>
          </rPr>
          <t xml:space="preserve">Taikos pr. 61a (NSK salė)
</t>
        </r>
      </text>
    </comment>
    <comment ref="J104" authorId="2" shapeId="0">
      <text>
        <r>
          <rPr>
            <sz val="9"/>
            <color indexed="81"/>
            <rFont val="Tahoma"/>
            <family val="2"/>
            <charset val="186"/>
          </rPr>
          <t>AB "Klaipėdos nafta" lėšos</t>
        </r>
      </text>
    </comment>
    <comment ref="E113" authorId="1" shapeId="0">
      <text>
        <r>
          <rPr>
            <sz val="9"/>
            <color indexed="81"/>
            <rFont val="Tahoma"/>
            <family val="2"/>
            <charset val="186"/>
          </rPr>
          <t>Buvusi: 
"Prioritetinių sporto šakų didelio sportinio meistriškumo klubų veiklos dalinis finansavimas"</t>
        </r>
      </text>
    </comment>
    <comment ref="E115" authorId="1" shapeId="0">
      <text>
        <r>
          <rPr>
            <sz val="9"/>
            <color indexed="81"/>
            <rFont val="Tahoma"/>
            <family val="2"/>
            <charset val="186"/>
          </rPr>
          <t xml:space="preserve">Buvusi:
"Individualių sporto šakų sportininkų pasirengimas dalyvauti atrankos varžybose dėl patekimo į nacionalines rinktines"
</t>
        </r>
      </text>
    </comment>
  </commentList>
</comments>
</file>

<file path=xl/sharedStrings.xml><?xml version="1.0" encoding="utf-8"?>
<sst xmlns="http://schemas.openxmlformats.org/spreadsheetml/2006/main" count="801" uniqueCount="242">
  <si>
    <t>KŪNO KULTŪROS IR SPORTO PLĖTROS PROGRAMOS NR. 11</t>
  </si>
  <si>
    <t xml:space="preserve"> TIKSLŲ, UŽDAVINIŲ, PRIEMONIŲ, PRIEMONIŲ IŠLAIDŲ IR PRODUKTO KRITERIJŲ SUVESTINĖ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</si>
  <si>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</si>
  <si>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</si>
  <si>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</si>
  <si>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</si>
  <si>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</si>
  <si>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</si>
  <si>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</si>
  <si>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vertinimo kriterijus</t>
  </si>
  <si>
    <t>Planas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</si>
  <si>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</si>
  <si>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</si>
  <si>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</si>
  <si>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Sudaryti sąlygas ugdyti sveiką ir fiziškai aktyvią miesto bendruomenę, profesionaliai atrinkti ir ugdyti talentingus olimpinės pamainos sportininkus</t>
  </si>
  <si>
    <t>Pritraukti didesnį dalyvių skaičių, užtikrinant sporto renginių organizavimo kokybę</t>
  </si>
  <si>
    <t>2</t>
  </si>
  <si>
    <t>SB</t>
  </si>
  <si>
    <t>Iš viso:</t>
  </si>
  <si>
    <t>02</t>
  </si>
  <si>
    <t>Suorganizuota pagerbimo ir viešinimo renginių, skaičius</t>
  </si>
  <si>
    <t>03</t>
  </si>
  <si>
    <t>Iš viso uždaviniui:</t>
  </si>
  <si>
    <t>Sudaryti sąlygas sportuoti visų amžiaus grupių miestiečiams, įgyvendinant sveikos gyvensenos ir fizinio aktyvumo programas</t>
  </si>
  <si>
    <t>Sąlygų ugdytis biudžetinėse sporto įstaigose sudarymas:</t>
  </si>
  <si>
    <t>SB(SP)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</si>
  <si>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</si>
  <si>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</si>
  <si>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</si>
  <si>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</si>
  <si>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 xml:space="preserve">buriavimo, irklavimo, baidarių ir kanojų irklavimo sporto šakų </t>
  </si>
  <si>
    <t>neįgaliųjų socialinės integracijos per kūno kultūrą ir sportą</t>
  </si>
  <si>
    <t>04</t>
  </si>
  <si>
    <t>I</t>
  </si>
  <si>
    <t>SB(VB)</t>
  </si>
  <si>
    <t>Įgyvendintas projektas, proc.</t>
  </si>
  <si>
    <t>LRVB</t>
  </si>
  <si>
    <t>Atlikta modernizavimo darbų, proc.</t>
  </si>
  <si>
    <t>Iš viso priemonei:</t>
  </si>
  <si>
    <t xml:space="preserve">Sporto infrastruktūros objektų einamasis remontas ir techninis aptarnavimas:                                    </t>
  </si>
  <si>
    <t>Tinkamai reprezentuoti miestą šalies ir tarptautiniuose sporto renginiuose</t>
  </si>
  <si>
    <t>Skirta stipendijų sportininkams, skaičius</t>
  </si>
  <si>
    <t>Iš viso tikslui:</t>
  </si>
  <si>
    <t>11</t>
  </si>
  <si>
    <t>Iš viso programai:</t>
  </si>
  <si>
    <t>Finansavimo šaltinių suvestinė</t>
  </si>
  <si>
    <t>Finansavimo šaltiniai</t>
  </si>
  <si>
    <t>SAVIVALDYBĖS LĖŠOS</t>
  </si>
  <si>
    <t>KITOS LĖŠOS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</si>
  <si>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</si>
  <si>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SB(SPL)</t>
  </si>
  <si>
    <t>05</t>
  </si>
  <si>
    <t>Miestą reprezentuojančių komandų, miestą garsinančių individualių sporto šakų sportininkų ir trenerių pagerbimas</t>
  </si>
  <si>
    <t>1.6.1.5</t>
  </si>
  <si>
    <t xml:space="preserve"> </t>
  </si>
  <si>
    <t>BĮ Klaipėdos miesto sporto bazių valdymo centre</t>
  </si>
  <si>
    <t>BĮ Klaipėdos miesto sporto bazių valdymo centro pastatų patalpų ir įrenginių atnaujinimo darbai</t>
  </si>
  <si>
    <t>BĮ Klaipėdos miesto lengvosios atletikos mokykloje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</si>
  <si>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</si>
  <si>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</si>
  <si>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</si>
  <si>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SB(ES)</t>
  </si>
  <si>
    <t xml:space="preserve"> - I etapas</t>
  </si>
  <si>
    <t xml:space="preserve">Futbolo mokyklos ir baseino pastatų konversija: </t>
  </si>
  <si>
    <t>Neatlygintinai suteikta sporto bazių sporto renginiams, val.</t>
  </si>
  <si>
    <t>Klaipėdos miesto savivaldybės jachtos „Lietuva“ kapitalinis remontas</t>
  </si>
  <si>
    <t>Atlikta remonto darbų, proc.</t>
  </si>
  <si>
    <t>Suorganizuota renginių, skaičius</t>
  </si>
  <si>
    <t>Asmenų, lankančių sporto organizacijas, skaičius</t>
  </si>
  <si>
    <t>Komandų, dalyvaujančių aukščiausioje lygoje, skaičius</t>
  </si>
  <si>
    <t>Sporto bazių paslaugų teikimas sporto renginiams vykdyti</t>
  </si>
  <si>
    <t>Suteikta paslaugų, valandų skaičius</t>
  </si>
  <si>
    <t>Apskaitos kodas</t>
  </si>
  <si>
    <t>Paslaugų miesto bendruomenei teikimas Klaipėdos miesto daugiafunkciame sveikatingumo centre</t>
  </si>
  <si>
    <t>________________________________________</t>
  </si>
  <si>
    <t>2020 m. asignavimų planas</t>
  </si>
  <si>
    <t>2020-ieji metai</t>
  </si>
  <si>
    <t>Suorganizuotas pasaulio salės futbolo čempionatas, vnt</t>
  </si>
  <si>
    <t>BĮ Klaipėdos miesto lengvosios atletikos mokyklos maniežo dangos atnaujinimo darbai</t>
  </si>
  <si>
    <t>Atlikti maniežo dangos pakeitimo darbai, 2250 m², proc.</t>
  </si>
  <si>
    <t>06</t>
  </si>
  <si>
    <t>07</t>
  </si>
  <si>
    <t>Neatlygintinai suteiktų sporto bazių paslaugų kompensavimas</t>
  </si>
  <si>
    <t>Fizinių ir juridinių asmenų, neatlygintinai gaunančių sporto bazių paslaugas, skaičius</t>
  </si>
  <si>
    <t>Sporto salių bendrojo lavinimo mokyklose poreikis, val</t>
  </si>
  <si>
    <t>Sporto salių bendrojo lavinimo mokyklose poreikis, val. sk.</t>
  </si>
  <si>
    <t xml:space="preserve">Klaipėdos miesto tradicinių tarptautinių sporto renginių </t>
  </si>
  <si>
    <t xml:space="preserve">Klaipėdos miesto „Sportas visiems“ renginių </t>
  </si>
  <si>
    <t xml:space="preserve">Klaipėdos miesto sporto šakų federacijų </t>
  </si>
  <si>
    <t>Klaipėdos miesto antrųjų klasių mokinių mokymas plaukti</t>
  </si>
  <si>
    <t>Apmokyta plaukti vaikų, skaičius</t>
  </si>
  <si>
    <t>Įvertinta paraiškų, skaičius</t>
  </si>
  <si>
    <t>Klaipėdos miesto sporto bazių infrastruktūros plėtros poreikio galimybių studijos parengimas</t>
  </si>
  <si>
    <t xml:space="preserve">Reprezentacinių Klaipėdos miesto sporto komandų dalinis finansavimas  </t>
  </si>
  <si>
    <t xml:space="preserve">Stipendijų mokėjimas perspektyviems Klaipėdos miesto sportininkams   </t>
  </si>
  <si>
    <t>Vidutinis sportininkų, dalyvavusių programose, skaičius, tūkst.</t>
  </si>
  <si>
    <t>SB(P)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</si>
  <si>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</si>
  <si>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t>Asmenų, lankančių įstaigą, skaičius</t>
  </si>
  <si>
    <t>Miesto bendruomenei aktualių sporto renginių, švenčių organizavimas</t>
  </si>
  <si>
    <t>Sportinės veiklos projektų dalinis finansavimas:</t>
  </si>
  <si>
    <t>Finansuota projektų, iš viso:</t>
  </si>
  <si>
    <t>Atnaujinta patalpų ir įrenginių, objektų skaičius</t>
  </si>
  <si>
    <t>Valdoma sporto bazių, skaičius</t>
  </si>
  <si>
    <t>Suteikta bazių paslauga, įstaigų skaičius</t>
  </si>
  <si>
    <t>Finansuota federacijų veikla, skaičius</t>
  </si>
  <si>
    <t>1.6.1.1</t>
  </si>
  <si>
    <t>Įsigyta prekių ar reprezentacinių leidinių, vnt.</t>
  </si>
  <si>
    <t>Įsigyta sportinių dviračių, vnt.</t>
  </si>
  <si>
    <t>Įsigyta varžybinės įrangos, vnt.</t>
  </si>
  <si>
    <t>Parengta galimybių studija, vnt.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</si>
  <si>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</si>
  <si>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>Valstybės biudžeto specialiosios tikslinės dotacijos lėšos</t>
    </r>
    <r>
      <rPr>
        <b/>
        <sz val="10"/>
        <rFont val="Times New Roman"/>
        <family val="1"/>
        <charset val="186"/>
      </rPr>
      <t xml:space="preserve"> SB(VB)</t>
    </r>
  </si>
  <si>
    <t>Vidutinis sportuojančių neįgalių vaikų, skaičius</t>
  </si>
  <si>
    <t xml:space="preserve">tūkst. Eur </t>
  </si>
  <si>
    <t>Atnaujinti riedutininkų rampa Poilsio parke, proc.</t>
  </si>
  <si>
    <t>Vykdytojas</t>
  </si>
  <si>
    <t xml:space="preserve">Lankančiųjų neįgaliųjų sporto organizacijas, skaičius </t>
  </si>
  <si>
    <t>Vykdytų veiklų, pagal sporto šakas, skaičius</t>
  </si>
  <si>
    <t>Informacinės sistemos sportuojančių vaikų lankomumo apskaitai užtikrinti įdiegimas</t>
  </si>
  <si>
    <t>Suorganizuotas Europos U20 jaunimo vaikinų krepšinio čempionatas</t>
  </si>
  <si>
    <t>Įsigyta modulinė pakyla, vnt.</t>
  </si>
  <si>
    <t>Motyvuojančios sporto sistemos (fizinio aktyvumo ir aukšto sportinio meistriškumo) modelio įgyvendinimas</t>
  </si>
  <si>
    <t>Sporto bazių paslaugų sporto renginiams vykdyti, poreikis, val.</t>
  </si>
  <si>
    <t>Prestižinių, tarptautinių ir nacionalinių sporto renginių pritraukimas ir organizavimas</t>
  </si>
  <si>
    <r>
      <t xml:space="preserve">Irklavimo bazės </t>
    </r>
    <r>
      <rPr>
        <sz val="10"/>
        <rFont val="Times New Roman"/>
        <family val="1"/>
        <charset val="186"/>
      </rPr>
      <t xml:space="preserve">(Gluosnių skg. 8) modernizavimas </t>
    </r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</si>
  <si>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</si>
  <si>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Pajamų įmokos už paslaugas </t>
    </r>
    <r>
      <rPr>
        <b/>
        <sz val="10"/>
        <rFont val="Times New Roman"/>
        <family val="1"/>
        <charset val="186"/>
      </rPr>
      <t>SB(SP)</t>
    </r>
  </si>
  <si>
    <t>Įsigyta talpa vandeniui kaupti su įranga, vnt.</t>
  </si>
  <si>
    <t>Įsigyta konteinerių, vnt.</t>
  </si>
  <si>
    <t xml:space="preserve"> - II etapas</t>
  </si>
  <si>
    <t>P1</t>
  </si>
  <si>
    <t>Senjorų ir neįgaliųjų užsiėmimų Klaipėdos baseine sk.</t>
  </si>
  <si>
    <t>Sukurtas priemonių planas</t>
  </si>
  <si>
    <t>Informavimo ir e-paslaugų skyrius</t>
  </si>
  <si>
    <t xml:space="preserve">sportuojančio vaiko ugdymo dalinis finansavimas </t>
  </si>
  <si>
    <t>sporto projektų vertinimo paslaugų pirkimas</t>
  </si>
  <si>
    <t>Sporto ir kūno kultūros skyrius</t>
  </si>
  <si>
    <t xml:space="preserve">Socialinės infrastruktūros priežiūros skyrius </t>
  </si>
  <si>
    <t>Sveikatos apsaugos skyrius</t>
  </si>
  <si>
    <t>Turto skyrius</t>
  </si>
  <si>
    <t>Projektų skyrius, V. Varnaitė</t>
  </si>
  <si>
    <t>Įsigytas surenkamas grindų parketas, vnt.</t>
  </si>
  <si>
    <t>Atnaujinta grindų danga (Taikos pr. 61A), proc.</t>
  </si>
  <si>
    <t>Klaipėdos  daugiafunkcio sveikatingumo centro statyba</t>
  </si>
  <si>
    <t>Grąžintos lėšos pagal CPVA ataskaitą, proc.</t>
  </si>
  <si>
    <t>SB(VBL)</t>
  </si>
  <si>
    <t>SB(ESL)</t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</si>
  <si>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</si>
  <si>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r>
      <t xml:space="preserve">Valstybės biudžeto tikslinės dotacijos lėšų likutis </t>
    </r>
    <r>
      <rPr>
        <b/>
        <sz val="10"/>
        <rFont val="Times New Roman"/>
        <family val="1"/>
        <charset val="186"/>
      </rPr>
      <t>SB(VBL)</t>
    </r>
  </si>
  <si>
    <t>Savivaldybės biudžetas, iš jo:</t>
  </si>
  <si>
    <t>Įrengti naujas ir modernizuoti esamas sporto bazes, užtikrinti įstaigų ūkinį aptarnavimą</t>
  </si>
  <si>
    <t>Komunalinių paslaugų (šildymo, vandens, nuotekų) įsigijimas</t>
  </si>
  <si>
    <t xml:space="preserve">Įtaigų skaičius  </t>
  </si>
  <si>
    <t>Kt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</si>
  <si>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</si>
  <si>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Įrengtos stoginės virš žiūrovų tribūnų centriniame stadione, vnt. </t>
  </si>
  <si>
    <t>Centrinio stadiono infrastruktūros atnaujinimas</t>
  </si>
  <si>
    <t xml:space="preserve">Sporto infrastruktūros objektų modernizavimas ir plėtra:
</t>
  </si>
  <si>
    <t>Organizuotas tarptautinis paplūdimio tinklinio turnyras</t>
  </si>
  <si>
    <t>* Pagal Klaipėdos miesto savivaldybės tarybos 2020-02-27 sprendimą T2-...</t>
  </si>
  <si>
    <t xml:space="preserve"> 2020 M. KLAIPĖDOS MIESTO SAVIVALDYBĖS </t>
  </si>
  <si>
    <t>PATVIRTINTA
Klaipėdos miesto savivaldybės administracijos direktoriaus                                                                                          2020 m. kovo 9 d. įsakymu Nr. AD1-328</t>
  </si>
  <si>
    <t>Skirtumas</t>
  </si>
  <si>
    <t>Paaiškinimas</t>
  </si>
  <si>
    <t>Lyginamasis variantas</t>
  </si>
  <si>
    <r>
      <rPr>
        <strike/>
        <sz val="10"/>
        <color rgb="FFFF0000"/>
        <rFont val="Times New Roman"/>
        <family val="1"/>
        <charset val="186"/>
      </rPr>
      <t>11</t>
    </r>
    <r>
      <rPr>
        <sz val="10"/>
        <color rgb="FFFF0000"/>
        <rFont val="Times New Roman"/>
        <family val="1"/>
        <charset val="186"/>
      </rPr>
      <t xml:space="preserve"> 7</t>
    </r>
  </si>
  <si>
    <t>Finansavimas planuotas pagal preliminarius duomenis. Suma keičiama pagal Sporto projektų vertinimo komisijos protokolą 2020-03-10 Nr. SKP-29</t>
  </si>
  <si>
    <t>Siūlomas keisti 2020 metų asignavimų planas</t>
  </si>
  <si>
    <t>Sporto skyrius</t>
  </si>
  <si>
    <t>Informacinių technologijų skyrius</t>
  </si>
  <si>
    <t>Turto valdymo skyrius</t>
  </si>
  <si>
    <t>Statinių administravimo skyrius</t>
  </si>
  <si>
    <t xml:space="preserve">Sporto skyrius - priemonės vykdytojas, </t>
  </si>
  <si>
    <t>Planavimo ir analizės skyrius -programos sąmatų tvirtinimas</t>
  </si>
  <si>
    <t>Projektų skyrius</t>
  </si>
  <si>
    <t xml:space="preserve">Sporto infrastruktūros objektų einamasis remontas, techninis ir ūkinis aptarnavimas:                                 </t>
  </si>
  <si>
    <t xml:space="preserve">Naujos sporto salės statyba </t>
  </si>
  <si>
    <t>Parengtas investicinis projektas, vnt.</t>
  </si>
  <si>
    <t>Atsinaujinančių energijos išteklių  panaudojimas sporto įstaigų pastatuose (Lengvosios atletikos mokykloje)</t>
  </si>
  <si>
    <t>Įstaigų, kuriose įrengtos saulės (fotovoltinės) elektrinės, skaičius</t>
  </si>
  <si>
    <t>Aiškinamojo rašto priedas Nr.3</t>
  </si>
  <si>
    <t xml:space="preserve">2020–2023 M. KLAIPĖDOS MIESTO SAVIVALDYBĖS  </t>
  </si>
  <si>
    <t>2021 m. asignavimų projektas</t>
  </si>
  <si>
    <t>2020 m. asignavimų planas*</t>
  </si>
  <si>
    <t>2021-ieji metai</t>
  </si>
  <si>
    <t>2023-ieji metai</t>
  </si>
  <si>
    <t>2020-ieji metai*</t>
  </si>
  <si>
    <t>2022 m. asignavimų projektas</t>
  </si>
  <si>
    <t>2023 m. asignavimų projektas</t>
  </si>
  <si>
    <t>Suorganizuotas pasaulio salės futbolo čempionatas, vnt.</t>
  </si>
  <si>
    <t>Įgyvendinta  krepšinio turnyro „Karaliaus Mindaugo taurė 2021“ programa, vnt.</t>
  </si>
  <si>
    <t>Įsigytas mikroautobusas (9 vietų), vnt.</t>
  </si>
  <si>
    <t>Įsigytas mikroautobusas (19 vietų), vnt.</t>
  </si>
  <si>
    <t>Įsigytas automobilis renginių aptarnavimui</t>
  </si>
  <si>
    <t>Įsigyta sportinės įrangos, vnt.</t>
  </si>
  <si>
    <t xml:space="preserve">Klaipėdos sunkiosios atletikos centro statyba </t>
  </si>
  <si>
    <t>Atlikta statybos darbų, proc.</t>
  </si>
  <si>
    <t>Atlikti langų remonto darbai (Dariaus ir Girėno g. 10), proc.</t>
  </si>
  <si>
    <t>BĮ Klaipėdos „Gintaro“ sporto centro pastato patalpų atnaujinimo darbai</t>
  </si>
  <si>
    <t>Atlikti akustinės sistemos remonto darbai (434 kv. m), proc.</t>
  </si>
  <si>
    <t>Atliktas baseino langų keitimas ir apdaila, proc.</t>
  </si>
  <si>
    <t>Įsigyta baldų (rūbinėms, sekretoriatui) vnt.</t>
  </si>
  <si>
    <t>Įsigytas traktoriukas, vnt.</t>
  </si>
  <si>
    <t>Įsigyta 10 m aukščio bokštelis, vnt.</t>
  </si>
  <si>
    <t>Futbolą lankančių asmenų skaičius</t>
  </si>
  <si>
    <t>Finansuota miesto futbolo komandų, dalyvaujančių Elitinėje jaunių lygoje, skaičius</t>
  </si>
  <si>
    <t xml:space="preserve">neįgaliųjų sporto </t>
  </si>
  <si>
    <t>Įdiegta informacinė sistema sportuojančių vaikų lankomumo apskaitai užtikrint, proc.</t>
  </si>
  <si>
    <t>Atliktas natūralios žolės stadiono minidrenažas (Sportininkų g. 46)</t>
  </si>
  <si>
    <t>Atlikti patalpų remonto darbai (Taikos pr. 61A), proc.</t>
  </si>
  <si>
    <t>Atlikti dirbtinės žolės dangos keitimo darbai (Sportininkų g. 46), proc.</t>
  </si>
  <si>
    <t>Atlikti vestibiulio, kabinetų remonto darbai (Dariaus ir Girėno g. 10), proc.</t>
  </si>
  <si>
    <t>Alikti lauko aikštyno remonto darbai (Dariaus ir Girėno g. 10), proc.</t>
  </si>
  <si>
    <t>Atliktas holo remontas (Sportininkų g. 46), proc.</t>
  </si>
  <si>
    <t xml:space="preserve">Įstaigų skaičius  </t>
  </si>
  <si>
    <t>Parengtas techninis projektas, vnt.</t>
  </si>
  <si>
    <t>Sporto ir laisvalaikio komplekso statyba (koncesijos procedūrų vykdymas)</t>
  </si>
  <si>
    <t>Pasirašyta koncesijos sutartis</t>
  </si>
  <si>
    <t>Atliktas dušinių remontas antrame aukšte (dvi patalpos), proc.</t>
  </si>
  <si>
    <t>BĮ Klaipėdos lengvosios atletikos mokyklos pastato (maniežo) renovacija</t>
  </si>
  <si>
    <t>Atliktas dviračių treko vidaus patalpų (dalinis) remontas (Kretingos g. 38), proc.</t>
  </si>
  <si>
    <t>Pastatyti biotuoaletai prie mokyklų stadionų, vnt.</t>
  </si>
  <si>
    <t>Įrengta praėjimo kontrolės sistema prie mokyklų stadionų, proc.</t>
  </si>
  <si>
    <t>Atliktas tualeto (viešojo) remontas (Sportininkų g. 46), proc.</t>
  </si>
  <si>
    <t>Atliktas dalinis vamzdynų remontas, proc.</t>
  </si>
  <si>
    <t>Atliktas dalinis sporto salės remontas antrame aukšte, proc.</t>
  </si>
  <si>
    <t>* Pagal Klaipėdos miesto savivaldybės tarybos 2020-10-29 sprendimą T2-231</t>
  </si>
  <si>
    <t>Atliekama stadionų ir aikščių dangos (dirbtinės ir žolės) priežiūra, proc.</t>
  </si>
  <si>
    <t xml:space="preserve">sportuojančio vaiko ugdymo </t>
  </si>
  <si>
    <t xml:space="preserve">futbolo sporto šakos su Elitine jaunių lyga </t>
  </si>
  <si>
    <t xml:space="preserve">tradicinių tarptautinių sporto renginių </t>
  </si>
  <si>
    <t xml:space="preserve">„Sportas visiems“ renginių </t>
  </si>
  <si>
    <t xml:space="preserve">miesto sporto šakų federacijų </t>
  </si>
  <si>
    <t>VšĮ Klaipėdos krašto buriavimo sporto mokyklos „Žiemys“ dalininko kapitalo didinimas</t>
  </si>
  <si>
    <t>Padidintas kapitalas, proc.</t>
  </si>
  <si>
    <t xml:space="preserve">Irklavimo bazės (Gluosnių skg. 8) sportinės įrangos ir inventoriaus įsigijimas </t>
  </si>
  <si>
    <t>Įsigyta krepšinio danga ir stovai, vnt.</t>
  </si>
  <si>
    <t>Įsigyta persirengimo konteinerių, vnt.</t>
  </si>
  <si>
    <t>VšĮ „Klaipėdos futbolo mokykla“ dalininkų kapitalo formavimas</t>
  </si>
  <si>
    <t>Suformuotas kapitalas, proc.</t>
  </si>
  <si>
    <t>Atlikta darbų,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</si>
</sst>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409]General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1"/>
      <name val="Calibri"/>
      <family val="2"/>
      <charset val="186"/>
      <scheme val="minor"/>
    </font>
    <font>
      <strike/>
      <sz val="10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</font>
    <font>
      <strike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9" fillId="0" borderId="0" applyBorder="0" applyProtection="0"/>
    <xf numFmtId="0" fontId="17" fillId="0" borderId="0"/>
  </cellStyleXfs>
  <cellXfs count="1196">
    <xf numFmtId="0" fontId="0" fillId="0" borderId="0" xfId="0"/>
    <xf numFmtId="49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49" fontId="2" fillId="3" borderId="27" xfId="0" applyNumberFormat="1" applyFont="1" applyFill="1" applyBorder="1" applyAlignment="1">
      <alignment horizontal="center" vertical="top"/>
    </xf>
    <xf numFmtId="49" fontId="2" fillId="3" borderId="36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49" fontId="1" fillId="3" borderId="36" xfId="0" applyNumberFormat="1" applyFont="1" applyFill="1" applyBorder="1" applyAlignment="1">
      <alignment horizontal="center" vertical="top"/>
    </xf>
    <xf numFmtId="3" fontId="1" fillId="5" borderId="43" xfId="0" applyNumberFormat="1" applyFont="1" applyFill="1" applyBorder="1" applyAlignment="1">
      <alignment vertical="top" wrapText="1"/>
    </xf>
    <xf numFmtId="49" fontId="2" fillId="3" borderId="27" xfId="0" applyNumberFormat="1" applyFont="1" applyFill="1" applyBorder="1" applyAlignment="1">
      <alignment horizontal="center" vertical="top" wrapText="1"/>
    </xf>
    <xf numFmtId="49" fontId="2" fillId="2" borderId="51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Alignment="1">
      <alignment vertical="top"/>
    </xf>
    <xf numFmtId="3" fontId="2" fillId="0" borderId="0" xfId="0" applyNumberFormat="1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left" vertical="center" wrapText="1"/>
    </xf>
    <xf numFmtId="3" fontId="2" fillId="3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/>
    <xf numFmtId="49" fontId="1" fillId="3" borderId="38" xfId="0" applyNumberFormat="1" applyFont="1" applyFill="1" applyBorder="1" applyAlignment="1">
      <alignment horizontal="center" vertical="top" wrapText="1"/>
    </xf>
    <xf numFmtId="3" fontId="2" fillId="4" borderId="32" xfId="0" applyNumberFormat="1" applyFont="1" applyFill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justify"/>
    </xf>
    <xf numFmtId="49" fontId="2" fillId="0" borderId="29" xfId="0" applyNumberFormat="1" applyFont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textRotation="90" wrapText="1"/>
    </xf>
    <xf numFmtId="3" fontId="1" fillId="0" borderId="26" xfId="0" applyNumberFormat="1" applyFont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/>
    </xf>
    <xf numFmtId="3" fontId="2" fillId="0" borderId="44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vertical="top"/>
    </xf>
    <xf numFmtId="3" fontId="1" fillId="5" borderId="26" xfId="0" applyNumberFormat="1" applyFont="1" applyFill="1" applyBorder="1" applyAlignment="1">
      <alignment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6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3" fontId="2" fillId="5" borderId="6" xfId="0" applyNumberFormat="1" applyFont="1" applyFill="1" applyBorder="1" applyAlignment="1">
      <alignment horizontal="left" vertical="top" wrapText="1"/>
    </xf>
    <xf numFmtId="3" fontId="1" fillId="0" borderId="17" xfId="0" applyNumberFormat="1" applyFont="1" applyFill="1" applyBorder="1" applyAlignment="1">
      <alignment vertical="top" wrapText="1"/>
    </xf>
    <xf numFmtId="3" fontId="1" fillId="0" borderId="26" xfId="0" applyNumberFormat="1" applyFont="1" applyFill="1" applyBorder="1" applyAlignment="1">
      <alignment vertical="center" textRotation="90" wrapText="1"/>
    </xf>
    <xf numFmtId="3" fontId="1" fillId="5" borderId="34" xfId="0" applyNumberFormat="1" applyFont="1" applyFill="1" applyBorder="1" applyAlignment="1">
      <alignment vertical="top" wrapText="1"/>
    </xf>
    <xf numFmtId="3" fontId="1" fillId="0" borderId="12" xfId="0" applyNumberFormat="1" applyFont="1" applyFill="1" applyBorder="1" applyAlignment="1">
      <alignment vertical="top" wrapText="1"/>
    </xf>
    <xf numFmtId="3" fontId="1" fillId="0" borderId="28" xfId="0" applyNumberFormat="1" applyFont="1" applyFill="1" applyBorder="1" applyAlignment="1">
      <alignment horizontal="center" vertical="top"/>
    </xf>
    <xf numFmtId="3" fontId="2" fillId="4" borderId="35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49" fontId="2" fillId="9" borderId="19" xfId="0" applyNumberFormat="1" applyFont="1" applyFill="1" applyBorder="1" applyAlignment="1">
      <alignment horizontal="center" vertical="top"/>
    </xf>
    <xf numFmtId="49" fontId="2" fillId="9" borderId="30" xfId="0" applyNumberFormat="1" applyFont="1" applyFill="1" applyBorder="1" applyAlignment="1">
      <alignment vertical="top"/>
    </xf>
    <xf numFmtId="49" fontId="2" fillId="9" borderId="44" xfId="0" applyNumberFormat="1" applyFont="1" applyFill="1" applyBorder="1" applyAlignment="1">
      <alignment vertical="top"/>
    </xf>
    <xf numFmtId="49" fontId="1" fillId="9" borderId="44" xfId="0" applyNumberFormat="1" applyFont="1" applyFill="1" applyBorder="1" applyAlignment="1">
      <alignment vertical="top"/>
    </xf>
    <xf numFmtId="49" fontId="2" fillId="9" borderId="18" xfId="0" applyNumberFormat="1" applyFont="1" applyFill="1" applyBorder="1" applyAlignment="1">
      <alignment vertical="top"/>
    </xf>
    <xf numFmtId="49" fontId="2" fillId="9" borderId="28" xfId="0" applyNumberFormat="1" applyFont="1" applyFill="1" applyBorder="1" applyAlignment="1">
      <alignment vertical="top"/>
    </xf>
    <xf numFmtId="49" fontId="2" fillId="9" borderId="26" xfId="0" applyNumberFormat="1" applyFont="1" applyFill="1" applyBorder="1" applyAlignment="1">
      <alignment vertical="top"/>
    </xf>
    <xf numFmtId="49" fontId="2" fillId="9" borderId="32" xfId="0" applyNumberFormat="1" applyFont="1" applyFill="1" applyBorder="1" applyAlignment="1">
      <alignment vertical="top"/>
    </xf>
    <xf numFmtId="49" fontId="2" fillId="9" borderId="19" xfId="0" applyNumberFormat="1" applyFont="1" applyFill="1" applyBorder="1" applyAlignment="1">
      <alignment horizontal="center" vertical="top" wrapText="1"/>
    </xf>
    <xf numFmtId="49" fontId="2" fillId="9" borderId="28" xfId="0" applyNumberFormat="1" applyFont="1" applyFill="1" applyBorder="1" applyAlignment="1">
      <alignment vertical="top" wrapText="1"/>
    </xf>
    <xf numFmtId="49" fontId="2" fillId="9" borderId="26" xfId="0" applyNumberFormat="1" applyFont="1" applyFill="1" applyBorder="1" applyAlignment="1">
      <alignment vertical="top" wrapText="1"/>
    </xf>
    <xf numFmtId="49" fontId="1" fillId="9" borderId="32" xfId="0" applyNumberFormat="1" applyFont="1" applyFill="1" applyBorder="1" applyAlignment="1">
      <alignment vertical="top" wrapText="1"/>
    </xf>
    <xf numFmtId="49" fontId="2" fillId="9" borderId="25" xfId="0" applyNumberFormat="1" applyFont="1" applyFill="1" applyBorder="1" applyAlignment="1">
      <alignment horizontal="center" vertical="top"/>
    </xf>
    <xf numFmtId="3" fontId="2" fillId="9" borderId="19" xfId="0" applyNumberFormat="1" applyFont="1" applyFill="1" applyBorder="1" applyAlignment="1">
      <alignment horizontal="left" vertical="top"/>
    </xf>
    <xf numFmtId="49" fontId="2" fillId="7" borderId="19" xfId="0" applyNumberFormat="1" applyFont="1" applyFill="1" applyBorder="1" applyAlignment="1">
      <alignment vertical="top"/>
    </xf>
    <xf numFmtId="3" fontId="2" fillId="7" borderId="32" xfId="0" applyNumberFormat="1" applyFont="1" applyFill="1" applyBorder="1" applyAlignment="1">
      <alignment horizontal="left" vertical="top"/>
    </xf>
    <xf numFmtId="3" fontId="2" fillId="3" borderId="0" xfId="0" applyNumberFormat="1" applyFont="1" applyFill="1" applyBorder="1" applyAlignment="1">
      <alignment horizontal="center" vertical="top" wrapText="1"/>
    </xf>
    <xf numFmtId="3" fontId="2" fillId="3" borderId="0" xfId="0" applyNumberFormat="1" applyFont="1" applyFill="1" applyBorder="1" applyAlignment="1">
      <alignment horizontal="center" vertical="center" wrapText="1"/>
    </xf>
    <xf numFmtId="3" fontId="2" fillId="0" borderId="41" xfId="0" applyNumberFormat="1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top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vertical="center" textRotation="90" wrapText="1"/>
    </xf>
    <xf numFmtId="3" fontId="1" fillId="0" borderId="34" xfId="0" applyNumberFormat="1" applyFont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left" vertical="top" wrapText="1"/>
    </xf>
    <xf numFmtId="3" fontId="5" fillId="0" borderId="3" xfId="0" applyNumberFormat="1" applyFont="1" applyFill="1" applyBorder="1" applyAlignment="1">
      <alignment vertical="center" textRotation="90" wrapText="1"/>
    </xf>
    <xf numFmtId="0" fontId="5" fillId="0" borderId="0" xfId="0" applyFont="1" applyAlignment="1">
      <alignment vertical="center" textRotation="90"/>
    </xf>
    <xf numFmtId="3" fontId="5" fillId="0" borderId="0" xfId="0" applyNumberFormat="1" applyFont="1" applyAlignment="1">
      <alignment horizontal="center" vertical="top" textRotation="90"/>
    </xf>
    <xf numFmtId="3" fontId="5" fillId="0" borderId="4" xfId="0" applyNumberFormat="1" applyFont="1" applyFill="1" applyBorder="1" applyAlignment="1">
      <alignment vertical="top" textRotation="90" wrapText="1"/>
    </xf>
    <xf numFmtId="3" fontId="5" fillId="0" borderId="11" xfId="0" applyNumberFormat="1" applyFont="1" applyFill="1" applyBorder="1" applyAlignment="1">
      <alignment vertical="top" textRotation="90" wrapText="1"/>
    </xf>
    <xf numFmtId="3" fontId="5" fillId="0" borderId="10" xfId="0" applyNumberFormat="1" applyFont="1" applyFill="1" applyBorder="1" applyAlignment="1">
      <alignment vertical="top" textRotation="90" wrapText="1"/>
    </xf>
    <xf numFmtId="3" fontId="5" fillId="0" borderId="4" xfId="0" applyNumberFormat="1" applyFont="1" applyBorder="1" applyAlignment="1">
      <alignment vertical="top" textRotation="90"/>
    </xf>
    <xf numFmtId="3" fontId="5" fillId="0" borderId="11" xfId="0" applyNumberFormat="1" applyFont="1" applyBorder="1" applyAlignment="1">
      <alignment vertical="top" textRotation="90"/>
    </xf>
    <xf numFmtId="49" fontId="5" fillId="0" borderId="11" xfId="0" applyNumberFormat="1" applyFont="1" applyBorder="1" applyAlignment="1">
      <alignment vertical="top" textRotation="90"/>
    </xf>
    <xf numFmtId="164" fontId="1" fillId="5" borderId="28" xfId="0" applyNumberFormat="1" applyFont="1" applyFill="1" applyBorder="1" applyAlignment="1">
      <alignment horizontal="center" vertical="top"/>
    </xf>
    <xf numFmtId="164" fontId="2" fillId="4" borderId="35" xfId="0" applyNumberFormat="1" applyFont="1" applyFill="1" applyBorder="1" applyAlignment="1">
      <alignment horizontal="center" vertical="top" wrapText="1"/>
    </xf>
    <xf numFmtId="164" fontId="1" fillId="5" borderId="34" xfId="0" applyNumberFormat="1" applyFont="1" applyFill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/>
    </xf>
    <xf numFmtId="3" fontId="1" fillId="0" borderId="28" xfId="0" applyNumberFormat="1" applyFont="1" applyBorder="1"/>
    <xf numFmtId="3" fontId="1" fillId="0" borderId="26" xfId="0" applyNumberFormat="1" applyFont="1" applyBorder="1"/>
    <xf numFmtId="3" fontId="1" fillId="0" borderId="6" xfId="0" applyNumberFormat="1" applyFont="1" applyFill="1" applyBorder="1" applyAlignment="1">
      <alignment horizontal="left" vertical="top" wrapText="1"/>
    </xf>
    <xf numFmtId="49" fontId="1" fillId="0" borderId="27" xfId="0" applyNumberFormat="1" applyFont="1" applyBorder="1" applyAlignment="1">
      <alignment horizontal="center" vertical="center" textRotation="90" wrapText="1"/>
    </xf>
    <xf numFmtId="49" fontId="1" fillId="0" borderId="36" xfId="0" applyNumberFormat="1" applyFont="1" applyBorder="1" applyAlignment="1">
      <alignment horizontal="center" vertical="center" textRotation="90" wrapText="1"/>
    </xf>
    <xf numFmtId="164" fontId="1" fillId="5" borderId="0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/>
    </xf>
    <xf numFmtId="49" fontId="5" fillId="0" borderId="48" xfId="0" applyNumberFormat="1" applyFont="1" applyBorder="1" applyAlignment="1">
      <alignment vertical="top" textRotation="90"/>
    </xf>
    <xf numFmtId="49" fontId="5" fillId="0" borderId="55" xfId="0" applyNumberFormat="1" applyFont="1" applyBorder="1" applyAlignment="1">
      <alignment vertical="top" textRotation="90"/>
    </xf>
    <xf numFmtId="164" fontId="2" fillId="4" borderId="14" xfId="0" applyNumberFormat="1" applyFont="1" applyFill="1" applyBorder="1" applyAlignment="1">
      <alignment horizontal="center" vertical="top"/>
    </xf>
    <xf numFmtId="3" fontId="1" fillId="5" borderId="39" xfId="0" applyNumberFormat="1" applyFont="1" applyFill="1" applyBorder="1" applyAlignment="1">
      <alignment horizontal="center" vertical="top" wrapText="1"/>
    </xf>
    <xf numFmtId="3" fontId="5" fillId="0" borderId="48" xfId="0" applyNumberFormat="1" applyFont="1" applyFill="1" applyBorder="1" applyAlignment="1">
      <alignment vertical="top" textRotation="90" wrapText="1"/>
    </xf>
    <xf numFmtId="49" fontId="1" fillId="3" borderId="31" xfId="0" applyNumberFormat="1" applyFont="1" applyFill="1" applyBorder="1" applyAlignment="1">
      <alignment horizontal="center" vertical="top" wrapText="1"/>
    </xf>
    <xf numFmtId="3" fontId="1" fillId="5" borderId="52" xfId="0" applyNumberFormat="1" applyFont="1" applyFill="1" applyBorder="1" applyAlignment="1">
      <alignment horizontal="left" vertical="top" wrapText="1"/>
    </xf>
    <xf numFmtId="3" fontId="1" fillId="5" borderId="53" xfId="0" applyNumberFormat="1" applyFont="1" applyFill="1" applyBorder="1" applyAlignment="1">
      <alignment horizontal="left" vertical="top" wrapText="1"/>
    </xf>
    <xf numFmtId="49" fontId="2" fillId="5" borderId="36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center" vertical="top"/>
    </xf>
    <xf numFmtId="3" fontId="2" fillId="5" borderId="63" xfId="0" applyNumberFormat="1" applyFont="1" applyFill="1" applyBorder="1" applyAlignment="1">
      <alignment horizontal="center" vertical="top" wrapText="1"/>
    </xf>
    <xf numFmtId="164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justify"/>
    </xf>
    <xf numFmtId="3" fontId="1" fillId="0" borderId="6" xfId="0" applyNumberFormat="1" applyFont="1" applyBorder="1" applyAlignment="1">
      <alignment horizontal="center" vertical="top"/>
    </xf>
    <xf numFmtId="3" fontId="1" fillId="5" borderId="28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center" textRotation="90" wrapText="1"/>
    </xf>
    <xf numFmtId="3" fontId="1" fillId="0" borderId="16" xfId="0" applyNumberFormat="1" applyFont="1" applyFill="1" applyBorder="1" applyAlignment="1">
      <alignment vertical="top" textRotation="90" wrapText="1"/>
    </xf>
    <xf numFmtId="3" fontId="2" fillId="0" borderId="38" xfId="0" applyNumberFormat="1" applyFont="1" applyFill="1" applyBorder="1" applyAlignment="1">
      <alignment vertical="top" wrapText="1"/>
    </xf>
    <xf numFmtId="3" fontId="1" fillId="5" borderId="32" xfId="0" applyNumberFormat="1" applyFont="1" applyFill="1" applyBorder="1" applyAlignment="1">
      <alignment vertical="top" wrapText="1"/>
    </xf>
    <xf numFmtId="49" fontId="2" fillId="5" borderId="63" xfId="0" applyNumberFormat="1" applyFont="1" applyFill="1" applyBorder="1" applyAlignment="1">
      <alignment horizontal="center" vertical="top"/>
    </xf>
    <xf numFmtId="49" fontId="2" fillId="5" borderId="62" xfId="0" applyNumberFormat="1" applyFont="1" applyFill="1" applyBorder="1" applyAlignment="1">
      <alignment horizontal="center" vertical="top"/>
    </xf>
    <xf numFmtId="49" fontId="11" fillId="0" borderId="28" xfId="0" applyNumberFormat="1" applyFont="1" applyBorder="1" applyAlignment="1">
      <alignment horizontal="center" vertical="top" wrapText="1"/>
    </xf>
    <xf numFmtId="49" fontId="11" fillId="0" borderId="26" xfId="0" applyNumberFormat="1" applyFont="1" applyBorder="1" applyAlignment="1">
      <alignment horizontal="center" vertical="top" wrapText="1"/>
    </xf>
    <xf numFmtId="164" fontId="1" fillId="5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/>
    <xf numFmtId="3" fontId="1" fillId="0" borderId="53" xfId="0" applyNumberFormat="1" applyFont="1" applyBorder="1" applyAlignment="1">
      <alignment horizontal="center" vertical="top"/>
    </xf>
    <xf numFmtId="3" fontId="1" fillId="5" borderId="0" xfId="0" applyNumberFormat="1" applyFont="1" applyFill="1"/>
    <xf numFmtId="49" fontId="2" fillId="2" borderId="4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vertical="top"/>
    </xf>
    <xf numFmtId="49" fontId="2" fillId="2" borderId="16" xfId="0" applyNumberFormat="1" applyFont="1" applyFill="1" applyBorder="1" applyAlignment="1">
      <alignment vertical="top"/>
    </xf>
    <xf numFmtId="49" fontId="2" fillId="3" borderId="29" xfId="0" applyNumberFormat="1" applyFont="1" applyFill="1" applyBorder="1" applyAlignment="1">
      <alignment vertical="top"/>
    </xf>
    <xf numFmtId="49" fontId="2" fillId="3" borderId="0" xfId="0" applyNumberFormat="1" applyFont="1" applyFill="1" applyBorder="1" applyAlignment="1">
      <alignment vertical="top"/>
    </xf>
    <xf numFmtId="49" fontId="2" fillId="3" borderId="1" xfId="0" applyNumberFormat="1" applyFont="1" applyFill="1" applyBorder="1" applyAlignment="1">
      <alignment vertical="top"/>
    </xf>
    <xf numFmtId="3" fontId="2" fillId="4" borderId="70" xfId="0" applyNumberFormat="1" applyFont="1" applyFill="1" applyBorder="1" applyAlignment="1">
      <alignment horizontal="right" vertical="top"/>
    </xf>
    <xf numFmtId="3" fontId="2" fillId="0" borderId="64" xfId="0" applyNumberFormat="1" applyFont="1" applyFill="1" applyBorder="1" applyAlignment="1">
      <alignment horizontal="center" vertical="top" wrapText="1"/>
    </xf>
    <xf numFmtId="3" fontId="2" fillId="0" borderId="63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Fill="1" applyBorder="1" applyAlignment="1">
      <alignment vertical="top" wrapText="1"/>
    </xf>
    <xf numFmtId="3" fontId="1" fillId="5" borderId="53" xfId="0" applyNumberFormat="1" applyFont="1" applyFill="1" applyBorder="1" applyAlignment="1">
      <alignment vertical="top" wrapText="1"/>
    </xf>
    <xf numFmtId="0" fontId="1" fillId="5" borderId="53" xfId="0" applyNumberFormat="1" applyFont="1" applyFill="1" applyBorder="1" applyAlignment="1">
      <alignment vertical="top" wrapText="1"/>
    </xf>
    <xf numFmtId="3" fontId="1" fillId="0" borderId="32" xfId="0" applyNumberFormat="1" applyFont="1" applyFill="1" applyBorder="1" applyAlignment="1">
      <alignment vertical="top" wrapText="1"/>
    </xf>
    <xf numFmtId="3" fontId="1" fillId="0" borderId="28" xfId="0" applyNumberFormat="1" applyFont="1" applyFill="1" applyBorder="1" applyAlignment="1">
      <alignment vertical="top" wrapText="1"/>
    </xf>
    <xf numFmtId="49" fontId="2" fillId="2" borderId="36" xfId="0" applyNumberFormat="1" applyFont="1" applyFill="1" applyBorder="1" applyAlignment="1">
      <alignment horizontal="center" vertical="top"/>
    </xf>
    <xf numFmtId="49" fontId="2" fillId="9" borderId="9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textRotation="90"/>
    </xf>
    <xf numFmtId="3" fontId="1" fillId="0" borderId="0" xfId="0" applyNumberFormat="1" applyFont="1" applyAlignment="1">
      <alignment horizontal="center" vertical="top" textRotation="90"/>
    </xf>
    <xf numFmtId="3" fontId="2" fillId="0" borderId="26" xfId="0" applyNumberFormat="1" applyFont="1" applyFill="1" applyBorder="1" applyAlignment="1">
      <alignment vertical="top" textRotation="90" wrapText="1"/>
    </xf>
    <xf numFmtId="3" fontId="2" fillId="0" borderId="44" xfId="0" applyNumberFormat="1" applyFont="1" applyFill="1" applyBorder="1" applyAlignment="1">
      <alignment vertical="top" textRotation="90" wrapText="1"/>
    </xf>
    <xf numFmtId="3" fontId="2" fillId="0" borderId="32" xfId="0" applyNumberFormat="1" applyFont="1" applyFill="1" applyBorder="1" applyAlignment="1">
      <alignment vertical="top" textRotation="90" wrapText="1"/>
    </xf>
    <xf numFmtId="3" fontId="2" fillId="5" borderId="29" xfId="0" applyNumberFormat="1" applyFont="1" applyFill="1" applyBorder="1" applyAlignment="1">
      <alignment horizontal="center" vertical="top" textRotation="90"/>
    </xf>
    <xf numFmtId="3" fontId="2" fillId="5" borderId="23" xfId="0" applyNumberFormat="1" applyFont="1" applyFill="1" applyBorder="1" applyAlignment="1">
      <alignment horizontal="center" vertical="center" textRotation="90"/>
    </xf>
    <xf numFmtId="49" fontId="2" fillId="0" borderId="22" xfId="0" applyNumberFormat="1" applyFont="1" applyBorder="1" applyAlignment="1">
      <alignment vertical="top" textRotation="90"/>
    </xf>
    <xf numFmtId="3" fontId="2" fillId="0" borderId="0" xfId="0" applyNumberFormat="1" applyFont="1" applyFill="1" applyBorder="1" applyAlignment="1">
      <alignment horizontal="center" vertical="top" wrapText="1"/>
    </xf>
    <xf numFmtId="3" fontId="2" fillId="5" borderId="36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/>
    </xf>
    <xf numFmtId="3" fontId="1" fillId="5" borderId="28" xfId="0" applyNumberFormat="1" applyFont="1" applyFill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 wrapText="1"/>
    </xf>
    <xf numFmtId="164" fontId="1" fillId="5" borderId="5" xfId="0" applyNumberFormat="1" applyFont="1" applyFill="1" applyBorder="1" applyAlignment="1">
      <alignment horizontal="center" vertical="top"/>
    </xf>
    <xf numFmtId="164" fontId="2" fillId="4" borderId="70" xfId="0" applyNumberFormat="1" applyFont="1" applyFill="1" applyBorder="1" applyAlignment="1">
      <alignment horizontal="center" vertical="top"/>
    </xf>
    <xf numFmtId="164" fontId="1" fillId="5" borderId="5" xfId="0" applyNumberFormat="1" applyFont="1" applyFill="1" applyBorder="1" applyAlignment="1">
      <alignment horizontal="center" vertical="top" wrapText="1"/>
    </xf>
    <xf numFmtId="164" fontId="1" fillId="5" borderId="73" xfId="0" applyNumberFormat="1" applyFont="1" applyFill="1" applyBorder="1" applyAlignment="1">
      <alignment horizontal="center" vertical="top" wrapText="1"/>
    </xf>
    <xf numFmtId="164" fontId="2" fillId="4" borderId="12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5" borderId="73" xfId="0" applyNumberFormat="1" applyFont="1" applyFill="1" applyBorder="1" applyAlignment="1">
      <alignment horizontal="center" vertical="top"/>
    </xf>
    <xf numFmtId="3" fontId="1" fillId="5" borderId="12" xfId="0" applyNumberFormat="1" applyFont="1" applyFill="1" applyBorder="1" applyAlignment="1">
      <alignment horizontal="center" vertical="top"/>
    </xf>
    <xf numFmtId="3" fontId="1" fillId="5" borderId="46" xfId="0" applyNumberFormat="1" applyFont="1" applyFill="1" applyBorder="1" applyAlignment="1">
      <alignment horizontal="center" vertical="top"/>
    </xf>
    <xf numFmtId="3" fontId="1" fillId="0" borderId="46" xfId="0" applyNumberFormat="1" applyFont="1" applyBorder="1" applyAlignment="1">
      <alignment horizontal="center" vertical="top"/>
    </xf>
    <xf numFmtId="3" fontId="1" fillId="0" borderId="12" xfId="0" applyNumberFormat="1" applyFont="1" applyBorder="1" applyAlignment="1">
      <alignment horizontal="center" vertical="top"/>
    </xf>
    <xf numFmtId="3" fontId="1" fillId="5" borderId="43" xfId="0" applyNumberFormat="1" applyFont="1" applyFill="1" applyBorder="1" applyAlignment="1">
      <alignment horizontal="center" vertical="top"/>
    </xf>
    <xf numFmtId="3" fontId="1" fillId="5" borderId="50" xfId="0" applyNumberFormat="1" applyFont="1" applyFill="1" applyBorder="1" applyAlignment="1">
      <alignment horizontal="center" vertical="top"/>
    </xf>
    <xf numFmtId="3" fontId="2" fillId="5" borderId="0" xfId="0" applyNumberFormat="1" applyFont="1" applyFill="1" applyBorder="1" applyAlignment="1">
      <alignment horizontal="left" vertical="top"/>
    </xf>
    <xf numFmtId="3" fontId="2" fillId="5" borderId="0" xfId="0" applyNumberFormat="1" applyFont="1" applyFill="1" applyBorder="1" applyAlignment="1">
      <alignment horizontal="center" vertical="top"/>
    </xf>
    <xf numFmtId="49" fontId="1" fillId="5" borderId="0" xfId="0" applyNumberFormat="1" applyFont="1" applyFill="1" applyBorder="1" applyAlignment="1">
      <alignment vertical="top"/>
    </xf>
    <xf numFmtId="3" fontId="1" fillId="0" borderId="39" xfId="0" applyNumberFormat="1" applyFont="1" applyBorder="1" applyAlignment="1">
      <alignment horizontal="center" vertical="center" textRotation="90"/>
    </xf>
    <xf numFmtId="164" fontId="1" fillId="5" borderId="69" xfId="0" applyNumberFormat="1" applyFont="1" applyFill="1" applyBorder="1" applyAlignment="1">
      <alignment horizontal="center" vertical="top"/>
    </xf>
    <xf numFmtId="164" fontId="1" fillId="5" borderId="46" xfId="0" applyNumberFormat="1" applyFont="1" applyFill="1" applyBorder="1" applyAlignment="1">
      <alignment horizontal="center" vertical="top"/>
    </xf>
    <xf numFmtId="3" fontId="1" fillId="3" borderId="46" xfId="0" applyNumberFormat="1" applyFont="1" applyFill="1" applyBorder="1" applyAlignment="1">
      <alignment horizontal="center" vertical="top" wrapText="1"/>
    </xf>
    <xf numFmtId="3" fontId="2" fillId="4" borderId="70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vertical="top" textRotation="90" wrapText="1"/>
    </xf>
    <xf numFmtId="3" fontId="2" fillId="0" borderId="12" xfId="0" applyNumberFormat="1" applyFont="1" applyFill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164" fontId="2" fillId="2" borderId="71" xfId="0" applyNumberFormat="1" applyFont="1" applyFill="1" applyBorder="1" applyAlignment="1">
      <alignment horizontal="center" vertical="top"/>
    </xf>
    <xf numFmtId="164" fontId="1" fillId="0" borderId="50" xfId="0" applyNumberFormat="1" applyFont="1" applyBorder="1" applyAlignment="1">
      <alignment horizontal="center" vertical="top"/>
    </xf>
    <xf numFmtId="3" fontId="2" fillId="0" borderId="28" xfId="0" applyNumberFormat="1" applyFont="1" applyFill="1" applyBorder="1" applyAlignment="1">
      <alignment textRotation="90"/>
    </xf>
    <xf numFmtId="3" fontId="5" fillId="0" borderId="4" xfId="0" applyNumberFormat="1" applyFont="1" applyFill="1" applyBorder="1" applyAlignment="1">
      <alignment textRotation="90"/>
    </xf>
    <xf numFmtId="3" fontId="2" fillId="0" borderId="26" xfId="0" applyNumberFormat="1" applyFont="1" applyFill="1" applyBorder="1" applyAlignment="1">
      <alignment textRotation="90"/>
    </xf>
    <xf numFmtId="3" fontId="5" fillId="0" borderId="11" xfId="0" applyNumberFormat="1" applyFont="1" applyFill="1" applyBorder="1" applyAlignment="1">
      <alignment textRotation="90"/>
    </xf>
    <xf numFmtId="3" fontId="5" fillId="0" borderId="48" xfId="0" applyNumberFormat="1" applyFont="1" applyFill="1" applyBorder="1" applyAlignment="1">
      <alignment horizontal="center" vertical="center" textRotation="90"/>
    </xf>
    <xf numFmtId="3" fontId="5" fillId="0" borderId="10" xfId="0" applyNumberFormat="1" applyFont="1" applyFill="1" applyBorder="1" applyAlignment="1">
      <alignment textRotation="90"/>
    </xf>
    <xf numFmtId="3" fontId="5" fillId="0" borderId="48" xfId="0" applyNumberFormat="1" applyFont="1" applyFill="1" applyBorder="1" applyAlignment="1">
      <alignment textRotation="90"/>
    </xf>
    <xf numFmtId="3" fontId="2" fillId="0" borderId="26" xfId="0" applyNumberFormat="1" applyFont="1" applyFill="1" applyBorder="1" applyAlignment="1">
      <alignment horizontal="center" textRotation="90"/>
    </xf>
    <xf numFmtId="3" fontId="5" fillId="0" borderId="48" xfId="0" applyNumberFormat="1" applyFont="1" applyFill="1" applyBorder="1" applyAlignment="1">
      <alignment horizontal="center" textRotation="90"/>
    </xf>
    <xf numFmtId="3" fontId="5" fillId="0" borderId="11" xfId="0" applyNumberFormat="1" applyFont="1" applyFill="1" applyBorder="1" applyAlignment="1">
      <alignment horizontal="center" textRotation="90"/>
    </xf>
    <xf numFmtId="3" fontId="2" fillId="0" borderId="32" xfId="0" applyNumberFormat="1" applyFont="1" applyFill="1" applyBorder="1" applyAlignment="1">
      <alignment horizontal="center" vertical="center" textRotation="90"/>
    </xf>
    <xf numFmtId="3" fontId="5" fillId="0" borderId="29" xfId="0" applyNumberFormat="1" applyFont="1" applyFill="1" applyBorder="1" applyAlignment="1">
      <alignment horizontal="center" vertical="top" textRotation="90"/>
    </xf>
    <xf numFmtId="3" fontId="1" fillId="5" borderId="0" xfId="0" applyNumberFormat="1" applyFont="1" applyFill="1" applyBorder="1"/>
    <xf numFmtId="3" fontId="5" fillId="5" borderId="69" xfId="0" applyNumberFormat="1" applyFont="1" applyFill="1" applyBorder="1" applyAlignment="1">
      <alignment horizontal="center" vertical="center" textRotation="90" wrapText="1"/>
    </xf>
    <xf numFmtId="3" fontId="2" fillId="0" borderId="30" xfId="0" applyNumberFormat="1" applyFont="1" applyFill="1" applyBorder="1" applyAlignment="1">
      <alignment horizontal="center" vertical="top" textRotation="90"/>
    </xf>
    <xf numFmtId="3" fontId="2" fillId="0" borderId="40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 textRotation="90"/>
    </xf>
    <xf numFmtId="3" fontId="2" fillId="5" borderId="29" xfId="0" applyNumberFormat="1" applyFont="1" applyFill="1" applyBorder="1" applyAlignment="1">
      <alignment horizontal="right" vertical="top"/>
    </xf>
    <xf numFmtId="164" fontId="2" fillId="5" borderId="29" xfId="0" applyNumberFormat="1" applyFont="1" applyFill="1" applyBorder="1" applyAlignment="1">
      <alignment horizontal="center" vertical="top"/>
    </xf>
    <xf numFmtId="164" fontId="2" fillId="7" borderId="43" xfId="0" applyNumberFormat="1" applyFont="1" applyFill="1" applyBorder="1" applyAlignment="1">
      <alignment horizontal="center" vertical="top" wrapText="1"/>
    </xf>
    <xf numFmtId="164" fontId="2" fillId="7" borderId="43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textRotation="90"/>
    </xf>
    <xf numFmtId="0" fontId="5" fillId="0" borderId="0" xfId="0" applyFont="1" applyAlignment="1">
      <alignment textRotation="90"/>
    </xf>
    <xf numFmtId="164" fontId="1" fillId="5" borderId="43" xfId="0" applyNumberFormat="1" applyFont="1" applyFill="1" applyBorder="1" applyAlignment="1">
      <alignment horizontal="center" vertical="top"/>
    </xf>
    <xf numFmtId="0" fontId="1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3" fontId="2" fillId="5" borderId="0" xfId="0" applyNumberFormat="1" applyFont="1" applyFill="1" applyBorder="1" applyAlignment="1">
      <alignment horizontal="center" vertical="top" wrapText="1"/>
    </xf>
    <xf numFmtId="49" fontId="1" fillId="0" borderId="37" xfId="0" applyNumberFormat="1" applyFont="1" applyBorder="1" applyAlignment="1">
      <alignment vertical="top"/>
    </xf>
    <xf numFmtId="49" fontId="2" fillId="0" borderId="13" xfId="0" applyNumberFormat="1" applyFont="1" applyBorder="1" applyAlignment="1">
      <alignment vertical="top" textRotation="90"/>
    </xf>
    <xf numFmtId="49" fontId="2" fillId="0" borderId="47" xfId="0" applyNumberFormat="1" applyFont="1" applyBorder="1" applyAlignment="1">
      <alignment vertical="top" textRotation="90"/>
    </xf>
    <xf numFmtId="3" fontId="1" fillId="0" borderId="8" xfId="0" applyNumberFormat="1" applyFont="1" applyBorder="1" applyAlignment="1">
      <alignment horizontal="center" vertical="top"/>
    </xf>
    <xf numFmtId="3" fontId="1" fillId="5" borderId="24" xfId="0" applyNumberFormat="1" applyFont="1" applyFill="1" applyBorder="1" applyAlignment="1">
      <alignment horizontal="center" vertical="top"/>
    </xf>
    <xf numFmtId="3" fontId="1" fillId="5" borderId="54" xfId="0" applyNumberFormat="1" applyFont="1" applyFill="1" applyBorder="1" applyAlignment="1">
      <alignment horizontal="center" vertical="top"/>
    </xf>
    <xf numFmtId="3" fontId="2" fillId="4" borderId="15" xfId="0" applyNumberFormat="1" applyFont="1" applyFill="1" applyBorder="1" applyAlignment="1">
      <alignment horizontal="center" vertical="top"/>
    </xf>
    <xf numFmtId="3" fontId="2" fillId="4" borderId="24" xfId="0" applyNumberFormat="1" applyFont="1" applyFill="1" applyBorder="1" applyAlignment="1">
      <alignment horizontal="center" vertical="top"/>
    </xf>
    <xf numFmtId="3" fontId="2" fillId="0" borderId="5" xfId="0" applyNumberFormat="1" applyFont="1" applyFill="1" applyBorder="1" applyAlignment="1">
      <alignment horizontal="center" vertical="top" wrapText="1"/>
    </xf>
    <xf numFmtId="3" fontId="5" fillId="5" borderId="66" xfId="0" applyNumberFormat="1" applyFont="1" applyFill="1" applyBorder="1" applyAlignment="1">
      <alignment horizontal="center" vertical="center" textRotation="90" wrapText="1"/>
    </xf>
    <xf numFmtId="164" fontId="2" fillId="9" borderId="19" xfId="0" applyNumberFormat="1" applyFont="1" applyFill="1" applyBorder="1" applyAlignment="1">
      <alignment horizontal="center" vertical="top"/>
    </xf>
    <xf numFmtId="164" fontId="2" fillId="7" borderId="32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vertical="center" textRotation="90" wrapText="1"/>
    </xf>
    <xf numFmtId="3" fontId="5" fillId="0" borderId="16" xfId="0" applyNumberFormat="1" applyFont="1" applyFill="1" applyBorder="1" applyAlignment="1">
      <alignment vertical="top" textRotation="90" wrapText="1"/>
    </xf>
    <xf numFmtId="3" fontId="2" fillId="0" borderId="39" xfId="0" applyNumberFormat="1" applyFont="1" applyFill="1" applyBorder="1" applyAlignment="1">
      <alignment vertical="top" wrapText="1"/>
    </xf>
    <xf numFmtId="164" fontId="1" fillId="3" borderId="72" xfId="0" applyNumberFormat="1" applyFont="1" applyFill="1" applyBorder="1" applyAlignment="1">
      <alignment horizontal="center" vertical="top" wrapText="1"/>
    </xf>
    <xf numFmtId="164" fontId="2" fillId="4" borderId="66" xfId="0" applyNumberFormat="1" applyFont="1" applyFill="1" applyBorder="1" applyAlignment="1">
      <alignment horizontal="center" vertical="top"/>
    </xf>
    <xf numFmtId="164" fontId="1" fillId="5" borderId="50" xfId="0" applyNumberFormat="1" applyFont="1" applyFill="1" applyBorder="1" applyAlignment="1">
      <alignment horizontal="center" vertical="top"/>
    </xf>
    <xf numFmtId="164" fontId="1" fillId="5" borderId="12" xfId="0" applyNumberFormat="1" applyFont="1" applyFill="1" applyBorder="1" applyAlignment="1">
      <alignment horizontal="center" vertical="top"/>
    </xf>
    <xf numFmtId="3" fontId="1" fillId="0" borderId="34" xfId="0" applyNumberFormat="1" applyFont="1" applyFill="1" applyBorder="1" applyAlignment="1">
      <alignment vertical="top" wrapText="1"/>
    </xf>
    <xf numFmtId="49" fontId="1" fillId="0" borderId="12" xfId="0" applyNumberFormat="1" applyFont="1" applyBorder="1" applyAlignment="1">
      <alignment vertical="top" wrapText="1"/>
    </xf>
    <xf numFmtId="49" fontId="1" fillId="0" borderId="50" xfId="0" applyNumberFormat="1" applyFont="1" applyBorder="1" applyAlignment="1">
      <alignment vertical="top" wrapText="1"/>
    </xf>
    <xf numFmtId="164" fontId="1" fillId="0" borderId="0" xfId="0" applyNumberFormat="1" applyFont="1" applyBorder="1"/>
    <xf numFmtId="3" fontId="2" fillId="0" borderId="0" xfId="0" applyNumberFormat="1" applyFont="1" applyFill="1" applyBorder="1" applyAlignment="1">
      <alignment horizontal="center" vertical="center" textRotation="90" wrapText="1"/>
    </xf>
    <xf numFmtId="164" fontId="1" fillId="5" borderId="43" xfId="0" applyNumberFormat="1" applyFont="1" applyFill="1" applyBorder="1" applyAlignment="1">
      <alignment horizontal="center" vertical="top" wrapText="1"/>
    </xf>
    <xf numFmtId="49" fontId="2" fillId="0" borderId="62" xfId="0" applyNumberFormat="1" applyFont="1" applyBorder="1" applyAlignment="1">
      <alignment horizontal="center" vertical="top"/>
    </xf>
    <xf numFmtId="3" fontId="5" fillId="0" borderId="16" xfId="0" applyNumberFormat="1" applyFont="1" applyFill="1" applyBorder="1" applyAlignment="1">
      <alignment horizontal="center" vertical="center" textRotation="90"/>
    </xf>
    <xf numFmtId="3" fontId="1" fillId="0" borderId="26" xfId="0" applyNumberFormat="1" applyFont="1" applyBorder="1" applyAlignment="1">
      <alignment vertical="top" wrapText="1"/>
    </xf>
    <xf numFmtId="3" fontId="2" fillId="4" borderId="43" xfId="0" applyNumberFormat="1" applyFont="1" applyFill="1" applyBorder="1" applyAlignment="1">
      <alignment horizontal="center" vertical="top"/>
    </xf>
    <xf numFmtId="164" fontId="2" fillId="4" borderId="66" xfId="0" applyNumberFormat="1" applyFont="1" applyFill="1" applyBorder="1" applyAlignment="1">
      <alignment horizontal="center" vertical="top" wrapText="1"/>
    </xf>
    <xf numFmtId="3" fontId="2" fillId="5" borderId="30" xfId="0" applyNumberFormat="1" applyFont="1" applyFill="1" applyBorder="1" applyAlignment="1">
      <alignment vertical="top"/>
    </xf>
    <xf numFmtId="3" fontId="2" fillId="0" borderId="39" xfId="0" applyNumberFormat="1" applyFont="1" applyFill="1" applyBorder="1" applyAlignment="1">
      <alignment vertical="top"/>
    </xf>
    <xf numFmtId="3" fontId="2" fillId="0" borderId="49" xfId="0" applyNumberFormat="1" applyFont="1" applyFill="1" applyBorder="1" applyAlignment="1">
      <alignment horizontal="center" vertical="top"/>
    </xf>
    <xf numFmtId="49" fontId="2" fillId="3" borderId="36" xfId="0" applyNumberFormat="1" applyFont="1" applyFill="1" applyBorder="1" applyAlignment="1">
      <alignment horizontal="center" vertical="top" wrapText="1"/>
    </xf>
    <xf numFmtId="49" fontId="2" fillId="0" borderId="44" xfId="0" applyNumberFormat="1" applyFont="1" applyBorder="1" applyAlignment="1">
      <alignment vertical="top" textRotation="90"/>
    </xf>
    <xf numFmtId="3" fontId="2" fillId="0" borderId="31" xfId="0" applyNumberFormat="1" applyFont="1" applyBorder="1" applyAlignment="1">
      <alignment horizontal="center" vertical="top"/>
    </xf>
    <xf numFmtId="3" fontId="2" fillId="0" borderId="49" xfId="0" applyNumberFormat="1" applyFont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 textRotation="90"/>
    </xf>
    <xf numFmtId="3" fontId="2" fillId="0" borderId="37" xfId="0" applyNumberFormat="1" applyFont="1" applyBorder="1" applyAlignment="1">
      <alignment horizontal="center" vertical="top"/>
    </xf>
    <xf numFmtId="164" fontId="1" fillId="5" borderId="46" xfId="0" applyNumberFormat="1" applyFont="1" applyFill="1" applyBorder="1" applyAlignment="1">
      <alignment horizontal="center" vertical="top" wrapText="1"/>
    </xf>
    <xf numFmtId="3" fontId="2" fillId="0" borderId="12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vertical="top"/>
    </xf>
    <xf numFmtId="3" fontId="2" fillId="5" borderId="17" xfId="0" applyNumberFormat="1" applyFont="1" applyFill="1" applyBorder="1" applyAlignment="1">
      <alignment horizontal="center" vertical="top"/>
    </xf>
    <xf numFmtId="3" fontId="2" fillId="0" borderId="17" xfId="0" applyNumberFormat="1" applyFont="1" applyBorder="1" applyAlignment="1">
      <alignment horizontal="center" vertical="top"/>
    </xf>
    <xf numFmtId="0" fontId="1" fillId="5" borderId="0" xfId="0" applyFont="1" applyFill="1" applyBorder="1"/>
    <xf numFmtId="0" fontId="2" fillId="5" borderId="0" xfId="0" applyFont="1" applyFill="1" applyBorder="1"/>
    <xf numFmtId="164" fontId="2" fillId="5" borderId="0" xfId="0" applyNumberFormat="1" applyFont="1" applyFill="1" applyBorder="1"/>
    <xf numFmtId="3" fontId="11" fillId="5" borderId="26" xfId="0" applyNumberFormat="1" applyFont="1" applyFill="1" applyBorder="1" applyAlignment="1">
      <alignment horizontal="center" vertical="top" wrapText="1"/>
    </xf>
    <xf numFmtId="3" fontId="2" fillId="5" borderId="34" xfId="0" applyNumberFormat="1" applyFont="1" applyFill="1" applyBorder="1" applyAlignment="1">
      <alignment horizontal="center" vertical="top" wrapText="1"/>
    </xf>
    <xf numFmtId="164" fontId="1" fillId="5" borderId="65" xfId="0" applyNumberFormat="1" applyFont="1" applyFill="1" applyBorder="1" applyAlignment="1">
      <alignment horizontal="center" vertical="top" wrapText="1"/>
    </xf>
    <xf numFmtId="164" fontId="1" fillId="5" borderId="22" xfId="0" applyNumberFormat="1" applyFont="1" applyFill="1" applyBorder="1" applyAlignment="1">
      <alignment horizontal="center" vertical="top"/>
    </xf>
    <xf numFmtId="164" fontId="1" fillId="4" borderId="50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 wrapText="1"/>
    </xf>
    <xf numFmtId="3" fontId="2" fillId="0" borderId="39" xfId="0" applyNumberFormat="1" applyFont="1" applyBorder="1" applyAlignment="1">
      <alignment horizontal="center" vertical="top"/>
    </xf>
    <xf numFmtId="3" fontId="5" fillId="0" borderId="16" xfId="0" applyNumberFormat="1" applyFont="1" applyFill="1" applyBorder="1" applyAlignment="1">
      <alignment horizontal="center" vertical="top" textRotation="90" wrapText="1"/>
    </xf>
    <xf numFmtId="164" fontId="1" fillId="0" borderId="12" xfId="0" applyNumberFormat="1" applyFont="1" applyBorder="1" applyAlignment="1">
      <alignment horizontal="center" vertical="top"/>
    </xf>
    <xf numFmtId="164" fontId="1" fillId="0" borderId="43" xfId="0" applyNumberFormat="1" applyFont="1" applyBorder="1" applyAlignment="1">
      <alignment horizontal="center" vertical="top"/>
    </xf>
    <xf numFmtId="3" fontId="6" fillId="0" borderId="0" xfId="0" applyNumberFormat="1" applyFont="1" applyBorder="1"/>
    <xf numFmtId="3" fontId="6" fillId="0" borderId="0" xfId="0" applyNumberFormat="1" applyFont="1"/>
    <xf numFmtId="164" fontId="1" fillId="5" borderId="65" xfId="0" applyNumberFormat="1" applyFont="1" applyFill="1" applyBorder="1" applyAlignment="1">
      <alignment horizontal="center" vertical="top"/>
    </xf>
    <xf numFmtId="164" fontId="2" fillId="4" borderId="52" xfId="0" applyNumberFormat="1" applyFont="1" applyFill="1" applyBorder="1" applyAlignment="1">
      <alignment horizontal="center" vertical="top"/>
    </xf>
    <xf numFmtId="3" fontId="11" fillId="0" borderId="46" xfId="0" applyNumberFormat="1" applyFont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center" vertical="top"/>
    </xf>
    <xf numFmtId="3" fontId="5" fillId="0" borderId="48" xfId="0" applyNumberFormat="1" applyFont="1" applyFill="1" applyBorder="1" applyAlignment="1">
      <alignment horizontal="center" vertical="center" textRotation="90" wrapText="1"/>
    </xf>
    <xf numFmtId="49" fontId="2" fillId="0" borderId="36" xfId="0" applyNumberFormat="1" applyFont="1" applyBorder="1" applyAlignment="1">
      <alignment horizontal="center" vertical="top"/>
    </xf>
    <xf numFmtId="3" fontId="1" fillId="0" borderId="22" xfId="0" applyNumberFormat="1" applyFont="1" applyFill="1" applyBorder="1" applyAlignment="1">
      <alignment horizontal="left" vertical="top" wrapText="1"/>
    </xf>
    <xf numFmtId="3" fontId="1" fillId="0" borderId="22" xfId="0" applyNumberFormat="1" applyFont="1" applyBorder="1" applyAlignment="1">
      <alignment vertical="top" wrapText="1"/>
    </xf>
    <xf numFmtId="3" fontId="1" fillId="0" borderId="34" xfId="0" applyNumberFormat="1" applyFont="1" applyBorder="1" applyAlignment="1">
      <alignment vertical="top" wrapText="1"/>
    </xf>
    <xf numFmtId="3" fontId="1" fillId="5" borderId="46" xfId="0" applyNumberFormat="1" applyFont="1" applyFill="1" applyBorder="1" applyAlignment="1">
      <alignment vertical="top" wrapText="1"/>
    </xf>
    <xf numFmtId="3" fontId="1" fillId="5" borderId="12" xfId="0" applyNumberFormat="1" applyFont="1" applyFill="1" applyBorder="1" applyAlignment="1">
      <alignment vertical="top" wrapText="1"/>
    </xf>
    <xf numFmtId="164" fontId="2" fillId="2" borderId="35" xfId="0" applyNumberFormat="1" applyFont="1" applyFill="1" applyBorder="1" applyAlignment="1">
      <alignment horizontal="center" vertical="top"/>
    </xf>
    <xf numFmtId="3" fontId="5" fillId="0" borderId="55" xfId="0" applyNumberFormat="1" applyFont="1" applyFill="1" applyBorder="1" applyAlignment="1">
      <alignment vertical="top" textRotation="90" wrapText="1"/>
    </xf>
    <xf numFmtId="164" fontId="13" fillId="5" borderId="0" xfId="0" applyNumberFormat="1" applyFont="1" applyFill="1" applyBorder="1"/>
    <xf numFmtId="0" fontId="13" fillId="5" borderId="0" xfId="0" applyFont="1" applyFill="1" applyBorder="1"/>
    <xf numFmtId="49" fontId="2" fillId="9" borderId="18" xfId="0" applyNumberFormat="1" applyFont="1" applyFill="1" applyBorder="1" applyAlignment="1">
      <alignment horizontal="center" vertical="top"/>
    </xf>
    <xf numFmtId="49" fontId="1" fillId="3" borderId="39" xfId="0" applyNumberFormat="1" applyFont="1" applyFill="1" applyBorder="1" applyAlignment="1">
      <alignment horizontal="center" vertical="top"/>
    </xf>
    <xf numFmtId="49" fontId="1" fillId="3" borderId="56" xfId="0" applyNumberFormat="1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 textRotation="90"/>
    </xf>
    <xf numFmtId="3" fontId="5" fillId="0" borderId="16" xfId="0" applyNumberFormat="1" applyFont="1" applyFill="1" applyBorder="1" applyAlignment="1">
      <alignment horizontal="center" vertical="top" textRotation="90"/>
    </xf>
    <xf numFmtId="3" fontId="2" fillId="5" borderId="44" xfId="0" applyNumberFormat="1" applyFont="1" applyFill="1" applyBorder="1" applyAlignment="1">
      <alignment vertical="top"/>
    </xf>
    <xf numFmtId="3" fontId="1" fillId="5" borderId="34" xfId="0" applyNumberFormat="1" applyFont="1" applyFill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center" vertical="top" wrapText="1"/>
    </xf>
    <xf numFmtId="3" fontId="2" fillId="5" borderId="12" xfId="0" applyNumberFormat="1" applyFont="1" applyFill="1" applyBorder="1" applyAlignment="1">
      <alignment vertical="top" wrapText="1"/>
    </xf>
    <xf numFmtId="3" fontId="2" fillId="5" borderId="52" xfId="0" applyNumberFormat="1" applyFont="1" applyFill="1" applyBorder="1" applyAlignment="1">
      <alignment horizontal="center" vertical="top" wrapText="1"/>
    </xf>
    <xf numFmtId="3" fontId="1" fillId="0" borderId="52" xfId="0" applyNumberFormat="1" applyFont="1" applyBorder="1" applyAlignment="1">
      <alignment horizontal="left" vertical="top" wrapText="1"/>
    </xf>
    <xf numFmtId="3" fontId="1" fillId="0" borderId="7" xfId="0" applyNumberFormat="1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center" vertical="top"/>
    </xf>
    <xf numFmtId="0" fontId="1" fillId="5" borderId="43" xfId="0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vertical="top" wrapText="1"/>
    </xf>
    <xf numFmtId="3" fontId="1" fillId="0" borderId="53" xfId="0" applyNumberFormat="1" applyFont="1" applyFill="1" applyBorder="1" applyAlignment="1">
      <alignment horizontal="left" vertical="top" wrapText="1"/>
    </xf>
    <xf numFmtId="0" fontId="1" fillId="5" borderId="53" xfId="0" applyNumberFormat="1" applyFont="1" applyFill="1" applyBorder="1" applyAlignment="1">
      <alignment horizontal="left" vertical="top" wrapText="1"/>
    </xf>
    <xf numFmtId="3" fontId="1" fillId="0" borderId="22" xfId="0" applyNumberFormat="1" applyFont="1" applyBorder="1"/>
    <xf numFmtId="164" fontId="1" fillId="0" borderId="12" xfId="0" applyNumberFormat="1" applyFont="1" applyFill="1" applyBorder="1" applyAlignment="1">
      <alignment horizontal="center" vertical="top"/>
    </xf>
    <xf numFmtId="3" fontId="1" fillId="5" borderId="28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center" vertical="top" wrapText="1"/>
    </xf>
    <xf numFmtId="3" fontId="1" fillId="5" borderId="53" xfId="0" applyNumberFormat="1" applyFont="1" applyFill="1" applyBorder="1" applyAlignment="1">
      <alignment horizontal="center" vertical="top"/>
    </xf>
    <xf numFmtId="164" fontId="1" fillId="5" borderId="50" xfId="0" applyNumberFormat="1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/>
    </xf>
    <xf numFmtId="3" fontId="1" fillId="0" borderId="12" xfId="0" applyNumberFormat="1" applyFont="1" applyBorder="1"/>
    <xf numFmtId="0" fontId="1" fillId="5" borderId="43" xfId="0" applyFont="1" applyFill="1" applyBorder="1" applyAlignment="1">
      <alignment horizontal="center" vertical="top"/>
    </xf>
    <xf numFmtId="164" fontId="2" fillId="4" borderId="7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right"/>
    </xf>
    <xf numFmtId="164" fontId="2" fillId="4" borderId="46" xfId="0" applyNumberFormat="1" applyFont="1" applyFill="1" applyBorder="1" applyAlignment="1">
      <alignment horizontal="center" vertical="top"/>
    </xf>
    <xf numFmtId="49" fontId="2" fillId="9" borderId="35" xfId="0" applyNumberFormat="1" applyFont="1" applyFill="1" applyBorder="1" applyAlignment="1">
      <alignment horizontal="center" vertical="top"/>
    </xf>
    <xf numFmtId="49" fontId="2" fillId="2" borderId="61" xfId="0" applyNumberFormat="1" applyFont="1" applyFill="1" applyBorder="1" applyAlignment="1">
      <alignment horizontal="center" vertical="top"/>
    </xf>
    <xf numFmtId="164" fontId="2" fillId="2" borderId="70" xfId="0" applyNumberFormat="1" applyFont="1" applyFill="1" applyBorder="1" applyAlignment="1">
      <alignment horizontal="center" vertical="top"/>
    </xf>
    <xf numFmtId="164" fontId="11" fillId="0" borderId="73" xfId="0" applyNumberFormat="1" applyFont="1" applyBorder="1" applyAlignment="1">
      <alignment horizontal="center" vertical="center" textRotation="90" wrapText="1"/>
    </xf>
    <xf numFmtId="3" fontId="11" fillId="5" borderId="34" xfId="0" applyNumberFormat="1" applyFont="1" applyFill="1" applyBorder="1" applyAlignment="1">
      <alignment horizontal="center" vertical="top" wrapText="1"/>
    </xf>
    <xf numFmtId="3" fontId="2" fillId="5" borderId="46" xfId="0" applyNumberFormat="1" applyFont="1" applyFill="1" applyBorder="1" applyAlignment="1">
      <alignment vertical="top" wrapText="1"/>
    </xf>
    <xf numFmtId="3" fontId="2" fillId="5" borderId="13" xfId="0" applyNumberFormat="1" applyFont="1" applyFill="1" applyBorder="1" applyAlignment="1">
      <alignment vertical="top"/>
    </xf>
    <xf numFmtId="3" fontId="11" fillId="5" borderId="26" xfId="0" applyNumberFormat="1" applyFont="1" applyFill="1" applyBorder="1" applyAlignment="1">
      <alignment vertical="top" wrapText="1"/>
    </xf>
    <xf numFmtId="3" fontId="5" fillId="5" borderId="11" xfId="0" applyNumberFormat="1" applyFont="1" applyFill="1" applyBorder="1" applyAlignment="1">
      <alignment vertical="center" textRotation="90"/>
    </xf>
    <xf numFmtId="3" fontId="2" fillId="5" borderId="44" xfId="0" applyNumberFormat="1" applyFont="1" applyFill="1" applyBorder="1" applyAlignment="1">
      <alignment vertical="center" textRotation="90"/>
    </xf>
    <xf numFmtId="3" fontId="5" fillId="5" borderId="67" xfId="0" applyNumberFormat="1" applyFont="1" applyFill="1" applyBorder="1" applyAlignment="1">
      <alignment vertical="center" textRotation="90"/>
    </xf>
    <xf numFmtId="3" fontId="11" fillId="5" borderId="12" xfId="0" applyNumberFormat="1" applyFont="1" applyFill="1" applyBorder="1" applyAlignment="1">
      <alignment vertical="top" wrapText="1"/>
    </xf>
    <xf numFmtId="3" fontId="2" fillId="5" borderId="44" xfId="0" applyNumberFormat="1" applyFont="1" applyFill="1" applyBorder="1" applyAlignment="1">
      <alignment horizontal="center" vertical="center" textRotation="90"/>
    </xf>
    <xf numFmtId="3" fontId="2" fillId="5" borderId="0" xfId="0" applyNumberFormat="1" applyFont="1" applyFill="1" applyBorder="1" applyAlignment="1">
      <alignment horizontal="center" vertical="center" textRotation="90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left" vertical="top" wrapText="1"/>
    </xf>
    <xf numFmtId="164" fontId="1" fillId="5" borderId="53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49" fontId="2" fillId="3" borderId="0" xfId="0" applyNumberFormat="1" applyFont="1" applyFill="1" applyBorder="1" applyAlignment="1">
      <alignment horizontal="center" vertical="top"/>
    </xf>
    <xf numFmtId="3" fontId="1" fillId="0" borderId="12" xfId="0" applyNumberFormat="1" applyFont="1" applyFill="1" applyBorder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center" vertical="center" textRotation="90" wrapText="1"/>
    </xf>
    <xf numFmtId="3" fontId="5" fillId="0" borderId="11" xfId="0" applyNumberFormat="1" applyFont="1" applyFill="1" applyBorder="1" applyAlignment="1">
      <alignment horizontal="center" vertical="center" textRotation="90" wrapText="1"/>
    </xf>
    <xf numFmtId="3" fontId="5" fillId="0" borderId="16" xfId="0" applyNumberFormat="1" applyFont="1" applyFill="1" applyBorder="1" applyAlignment="1">
      <alignment horizontal="center" vertical="center" textRotation="90" wrapText="1"/>
    </xf>
    <xf numFmtId="3" fontId="1" fillId="0" borderId="29" xfId="0" applyNumberFormat="1" applyFont="1" applyFill="1" applyBorder="1" applyAlignment="1">
      <alignment horizontal="left" vertical="top" wrapText="1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44" xfId="0" applyNumberFormat="1" applyFont="1" applyFill="1" applyBorder="1" applyAlignment="1">
      <alignment horizontal="center" vertical="top"/>
    </xf>
    <xf numFmtId="49" fontId="1" fillId="3" borderId="31" xfId="0" applyNumberFormat="1" applyFont="1" applyFill="1" applyBorder="1" applyAlignment="1">
      <alignment horizontal="center" vertical="top"/>
    </xf>
    <xf numFmtId="49" fontId="1" fillId="3" borderId="37" xfId="0" applyNumberFormat="1" applyFont="1" applyFill="1" applyBorder="1" applyAlignment="1">
      <alignment horizontal="center" vertical="top"/>
    </xf>
    <xf numFmtId="49" fontId="2" fillId="3" borderId="11" xfId="0" applyNumberFormat="1" applyFont="1" applyFill="1" applyBorder="1" applyAlignment="1">
      <alignment horizontal="center" vertical="top"/>
    </xf>
    <xf numFmtId="3" fontId="2" fillId="4" borderId="35" xfId="0" applyNumberFormat="1" applyFont="1" applyFill="1" applyBorder="1" applyAlignment="1">
      <alignment horizontal="right" vertical="top"/>
    </xf>
    <xf numFmtId="3" fontId="5" fillId="0" borderId="48" xfId="0" applyNumberFormat="1" applyFont="1" applyFill="1" applyBorder="1" applyAlignment="1">
      <alignment horizontal="center" vertical="top" textRotation="90" wrapText="1"/>
    </xf>
    <xf numFmtId="3" fontId="5" fillId="0" borderId="11" xfId="0" applyNumberFormat="1" applyFont="1" applyFill="1" applyBorder="1" applyAlignment="1">
      <alignment horizontal="center" vertical="top" textRotation="90" wrapText="1"/>
    </xf>
    <xf numFmtId="3" fontId="1" fillId="0" borderId="34" xfId="0" applyNumberFormat="1" applyFont="1" applyFill="1" applyBorder="1" applyAlignment="1">
      <alignment horizontal="left" vertical="top" wrapText="1"/>
    </xf>
    <xf numFmtId="49" fontId="2" fillId="9" borderId="26" xfId="0" applyNumberFormat="1" applyFont="1" applyFill="1" applyBorder="1" applyAlignment="1">
      <alignment horizontal="center" vertical="top"/>
    </xf>
    <xf numFmtId="49" fontId="2" fillId="9" borderId="32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2" fillId="0" borderId="31" xfId="0" applyNumberFormat="1" applyFont="1" applyFill="1" applyBorder="1" applyAlignment="1">
      <alignment horizontal="center" vertical="top"/>
    </xf>
    <xf numFmtId="3" fontId="2" fillId="4" borderId="34" xfId="0" applyNumberFormat="1" applyFont="1" applyFill="1" applyBorder="1" applyAlignment="1">
      <alignment horizontal="right" vertical="top"/>
    </xf>
    <xf numFmtId="3" fontId="1" fillId="3" borderId="12" xfId="0" applyNumberFormat="1" applyFont="1" applyFill="1" applyBorder="1" applyAlignment="1">
      <alignment horizontal="left" vertical="top" wrapText="1"/>
    </xf>
    <xf numFmtId="3" fontId="1" fillId="0" borderId="46" xfId="0" applyNumberFormat="1" applyFont="1" applyFill="1" applyBorder="1" applyAlignment="1">
      <alignment horizontal="center" vertical="top" wrapText="1"/>
    </xf>
    <xf numFmtId="3" fontId="2" fillId="5" borderId="46" xfId="0" applyNumberFormat="1" applyFont="1" applyFill="1" applyBorder="1" applyAlignment="1">
      <alignment horizontal="left" vertical="top" wrapText="1"/>
    </xf>
    <xf numFmtId="3" fontId="2" fillId="5" borderId="13" xfId="0" applyNumberFormat="1" applyFont="1" applyFill="1" applyBorder="1" applyAlignment="1">
      <alignment horizontal="center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26" xfId="0" applyNumberFormat="1" applyFont="1" applyFill="1" applyBorder="1" applyAlignment="1">
      <alignment horizontal="left" vertical="top" wrapText="1"/>
    </xf>
    <xf numFmtId="3" fontId="2" fillId="5" borderId="37" xfId="0" applyNumberFormat="1" applyFont="1" applyFill="1" applyBorder="1" applyAlignment="1">
      <alignment horizontal="center" vertical="top" wrapText="1"/>
    </xf>
    <xf numFmtId="3" fontId="1" fillId="0" borderId="50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49" fontId="1" fillId="3" borderId="49" xfId="0" applyNumberFormat="1" applyFont="1" applyFill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49" fontId="1" fillId="3" borderId="49" xfId="0" applyNumberFormat="1" applyFont="1" applyFill="1" applyBorder="1" applyAlignment="1">
      <alignment horizontal="center" vertical="top"/>
    </xf>
    <xf numFmtId="3" fontId="5" fillId="5" borderId="11" xfId="0" applyNumberFormat="1" applyFont="1" applyFill="1" applyBorder="1" applyAlignment="1">
      <alignment horizontal="center" vertical="top" textRotation="90"/>
    </xf>
    <xf numFmtId="3" fontId="1" fillId="5" borderId="32" xfId="0" applyNumberFormat="1" applyFont="1" applyFill="1" applyBorder="1" applyAlignment="1">
      <alignment horizontal="left" vertical="top" wrapText="1"/>
    </xf>
    <xf numFmtId="49" fontId="1" fillId="0" borderId="49" xfId="0" applyNumberFormat="1" applyFont="1" applyBorder="1" applyAlignment="1">
      <alignment horizontal="center" vertical="top"/>
    </xf>
    <xf numFmtId="49" fontId="1" fillId="0" borderId="56" xfId="0" applyNumberFormat="1" applyFont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/>
    </xf>
    <xf numFmtId="164" fontId="2" fillId="4" borderId="32" xfId="0" applyNumberFormat="1" applyFont="1" applyFill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164" fontId="2" fillId="4" borderId="32" xfId="0" applyNumberFormat="1" applyFont="1" applyFill="1" applyBorder="1" applyAlignment="1">
      <alignment horizontal="center" vertical="top" wrapText="1"/>
    </xf>
    <xf numFmtId="164" fontId="1" fillId="3" borderId="28" xfId="0" applyNumberFormat="1" applyFont="1" applyFill="1" applyBorder="1" applyAlignment="1">
      <alignment horizontal="center" vertical="top"/>
    </xf>
    <xf numFmtId="164" fontId="1" fillId="5" borderId="34" xfId="0" applyNumberFormat="1" applyFont="1" applyFill="1" applyBorder="1" applyAlignment="1">
      <alignment horizontal="center" vertical="top" wrapText="1"/>
    </xf>
    <xf numFmtId="164" fontId="1" fillId="5" borderId="28" xfId="0" applyNumberFormat="1" applyFont="1" applyFill="1" applyBorder="1" applyAlignment="1">
      <alignment horizontal="center" vertical="top" wrapText="1"/>
    </xf>
    <xf numFmtId="164" fontId="2" fillId="4" borderId="26" xfId="0" applyNumberFormat="1" applyFont="1" applyFill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 wrapText="1"/>
    </xf>
    <xf numFmtId="164" fontId="1" fillId="5" borderId="53" xfId="0" applyNumberFormat="1" applyFont="1" applyFill="1" applyBorder="1" applyAlignment="1">
      <alignment horizontal="center" vertical="top" wrapText="1"/>
    </xf>
    <xf numFmtId="0" fontId="1" fillId="5" borderId="26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 vertical="top"/>
    </xf>
    <xf numFmtId="164" fontId="1" fillId="3" borderId="29" xfId="0" applyNumberFormat="1" applyFont="1" applyFill="1" applyBorder="1" applyAlignment="1">
      <alignment horizontal="center" vertical="top" wrapText="1"/>
    </xf>
    <xf numFmtId="164" fontId="2" fillId="4" borderId="23" xfId="0" applyNumberFormat="1" applyFont="1" applyFill="1" applyBorder="1" applyAlignment="1">
      <alignment horizontal="center" vertical="top"/>
    </xf>
    <xf numFmtId="164" fontId="2" fillId="4" borderId="0" xfId="0" applyNumberFormat="1" applyFont="1" applyFill="1" applyBorder="1" applyAlignment="1">
      <alignment horizontal="center" vertical="top"/>
    </xf>
    <xf numFmtId="164" fontId="2" fillId="4" borderId="0" xfId="0" applyNumberFormat="1" applyFont="1" applyFill="1" applyBorder="1" applyAlignment="1">
      <alignment horizontal="center" vertical="top" wrapText="1"/>
    </xf>
    <xf numFmtId="164" fontId="2" fillId="2" borderId="19" xfId="0" applyNumberFormat="1" applyFont="1" applyFill="1" applyBorder="1" applyAlignment="1">
      <alignment horizontal="center" vertical="top"/>
    </xf>
    <xf numFmtId="164" fontId="2" fillId="5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wrapText="1"/>
    </xf>
    <xf numFmtId="164" fontId="11" fillId="0" borderId="0" xfId="0" applyNumberFormat="1" applyFont="1" applyBorder="1" applyAlignment="1">
      <alignment horizontal="center" vertical="center" textRotation="90" wrapText="1"/>
    </xf>
    <xf numFmtId="164" fontId="2" fillId="7" borderId="0" xfId="0" applyNumberFormat="1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/>
    </xf>
    <xf numFmtId="164" fontId="2" fillId="7" borderId="0" xfId="0" applyNumberFormat="1" applyFont="1" applyFill="1" applyBorder="1" applyAlignment="1">
      <alignment horizontal="center" vertical="top"/>
    </xf>
    <xf numFmtId="3" fontId="1" fillId="0" borderId="75" xfId="0" applyNumberFormat="1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 textRotation="90"/>
    </xf>
    <xf numFmtId="3" fontId="1" fillId="0" borderId="27" xfId="0" applyNumberFormat="1" applyFont="1" applyBorder="1" applyAlignment="1">
      <alignment horizontal="center" vertical="top" wrapText="1"/>
    </xf>
    <xf numFmtId="3" fontId="1" fillId="0" borderId="63" xfId="0" applyNumberFormat="1" applyFont="1" applyBorder="1" applyAlignment="1">
      <alignment horizontal="center"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3" fontId="1" fillId="0" borderId="27" xfId="0" applyNumberFormat="1" applyFont="1" applyFill="1" applyBorder="1" applyAlignment="1">
      <alignment horizontal="center" vertical="top" wrapText="1"/>
    </xf>
    <xf numFmtId="3" fontId="1" fillId="0" borderId="63" xfId="0" applyNumberFormat="1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3" fontId="1" fillId="0" borderId="64" xfId="0" applyNumberFormat="1" applyFont="1" applyFill="1" applyBorder="1" applyAlignment="1">
      <alignment horizontal="center" vertical="top" wrapText="1"/>
    </xf>
    <xf numFmtId="1" fontId="1" fillId="5" borderId="27" xfId="0" applyNumberFormat="1" applyFont="1" applyFill="1" applyBorder="1" applyAlignment="1">
      <alignment horizontal="center" vertical="top" wrapText="1"/>
    </xf>
    <xf numFmtId="1" fontId="1" fillId="5" borderId="36" xfId="0" applyNumberFormat="1" applyFont="1" applyFill="1" applyBorder="1" applyAlignment="1">
      <alignment horizontal="center" vertical="top" wrapText="1"/>
    </xf>
    <xf numFmtId="1" fontId="1" fillId="5" borderId="63" xfId="0" applyNumberFormat="1" applyFont="1" applyFill="1" applyBorder="1" applyAlignment="1">
      <alignment horizontal="center" vertical="top" wrapText="1"/>
    </xf>
    <xf numFmtId="1" fontId="1" fillId="5" borderId="75" xfId="0" applyNumberFormat="1" applyFont="1" applyFill="1" applyBorder="1" applyAlignment="1">
      <alignment horizontal="center" vertical="top" wrapText="1"/>
    </xf>
    <xf numFmtId="1" fontId="1" fillId="5" borderId="62" xfId="0" applyNumberFormat="1" applyFont="1" applyFill="1" applyBorder="1" applyAlignment="1">
      <alignment horizontal="center" vertical="top" wrapText="1"/>
    </xf>
    <xf numFmtId="1" fontId="1" fillId="0" borderId="62" xfId="0" applyNumberFormat="1" applyFont="1" applyBorder="1" applyAlignment="1">
      <alignment horizontal="center" vertical="top"/>
    </xf>
    <xf numFmtId="3" fontId="1" fillId="0" borderId="75" xfId="0" applyNumberFormat="1" applyFont="1" applyBorder="1" applyAlignment="1">
      <alignment horizontal="center" vertical="top"/>
    </xf>
    <xf numFmtId="3" fontId="1" fillId="0" borderId="62" xfId="0" applyNumberFormat="1" applyFont="1" applyBorder="1" applyAlignment="1">
      <alignment horizontal="center" vertical="top"/>
    </xf>
    <xf numFmtId="1" fontId="1" fillId="0" borderId="63" xfId="0" applyNumberFormat="1" applyFont="1" applyFill="1" applyBorder="1" applyAlignment="1">
      <alignment horizontal="center" vertical="top" wrapText="1"/>
    </xf>
    <xf numFmtId="3" fontId="1" fillId="0" borderId="62" xfId="0" applyNumberFormat="1" applyFont="1" applyFill="1" applyBorder="1" applyAlignment="1">
      <alignment horizontal="center" vertical="top" wrapText="1"/>
    </xf>
    <xf numFmtId="3" fontId="1" fillId="0" borderId="75" xfId="0" applyNumberFormat="1" applyFont="1" applyFill="1" applyBorder="1" applyAlignment="1">
      <alignment horizontal="center" vertical="top" wrapText="1"/>
    </xf>
    <xf numFmtId="0" fontId="1" fillId="0" borderId="63" xfId="0" applyNumberFormat="1" applyFont="1" applyFill="1" applyBorder="1" applyAlignment="1">
      <alignment horizontal="center" vertical="top" wrapText="1"/>
    </xf>
    <xf numFmtId="3" fontId="1" fillId="0" borderId="27" xfId="0" applyNumberFormat="1" applyFont="1" applyBorder="1" applyAlignment="1">
      <alignment horizontal="center" vertical="top"/>
    </xf>
    <xf numFmtId="0" fontId="1" fillId="5" borderId="63" xfId="0" applyFont="1" applyFill="1" applyBorder="1" applyAlignment="1">
      <alignment horizontal="center" vertical="top" wrapText="1"/>
    </xf>
    <xf numFmtId="3" fontId="1" fillId="5" borderId="38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3" fontId="1" fillId="5" borderId="36" xfId="0" applyNumberFormat="1" applyFont="1" applyFill="1" applyBorder="1" applyAlignment="1">
      <alignment horizontal="center" vertical="top" wrapText="1"/>
    </xf>
    <xf numFmtId="3" fontId="1" fillId="0" borderId="27" xfId="0" applyNumberFormat="1" applyFont="1" applyBorder="1"/>
    <xf numFmtId="3" fontId="1" fillId="0" borderId="62" xfId="0" applyNumberFormat="1" applyFont="1" applyBorder="1"/>
    <xf numFmtId="164" fontId="1" fillId="5" borderId="75" xfId="0" applyNumberFormat="1" applyFont="1" applyFill="1" applyBorder="1"/>
    <xf numFmtId="3" fontId="1" fillId="5" borderId="63" xfId="0" applyNumberFormat="1" applyFont="1" applyFill="1" applyBorder="1" applyAlignment="1">
      <alignment horizontal="center" vertical="top" wrapText="1"/>
    </xf>
    <xf numFmtId="164" fontId="1" fillId="5" borderId="36" xfId="0" applyNumberFormat="1" applyFont="1" applyFill="1" applyBorder="1"/>
    <xf numFmtId="164" fontId="1" fillId="0" borderId="38" xfId="0" applyNumberFormat="1" applyFont="1" applyBorder="1"/>
    <xf numFmtId="3" fontId="1" fillId="0" borderId="62" xfId="0" applyNumberFormat="1" applyFont="1" applyBorder="1" applyAlignment="1">
      <alignment horizontal="center" vertical="top" wrapText="1"/>
    </xf>
    <xf numFmtId="3" fontId="1" fillId="5" borderId="36" xfId="0" applyNumberFormat="1" applyFont="1" applyFill="1" applyBorder="1" applyAlignment="1">
      <alignment vertical="top" wrapText="1"/>
    </xf>
    <xf numFmtId="3" fontId="1" fillId="0" borderId="63" xfId="0" applyNumberFormat="1" applyFont="1" applyBorder="1" applyAlignment="1">
      <alignment horizontal="center" vertical="top"/>
    </xf>
    <xf numFmtId="3" fontId="1" fillId="0" borderId="36" xfId="0" applyNumberFormat="1" applyFont="1" applyBorder="1" applyAlignment="1">
      <alignment horizontal="center" vertical="top"/>
    </xf>
    <xf numFmtId="3" fontId="1" fillId="5" borderId="62" xfId="0" applyNumberFormat="1" applyFont="1" applyFill="1" applyBorder="1" applyAlignment="1">
      <alignment vertical="top" wrapText="1"/>
    </xf>
    <xf numFmtId="49" fontId="2" fillId="2" borderId="29" xfId="0" applyNumberFormat="1" applyFont="1" applyFill="1" applyBorder="1" applyAlignment="1">
      <alignment horizontal="center" vertical="top" wrapText="1"/>
    </xf>
    <xf numFmtId="3" fontId="2" fillId="9" borderId="20" xfId="0" applyNumberFormat="1" applyFont="1" applyFill="1" applyBorder="1" applyAlignment="1">
      <alignment horizontal="center" vertical="top"/>
    </xf>
    <xf numFmtId="3" fontId="2" fillId="7" borderId="1" xfId="0" applyNumberFormat="1" applyFont="1" applyFill="1" applyBorder="1" applyAlignment="1">
      <alignment horizontal="center" vertical="top"/>
    </xf>
    <xf numFmtId="3" fontId="1" fillId="0" borderId="43" xfId="0" applyNumberFormat="1" applyFont="1" applyBorder="1"/>
    <xf numFmtId="3" fontId="1" fillId="5" borderId="43" xfId="0" applyNumberFormat="1" applyFont="1" applyFill="1" applyBorder="1"/>
    <xf numFmtId="0" fontId="1" fillId="5" borderId="43" xfId="0" applyFont="1" applyFill="1" applyBorder="1" applyAlignment="1">
      <alignment horizontal="center" vertical="center" wrapText="1"/>
    </xf>
    <xf numFmtId="164" fontId="1" fillId="5" borderId="43" xfId="0" applyNumberFormat="1" applyFont="1" applyFill="1" applyBorder="1" applyAlignment="1">
      <alignment horizontal="center" vertical="center" wrapText="1"/>
    </xf>
    <xf numFmtId="0" fontId="1" fillId="0" borderId="43" xfId="0" applyFont="1" applyBorder="1"/>
    <xf numFmtId="3" fontId="1" fillId="0" borderId="43" xfId="0" applyNumberFormat="1" applyFont="1" applyBorder="1" applyAlignment="1">
      <alignment horizontal="left" vertical="top"/>
    </xf>
    <xf numFmtId="3" fontId="1" fillId="5" borderId="70" xfId="0" applyNumberFormat="1" applyFont="1" applyFill="1" applyBorder="1"/>
    <xf numFmtId="164" fontId="2" fillId="4" borderId="35" xfId="0" applyNumberFormat="1" applyFont="1" applyFill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1" fillId="5" borderId="6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64" fontId="2" fillId="4" borderId="10" xfId="0" applyNumberFormat="1" applyFont="1" applyFill="1" applyBorder="1" applyAlignment="1">
      <alignment horizontal="center" vertical="top"/>
    </xf>
    <xf numFmtId="3" fontId="1" fillId="0" borderId="50" xfId="0" applyNumberFormat="1" applyFont="1" applyBorder="1"/>
    <xf numFmtId="164" fontId="6" fillId="5" borderId="43" xfId="0" applyNumberFormat="1" applyFont="1" applyFill="1" applyBorder="1" applyAlignment="1">
      <alignment horizontal="center" vertical="top"/>
    </xf>
    <xf numFmtId="164" fontId="6" fillId="5" borderId="34" xfId="0" applyNumberFormat="1" applyFont="1" applyFill="1" applyBorder="1" applyAlignment="1">
      <alignment horizontal="center" vertical="top"/>
    </xf>
    <xf numFmtId="3" fontId="6" fillId="0" borderId="63" xfId="0" applyNumberFormat="1" applyFont="1" applyFill="1" applyBorder="1" applyAlignment="1">
      <alignment horizontal="center" vertical="top" wrapText="1"/>
    </xf>
    <xf numFmtId="49" fontId="1" fillId="0" borderId="38" xfId="0" applyNumberFormat="1" applyFont="1" applyBorder="1" applyAlignment="1">
      <alignment horizontal="center" vertical="center" textRotation="90" wrapText="1"/>
    </xf>
    <xf numFmtId="164" fontId="1" fillId="0" borderId="50" xfId="0" applyNumberFormat="1" applyFont="1" applyFill="1" applyBorder="1" applyAlignment="1">
      <alignment horizontal="center" vertical="top"/>
    </xf>
    <xf numFmtId="164" fontId="1" fillId="0" borderId="73" xfId="0" applyNumberFormat="1" applyFont="1" applyFill="1" applyBorder="1" applyAlignment="1">
      <alignment horizontal="center" vertical="top"/>
    </xf>
    <xf numFmtId="164" fontId="2" fillId="4" borderId="17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right"/>
    </xf>
    <xf numFmtId="164" fontId="1" fillId="5" borderId="23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49" fontId="2" fillId="2" borderId="42" xfId="0" applyNumberFormat="1" applyFont="1" applyFill="1" applyBorder="1" applyAlignment="1">
      <alignment horizontal="center" vertical="top" wrapText="1"/>
    </xf>
    <xf numFmtId="164" fontId="1" fillId="5" borderId="12" xfId="0" applyNumberFormat="1" applyFont="1" applyFill="1" applyBorder="1" applyAlignment="1">
      <alignment horizontal="center" vertical="top" wrapText="1"/>
    </xf>
    <xf numFmtId="164" fontId="1" fillId="5" borderId="56" xfId="0" applyNumberFormat="1" applyFont="1" applyFill="1" applyBorder="1" applyAlignment="1">
      <alignment horizontal="center" vertical="top"/>
    </xf>
    <xf numFmtId="164" fontId="1" fillId="5" borderId="57" xfId="0" applyNumberFormat="1" applyFont="1" applyFill="1" applyBorder="1" applyAlignment="1">
      <alignment horizontal="center" vertical="top"/>
    </xf>
    <xf numFmtId="164" fontId="1" fillId="5" borderId="57" xfId="0" applyNumberFormat="1" applyFont="1" applyFill="1" applyBorder="1" applyAlignment="1">
      <alignment horizontal="center" vertical="top" wrapText="1"/>
    </xf>
    <xf numFmtId="164" fontId="2" fillId="4" borderId="57" xfId="0" applyNumberFormat="1" applyFont="1" applyFill="1" applyBorder="1" applyAlignment="1">
      <alignment horizontal="center" vertical="top" wrapText="1"/>
    </xf>
    <xf numFmtId="164" fontId="2" fillId="4" borderId="9" xfId="0" applyNumberFormat="1" applyFont="1" applyFill="1" applyBorder="1" applyAlignment="1">
      <alignment horizontal="center" vertical="top" wrapText="1"/>
    </xf>
    <xf numFmtId="164" fontId="2" fillId="4" borderId="9" xfId="0" applyNumberFormat="1" applyFont="1" applyFill="1" applyBorder="1" applyAlignment="1">
      <alignment horizontal="center" vertical="top"/>
    </xf>
    <xf numFmtId="164" fontId="6" fillId="5" borderId="46" xfId="0" applyNumberFormat="1" applyFont="1" applyFill="1" applyBorder="1" applyAlignment="1">
      <alignment horizontal="center" vertical="top" wrapText="1"/>
    </xf>
    <xf numFmtId="3" fontId="1" fillId="0" borderId="43" xfId="0" applyNumberFormat="1" applyFont="1" applyBorder="1" applyAlignment="1">
      <alignment horizontal="justify" vertical="top"/>
    </xf>
    <xf numFmtId="3" fontId="1" fillId="0" borderId="43" xfId="0" applyNumberFormat="1" applyFont="1" applyBorder="1" applyAlignment="1">
      <alignment vertical="top"/>
    </xf>
    <xf numFmtId="3" fontId="2" fillId="5" borderId="26" xfId="0" applyNumberFormat="1" applyFont="1" applyFill="1" applyBorder="1" applyAlignment="1">
      <alignment horizontal="center" vertical="top" wrapText="1"/>
    </xf>
    <xf numFmtId="3" fontId="5" fillId="5" borderId="67" xfId="0" applyNumberFormat="1" applyFont="1" applyFill="1" applyBorder="1" applyAlignment="1">
      <alignment horizontal="center" vertical="center" textRotation="90" wrapText="1"/>
    </xf>
    <xf numFmtId="49" fontId="1" fillId="3" borderId="57" xfId="0" applyNumberFormat="1" applyFont="1" applyFill="1" applyBorder="1" applyAlignment="1">
      <alignment horizontal="center" vertical="top" wrapText="1"/>
    </xf>
    <xf numFmtId="3" fontId="2" fillId="5" borderId="43" xfId="0" applyNumberFormat="1" applyFont="1" applyFill="1" applyBorder="1" applyAlignment="1">
      <alignment horizontal="left" vertical="top" wrapText="1"/>
    </xf>
    <xf numFmtId="3" fontId="2" fillId="5" borderId="53" xfId="0" applyNumberFormat="1" applyFont="1" applyFill="1" applyBorder="1" applyAlignment="1">
      <alignment horizontal="center" vertical="top" wrapText="1"/>
    </xf>
    <xf numFmtId="3" fontId="2" fillId="5" borderId="57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vertical="top"/>
    </xf>
    <xf numFmtId="49" fontId="1" fillId="0" borderId="28" xfId="0" applyNumberFormat="1" applyFont="1" applyBorder="1" applyAlignment="1">
      <alignment horizontal="center" vertical="top" wrapText="1"/>
    </xf>
    <xf numFmtId="49" fontId="1" fillId="0" borderId="26" xfId="0" applyNumberFormat="1" applyFont="1" applyBorder="1" applyAlignment="1">
      <alignment horizontal="center" vertical="top" wrapText="1"/>
    </xf>
    <xf numFmtId="3" fontId="1" fillId="5" borderId="53" xfId="0" applyNumberFormat="1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center" vertical="top" wrapText="1"/>
    </xf>
    <xf numFmtId="164" fontId="1" fillId="5" borderId="11" xfId="0" applyNumberFormat="1" applyFont="1" applyFill="1" applyBorder="1" applyAlignment="1">
      <alignment horizontal="center" vertical="top"/>
    </xf>
    <xf numFmtId="164" fontId="1" fillId="5" borderId="55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3" fontId="1" fillId="0" borderId="34" xfId="0" applyNumberFormat="1" applyFont="1" applyBorder="1" applyAlignment="1">
      <alignment horizontal="center" vertical="top" wrapText="1"/>
    </xf>
    <xf numFmtId="49" fontId="2" fillId="7" borderId="19" xfId="0" applyNumberFormat="1" applyFont="1" applyFill="1" applyBorder="1" applyAlignment="1">
      <alignment horizontal="left" vertical="top"/>
    </xf>
    <xf numFmtId="3" fontId="2" fillId="7" borderId="42" xfId="0" applyNumberFormat="1" applyFont="1" applyFill="1" applyBorder="1" applyAlignment="1">
      <alignment horizontal="left" vertical="top"/>
    </xf>
    <xf numFmtId="3" fontId="2" fillId="7" borderId="20" xfId="0" applyNumberFormat="1" applyFont="1" applyFill="1" applyBorder="1" applyAlignment="1">
      <alignment horizontal="left" vertical="top"/>
    </xf>
    <xf numFmtId="164" fontId="1" fillId="5" borderId="10" xfId="0" applyNumberFormat="1" applyFont="1" applyFill="1" applyBorder="1" applyAlignment="1">
      <alignment horizontal="center" vertical="top"/>
    </xf>
    <xf numFmtId="3" fontId="1" fillId="5" borderId="14" xfId="0" applyNumberFormat="1" applyFont="1" applyFill="1" applyBorder="1" applyAlignment="1">
      <alignment horizontal="left" vertical="top" wrapText="1"/>
    </xf>
    <xf numFmtId="0" fontId="1" fillId="5" borderId="14" xfId="0" applyNumberFormat="1" applyFont="1" applyFill="1" applyBorder="1" applyAlignment="1">
      <alignment vertical="top" wrapText="1"/>
    </xf>
    <xf numFmtId="164" fontId="1" fillId="5" borderId="0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4" borderId="33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64" fontId="2" fillId="9" borderId="20" xfId="0" applyNumberFormat="1" applyFont="1" applyFill="1" applyBorder="1" applyAlignment="1">
      <alignment horizontal="center" vertical="top"/>
    </xf>
    <xf numFmtId="164" fontId="2" fillId="7" borderId="1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164" fontId="2" fillId="4" borderId="61" xfId="0" applyNumberFormat="1" applyFont="1" applyFill="1" applyBorder="1" applyAlignment="1">
      <alignment horizontal="center" vertical="top"/>
    </xf>
    <xf numFmtId="164" fontId="2" fillId="2" borderId="51" xfId="0" applyNumberFormat="1" applyFont="1" applyFill="1" applyBorder="1" applyAlignment="1">
      <alignment horizontal="center" vertical="top"/>
    </xf>
    <xf numFmtId="164" fontId="2" fillId="9" borderId="51" xfId="0" applyNumberFormat="1" applyFont="1" applyFill="1" applyBorder="1" applyAlignment="1">
      <alignment horizontal="center" vertical="top"/>
    </xf>
    <xf numFmtId="164" fontId="2" fillId="7" borderId="16" xfId="0" applyNumberFormat="1" applyFont="1" applyFill="1" applyBorder="1" applyAlignment="1">
      <alignment horizontal="center" vertical="top"/>
    </xf>
    <xf numFmtId="164" fontId="11" fillId="0" borderId="8" xfId="0" applyNumberFormat="1" applyFont="1" applyBorder="1" applyAlignment="1">
      <alignment horizontal="center" vertical="center" textRotation="90" wrapText="1"/>
    </xf>
    <xf numFmtId="164" fontId="2" fillId="7" borderId="15" xfId="0" applyNumberFormat="1" applyFont="1" applyFill="1" applyBorder="1" applyAlignment="1">
      <alignment horizontal="center" vertical="top" wrapText="1"/>
    </xf>
    <xf numFmtId="164" fontId="2" fillId="4" borderId="24" xfId="0" applyNumberFormat="1" applyFont="1" applyFill="1" applyBorder="1" applyAlignment="1">
      <alignment horizontal="center" vertical="top" wrapText="1"/>
    </xf>
    <xf numFmtId="164" fontId="1" fillId="5" borderId="24" xfId="0" applyNumberFormat="1" applyFont="1" applyFill="1" applyBorder="1" applyAlignment="1">
      <alignment horizontal="center" vertical="top"/>
    </xf>
    <xf numFmtId="164" fontId="1" fillId="0" borderId="24" xfId="0" applyNumberFormat="1" applyFont="1" applyBorder="1" applyAlignment="1">
      <alignment horizontal="center" vertical="top"/>
    </xf>
    <xf numFmtId="164" fontId="1" fillId="4" borderId="24" xfId="0" applyNumberFormat="1" applyFont="1" applyFill="1" applyBorder="1" applyAlignment="1">
      <alignment horizontal="center" vertical="top"/>
    </xf>
    <xf numFmtId="164" fontId="2" fillId="7" borderId="15" xfId="0" applyNumberFormat="1" applyFont="1" applyFill="1" applyBorder="1" applyAlignment="1">
      <alignment horizontal="center" vertical="top"/>
    </xf>
    <xf numFmtId="164" fontId="1" fillId="0" borderId="45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164" fontId="11" fillId="0" borderId="6" xfId="0" applyNumberFormat="1" applyFont="1" applyBorder="1" applyAlignment="1">
      <alignment horizontal="center" vertical="center" textRotation="90" wrapText="1"/>
    </xf>
    <xf numFmtId="164" fontId="2" fillId="7" borderId="53" xfId="0" applyNumberFormat="1" applyFont="1" applyFill="1" applyBorder="1" applyAlignment="1">
      <alignment horizontal="center" vertical="top" wrapText="1"/>
    </xf>
    <xf numFmtId="164" fontId="2" fillId="4" borderId="22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/>
    </xf>
    <xf numFmtId="164" fontId="1" fillId="4" borderId="22" xfId="0" applyNumberFormat="1" applyFont="1" applyFill="1" applyBorder="1" applyAlignment="1">
      <alignment horizontal="center" vertical="top"/>
    </xf>
    <xf numFmtId="164" fontId="2" fillId="7" borderId="53" xfId="0" applyNumberFormat="1" applyFont="1" applyFill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1" fillId="0" borderId="53" xfId="0" applyNumberFormat="1" applyFont="1" applyBorder="1" applyAlignment="1">
      <alignment horizontal="center" vertical="top"/>
    </xf>
    <xf numFmtId="164" fontId="2" fillId="7" borderId="10" xfId="0" applyNumberFormat="1" applyFont="1" applyFill="1" applyBorder="1" applyAlignment="1">
      <alignment horizontal="center" vertical="top" wrapText="1"/>
    </xf>
    <xf numFmtId="164" fontId="2" fillId="4" borderId="55" xfId="0" applyNumberFormat="1" applyFont="1" applyFill="1" applyBorder="1" applyAlignment="1">
      <alignment horizontal="center" vertical="top" wrapText="1"/>
    </xf>
    <xf numFmtId="164" fontId="1" fillId="0" borderId="55" xfId="0" applyNumberFormat="1" applyFont="1" applyBorder="1" applyAlignment="1">
      <alignment horizontal="center" vertical="top"/>
    </xf>
    <xf numFmtId="164" fontId="1" fillId="4" borderId="55" xfId="0" applyNumberFormat="1" applyFont="1" applyFill="1" applyBorder="1" applyAlignment="1">
      <alignment horizontal="center" vertical="top"/>
    </xf>
    <xf numFmtId="164" fontId="2" fillId="7" borderId="10" xfId="0" applyNumberFormat="1" applyFont="1" applyFill="1" applyBorder="1" applyAlignment="1">
      <alignment horizontal="center" vertical="top"/>
    </xf>
    <xf numFmtId="164" fontId="1" fillId="0" borderId="11" xfId="0" applyNumberFormat="1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center" textRotation="90" wrapText="1"/>
    </xf>
    <xf numFmtId="164" fontId="1" fillId="5" borderId="22" xfId="0" applyNumberFormat="1" applyFont="1" applyFill="1" applyBorder="1" applyAlignment="1">
      <alignment horizontal="center" vertical="top" wrapText="1"/>
    </xf>
    <xf numFmtId="164" fontId="1" fillId="5" borderId="23" xfId="0" applyNumberFormat="1" applyFont="1" applyFill="1" applyBorder="1" applyAlignment="1">
      <alignment horizontal="center" vertical="top"/>
    </xf>
    <xf numFmtId="164" fontId="2" fillId="4" borderId="14" xfId="0" applyNumberFormat="1" applyFont="1" applyFill="1" applyBorder="1" applyAlignment="1">
      <alignment horizontal="center" vertical="top" wrapText="1"/>
    </xf>
    <xf numFmtId="164" fontId="1" fillId="5" borderId="40" xfId="0" applyNumberFormat="1" applyFont="1" applyFill="1" applyBorder="1" applyAlignment="1">
      <alignment horizontal="center" vertical="top" wrapText="1"/>
    </xf>
    <xf numFmtId="164" fontId="1" fillId="5" borderId="24" xfId="0" applyNumberFormat="1" applyFont="1" applyFill="1" applyBorder="1" applyAlignment="1">
      <alignment horizontal="center" vertical="top" wrapText="1"/>
    </xf>
    <xf numFmtId="164" fontId="1" fillId="5" borderId="15" xfId="0" applyNumberFormat="1" applyFont="1" applyFill="1" applyBorder="1" applyAlignment="1">
      <alignment horizontal="center" vertical="top" wrapText="1"/>
    </xf>
    <xf numFmtId="164" fontId="1" fillId="5" borderId="54" xfId="0" applyNumberFormat="1" applyFont="1" applyFill="1" applyBorder="1" applyAlignment="1">
      <alignment horizontal="center" vertical="top"/>
    </xf>
    <xf numFmtId="164" fontId="2" fillId="4" borderId="33" xfId="0" applyNumberFormat="1" applyFont="1" applyFill="1" applyBorder="1" applyAlignment="1">
      <alignment horizontal="center" vertical="top" wrapText="1"/>
    </xf>
    <xf numFmtId="164" fontId="2" fillId="4" borderId="53" xfId="0" applyNumberFormat="1" applyFont="1" applyFill="1" applyBorder="1" applyAlignment="1">
      <alignment horizontal="center" vertical="top"/>
    </xf>
    <xf numFmtId="164" fontId="2" fillId="4" borderId="15" xfId="0" applyNumberFormat="1" applyFont="1" applyFill="1" applyBorder="1" applyAlignment="1">
      <alignment horizontal="center" vertical="top"/>
    </xf>
    <xf numFmtId="164" fontId="2" fillId="4" borderId="53" xfId="0" applyNumberFormat="1" applyFont="1" applyFill="1" applyBorder="1" applyAlignment="1">
      <alignment horizontal="center" vertical="top" wrapText="1"/>
    </xf>
    <xf numFmtId="164" fontId="2" fillId="4" borderId="15" xfId="0" applyNumberFormat="1" applyFont="1" applyFill="1" applyBorder="1" applyAlignment="1">
      <alignment horizontal="center" vertical="top" wrapText="1"/>
    </xf>
    <xf numFmtId="164" fontId="2" fillId="4" borderId="34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 wrapText="1"/>
    </xf>
    <xf numFmtId="164" fontId="1" fillId="5" borderId="55" xfId="0" applyNumberFormat="1" applyFont="1" applyFill="1" applyBorder="1" applyAlignment="1">
      <alignment horizontal="center" vertical="top" wrapText="1"/>
    </xf>
    <xf numFmtId="164" fontId="2" fillId="4" borderId="61" xfId="0" applyNumberFormat="1" applyFont="1" applyFill="1" applyBorder="1" applyAlignment="1">
      <alignment horizontal="center" vertical="top" wrapText="1"/>
    </xf>
    <xf numFmtId="164" fontId="1" fillId="5" borderId="10" xfId="0" applyNumberFormat="1" applyFont="1" applyFill="1" applyBorder="1" applyAlignment="1">
      <alignment horizontal="center" vertical="top" wrapText="1"/>
    </xf>
    <xf numFmtId="164" fontId="2" fillId="4" borderId="10" xfId="0" applyNumberFormat="1" applyFont="1" applyFill="1" applyBorder="1" applyAlignment="1">
      <alignment horizontal="center" vertical="top" wrapText="1"/>
    </xf>
    <xf numFmtId="164" fontId="1" fillId="5" borderId="45" xfId="0" applyNumberFormat="1" applyFont="1" applyFill="1" applyBorder="1" applyAlignment="1">
      <alignment horizontal="center" vertical="top" wrapText="1"/>
    </xf>
    <xf numFmtId="164" fontId="1" fillId="5" borderId="63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/>
    </xf>
    <xf numFmtId="164" fontId="1" fillId="5" borderId="62" xfId="0" applyNumberFormat="1" applyFont="1" applyFill="1" applyBorder="1" applyAlignment="1">
      <alignment horizontal="center" vertical="top"/>
    </xf>
    <xf numFmtId="0" fontId="1" fillId="5" borderId="53" xfId="0" applyFont="1" applyFill="1" applyBorder="1" applyAlignment="1">
      <alignment horizontal="center" vertical="top" wrapText="1"/>
    </xf>
    <xf numFmtId="164" fontId="1" fillId="5" borderId="6" xfId="0" applyNumberFormat="1" applyFont="1" applyFill="1" applyBorder="1" applyAlignment="1">
      <alignment horizontal="center" vertical="top" wrapText="1"/>
    </xf>
    <xf numFmtId="164" fontId="1" fillId="3" borderId="40" xfId="0" applyNumberFormat="1" applyFont="1" applyFill="1" applyBorder="1" applyAlignment="1">
      <alignment horizontal="center" vertical="top"/>
    </xf>
    <xf numFmtId="164" fontId="1" fillId="5" borderId="45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164" fontId="1" fillId="5" borderId="40" xfId="0" applyNumberFormat="1" applyFont="1" applyFill="1" applyBorder="1" applyAlignment="1">
      <alignment horizontal="center" vertical="top"/>
    </xf>
    <xf numFmtId="164" fontId="2" fillId="4" borderId="45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 wrapText="1"/>
    </xf>
    <xf numFmtId="164" fontId="2" fillId="4" borderId="11" xfId="0" applyNumberFormat="1" applyFont="1" applyFill="1" applyBorder="1" applyAlignment="1">
      <alignment horizontal="center" vertical="top"/>
    </xf>
    <xf numFmtId="164" fontId="1" fillId="0" borderId="40" xfId="0" applyNumberFormat="1" applyFont="1" applyFill="1" applyBorder="1" applyAlignment="1">
      <alignment horizontal="center" vertical="top"/>
    </xf>
    <xf numFmtId="164" fontId="1" fillId="0" borderId="45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3" fontId="1" fillId="0" borderId="40" xfId="0" applyNumberFormat="1" applyFont="1" applyBorder="1" applyAlignment="1">
      <alignment horizontal="center" vertical="top" wrapText="1"/>
    </xf>
    <xf numFmtId="3" fontId="1" fillId="0" borderId="41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Fill="1" applyBorder="1" applyAlignment="1">
      <alignment horizontal="center" vertical="top" wrapText="1"/>
    </xf>
    <xf numFmtId="3" fontId="1" fillId="0" borderId="54" xfId="0" applyNumberFormat="1" applyFont="1" applyFill="1" applyBorder="1" applyAlignment="1">
      <alignment horizontal="center" vertical="top" wrapText="1"/>
    </xf>
    <xf numFmtId="3" fontId="1" fillId="0" borderId="45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3" fontId="1" fillId="0" borderId="73" xfId="0" applyNumberFormat="1" applyFont="1" applyFill="1" applyBorder="1" applyAlignment="1">
      <alignment horizontal="center" vertical="top" wrapText="1"/>
    </xf>
    <xf numFmtId="3" fontId="1" fillId="5" borderId="29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1" fontId="1" fillId="0" borderId="48" xfId="0" applyNumberFormat="1" applyFont="1" applyFill="1" applyBorder="1" applyAlignment="1">
      <alignment horizontal="center" vertical="top" wrapText="1"/>
    </xf>
    <xf numFmtId="1" fontId="1" fillId="0" borderId="54" xfId="0" applyNumberFormat="1" applyFont="1" applyFill="1" applyBorder="1" applyAlignment="1">
      <alignment horizontal="center" vertical="top" wrapText="1"/>
    </xf>
    <xf numFmtId="1" fontId="1" fillId="5" borderId="10" xfId="0" applyNumberFormat="1" applyFont="1" applyFill="1" applyBorder="1" applyAlignment="1">
      <alignment horizontal="center" vertical="top" wrapText="1"/>
    </xf>
    <xf numFmtId="1" fontId="1" fillId="5" borderId="15" xfId="0" applyNumberFormat="1" applyFont="1" applyFill="1" applyBorder="1" applyAlignment="1">
      <alignment horizontal="center" vertical="top" wrapText="1"/>
    </xf>
    <xf numFmtId="3" fontId="1" fillId="5" borderId="24" xfId="0" applyNumberFormat="1" applyFont="1" applyFill="1" applyBorder="1" applyAlignment="1">
      <alignment vertical="top" wrapText="1"/>
    </xf>
    <xf numFmtId="0" fontId="1" fillId="5" borderId="53" xfId="0" applyFont="1" applyFill="1" applyBorder="1" applyAlignment="1">
      <alignment horizontal="center" vertical="top"/>
    </xf>
    <xf numFmtId="3" fontId="1" fillId="5" borderId="10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 wrapText="1"/>
    </xf>
    <xf numFmtId="1" fontId="1" fillId="5" borderId="40" xfId="0" applyNumberFormat="1" applyFont="1" applyFill="1" applyBorder="1" applyAlignment="1">
      <alignment horizontal="center" vertical="top" wrapText="1"/>
    </xf>
    <xf numFmtId="1" fontId="1" fillId="5" borderId="45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center" vertical="top" wrapText="1"/>
    </xf>
    <xf numFmtId="3" fontId="1" fillId="5" borderId="41" xfId="0" applyNumberFormat="1" applyFont="1" applyFill="1" applyBorder="1" applyAlignment="1">
      <alignment horizontal="center" vertical="top" wrapText="1"/>
    </xf>
    <xf numFmtId="3" fontId="1" fillId="5" borderId="17" xfId="0" applyNumberFormat="1" applyFont="1" applyFill="1" applyBorder="1" applyAlignment="1">
      <alignment horizontal="center" vertical="top" wrapText="1"/>
    </xf>
    <xf numFmtId="1" fontId="1" fillId="5" borderId="4" xfId="0" applyNumberFormat="1" applyFont="1" applyFill="1" applyBorder="1" applyAlignment="1">
      <alignment horizontal="center" vertical="top" wrapText="1"/>
    </xf>
    <xf numFmtId="1" fontId="1" fillId="5" borderId="11" xfId="0" applyNumberFormat="1" applyFont="1" applyFill="1" applyBorder="1" applyAlignment="1">
      <alignment horizontal="center" vertical="top" wrapText="1"/>
    </xf>
    <xf numFmtId="3" fontId="1" fillId="0" borderId="55" xfId="0" applyNumberFormat="1" applyFont="1" applyBorder="1" applyAlignment="1">
      <alignment horizontal="center" vertical="top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 wrapText="1"/>
    </xf>
    <xf numFmtId="3" fontId="1" fillId="5" borderId="45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Border="1"/>
    <xf numFmtId="3" fontId="1" fillId="0" borderId="24" xfId="0" applyNumberFormat="1" applyFont="1" applyBorder="1"/>
    <xf numFmtId="164" fontId="1" fillId="5" borderId="15" xfId="0" applyNumberFormat="1" applyFont="1" applyFill="1" applyBorder="1"/>
    <xf numFmtId="3" fontId="1" fillId="5" borderId="54" xfId="0" applyNumberFormat="1" applyFont="1" applyFill="1" applyBorder="1" applyAlignment="1">
      <alignment horizontal="center" vertical="top" wrapText="1"/>
    </xf>
    <xf numFmtId="3" fontId="1" fillId="5" borderId="15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Border="1"/>
    <xf numFmtId="3" fontId="1" fillId="5" borderId="45" xfId="0" applyNumberFormat="1" applyFont="1" applyFill="1" applyBorder="1" applyAlignment="1">
      <alignment vertical="top" wrapText="1"/>
    </xf>
    <xf numFmtId="3" fontId="1" fillId="0" borderId="54" xfId="0" applyNumberFormat="1" applyFont="1" applyBorder="1" applyAlignment="1">
      <alignment horizontal="center" vertical="top"/>
    </xf>
    <xf numFmtId="3" fontId="1" fillId="0" borderId="45" xfId="0" applyNumberFormat="1" applyFont="1" applyBorder="1" applyAlignment="1">
      <alignment horizontal="center" vertical="top"/>
    </xf>
    <xf numFmtId="3" fontId="1" fillId="5" borderId="4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/>
    <xf numFmtId="3" fontId="1" fillId="0" borderId="55" xfId="0" applyNumberFormat="1" applyFont="1" applyBorder="1"/>
    <xf numFmtId="164" fontId="1" fillId="5" borderId="10" xfId="0" applyNumberFormat="1" applyFont="1" applyFill="1" applyBorder="1"/>
    <xf numFmtId="3" fontId="1" fillId="5" borderId="48" xfId="0" applyNumberFormat="1" applyFont="1" applyFill="1" applyBorder="1" applyAlignment="1">
      <alignment horizontal="center" vertical="top" wrapText="1"/>
    </xf>
    <xf numFmtId="164" fontId="1" fillId="0" borderId="16" xfId="0" applyNumberFormat="1" applyFont="1" applyBorder="1"/>
    <xf numFmtId="3" fontId="1" fillId="5" borderId="11" xfId="0" applyNumberFormat="1" applyFont="1" applyFill="1" applyBorder="1" applyAlignment="1">
      <alignment vertical="top" wrapText="1"/>
    </xf>
    <xf numFmtId="3" fontId="1" fillId="0" borderId="48" xfId="0" applyNumberFormat="1" applyFont="1" applyBorder="1" applyAlignment="1">
      <alignment horizontal="center" vertical="top"/>
    </xf>
    <xf numFmtId="3" fontId="1" fillId="0" borderId="11" xfId="0" applyNumberFormat="1" applyFont="1" applyBorder="1" applyAlignment="1">
      <alignment horizontal="center" vertical="top"/>
    </xf>
    <xf numFmtId="3" fontId="1" fillId="5" borderId="55" xfId="0" applyNumberFormat="1" applyFont="1" applyFill="1" applyBorder="1" applyAlignment="1">
      <alignment vertical="top" wrapText="1"/>
    </xf>
    <xf numFmtId="3" fontId="1" fillId="5" borderId="5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Border="1"/>
    <xf numFmtId="164" fontId="1" fillId="5" borderId="43" xfId="0" applyNumberFormat="1" applyFont="1" applyFill="1" applyBorder="1"/>
    <xf numFmtId="164" fontId="1" fillId="0" borderId="17" xfId="0" applyNumberFormat="1" applyFont="1" applyBorder="1"/>
    <xf numFmtId="3" fontId="1" fillId="5" borderId="50" xfId="0" applyNumberFormat="1" applyFont="1" applyFill="1" applyBorder="1" applyAlignment="1">
      <alignment vertical="top" wrapText="1"/>
    </xf>
    <xf numFmtId="3" fontId="1" fillId="5" borderId="40" xfId="0" applyNumberFormat="1" applyFont="1" applyFill="1" applyBorder="1" applyAlignment="1">
      <alignment horizontal="center" vertical="top" wrapText="1"/>
    </xf>
    <xf numFmtId="3" fontId="1" fillId="5" borderId="24" xfId="0" applyNumberFormat="1" applyFont="1" applyFill="1" applyBorder="1" applyAlignment="1">
      <alignment horizontal="center" vertical="top" wrapText="1"/>
    </xf>
    <xf numFmtId="3" fontId="1" fillId="5" borderId="55" xfId="0" applyNumberFormat="1" applyFont="1" applyFill="1" applyBorder="1" applyAlignment="1">
      <alignment horizontal="center" vertical="top" wrapText="1"/>
    </xf>
    <xf numFmtId="3" fontId="1" fillId="0" borderId="41" xfId="0" applyNumberFormat="1" applyFont="1" applyBorder="1" applyAlignment="1">
      <alignment horizontal="center" vertical="center" textRotation="90"/>
    </xf>
    <xf numFmtId="3" fontId="1" fillId="0" borderId="61" xfId="0" applyNumberFormat="1" applyFont="1" applyBorder="1" applyAlignment="1">
      <alignment horizontal="center" vertical="center" textRotation="90"/>
    </xf>
    <xf numFmtId="3" fontId="1" fillId="0" borderId="22" xfId="0" applyNumberFormat="1" applyFont="1" applyBorder="1" applyAlignment="1">
      <alignment horizontal="center" vertical="top"/>
    </xf>
    <xf numFmtId="3" fontId="1" fillId="5" borderId="43" xfId="0" applyNumberFormat="1" applyFont="1" applyFill="1" applyBorder="1" applyAlignment="1">
      <alignment horizontal="left" vertical="top" wrapText="1"/>
    </xf>
    <xf numFmtId="3" fontId="1" fillId="0" borderId="34" xfId="0" applyNumberFormat="1" applyFont="1" applyFill="1" applyBorder="1" applyAlignment="1">
      <alignment horizontal="center" vertical="top" wrapText="1"/>
    </xf>
    <xf numFmtId="164" fontId="1" fillId="5" borderId="14" xfId="0" applyNumberFormat="1" applyFont="1" applyFill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55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1" fontId="1" fillId="5" borderId="53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/>
    <xf numFmtId="1" fontId="1" fillId="5" borderId="28" xfId="0" applyNumberFormat="1" applyFont="1" applyFill="1" applyBorder="1" applyAlignment="1">
      <alignment horizontal="center" vertical="top" wrapText="1"/>
    </xf>
    <xf numFmtId="1" fontId="1" fillId="5" borderId="26" xfId="0" applyNumberFormat="1" applyFont="1" applyFill="1" applyBorder="1" applyAlignment="1">
      <alignment horizontal="center" vertical="top" wrapText="1"/>
    </xf>
    <xf numFmtId="1" fontId="1" fillId="5" borderId="34" xfId="0" applyNumberFormat="1" applyFont="1" applyFill="1" applyBorder="1" applyAlignment="1">
      <alignment horizontal="center" vertical="top" wrapText="1"/>
    </xf>
    <xf numFmtId="1" fontId="1" fillId="5" borderId="22" xfId="0" applyNumberFormat="1" applyFont="1" applyFill="1" applyBorder="1" applyAlignment="1">
      <alignment horizontal="center" vertical="top" wrapText="1"/>
    </xf>
    <xf numFmtId="1" fontId="1" fillId="0" borderId="22" xfId="0" applyNumberFormat="1" applyFont="1" applyBorder="1" applyAlignment="1">
      <alignment horizontal="center" vertical="top"/>
    </xf>
    <xf numFmtId="1" fontId="1" fillId="0" borderId="34" xfId="0" applyNumberFormat="1" applyFont="1" applyFill="1" applyBorder="1" applyAlignment="1">
      <alignment horizontal="center" vertical="top" wrapText="1"/>
    </xf>
    <xf numFmtId="3" fontId="1" fillId="0" borderId="32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horizontal="center" vertical="top" wrapText="1"/>
    </xf>
    <xf numFmtId="0" fontId="1" fillId="0" borderId="34" xfId="0" applyNumberFormat="1" applyFont="1" applyFill="1" applyBorder="1" applyAlignment="1">
      <alignment horizontal="center" vertical="top" wrapText="1"/>
    </xf>
    <xf numFmtId="0" fontId="1" fillId="5" borderId="34" xfId="0" applyFont="1" applyFill="1" applyBorder="1" applyAlignment="1">
      <alignment horizontal="center" vertical="top" wrapText="1"/>
    </xf>
    <xf numFmtId="3" fontId="1" fillId="5" borderId="32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wrapText="1"/>
    </xf>
    <xf numFmtId="164" fontId="1" fillId="5" borderId="14" xfId="0" applyNumberFormat="1" applyFont="1" applyFill="1" applyBorder="1" applyAlignment="1">
      <alignment horizontal="center" vertical="top" wrapText="1"/>
    </xf>
    <xf numFmtId="164" fontId="1" fillId="5" borderId="2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vertical="top"/>
    </xf>
    <xf numFmtId="49" fontId="1" fillId="3" borderId="31" xfId="0" applyNumberFormat="1" applyFont="1" applyFill="1" applyBorder="1" applyAlignment="1">
      <alignment vertical="top"/>
    </xf>
    <xf numFmtId="3" fontId="2" fillId="5" borderId="28" xfId="0" applyNumberFormat="1" applyFont="1" applyFill="1" applyBorder="1" applyAlignment="1">
      <alignment vertical="top"/>
    </xf>
    <xf numFmtId="49" fontId="2" fillId="3" borderId="11" xfId="0" applyNumberFormat="1" applyFont="1" applyFill="1" applyBorder="1" applyAlignment="1">
      <alignment vertical="top"/>
    </xf>
    <xf numFmtId="49" fontId="1" fillId="3" borderId="37" xfId="0" applyNumberFormat="1" applyFont="1" applyFill="1" applyBorder="1" applyAlignment="1">
      <alignment vertical="top"/>
    </xf>
    <xf numFmtId="3" fontId="2" fillId="5" borderId="26" xfId="0" applyNumberFormat="1" applyFont="1" applyFill="1" applyBorder="1" applyAlignment="1">
      <alignment vertical="top"/>
    </xf>
    <xf numFmtId="3" fontId="5" fillId="0" borderId="11" xfId="0" applyNumberFormat="1" applyFont="1" applyFill="1" applyBorder="1" applyAlignment="1">
      <alignment vertical="center" textRotation="90" wrapText="1"/>
    </xf>
    <xf numFmtId="164" fontId="1" fillId="3" borderId="28" xfId="0" applyNumberFormat="1" applyFont="1" applyFill="1" applyBorder="1" applyAlignment="1">
      <alignment horizontal="center"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164" fontId="1" fillId="3" borderId="40" xfId="0" applyNumberFormat="1" applyFont="1" applyFill="1" applyBorder="1" applyAlignment="1">
      <alignment horizontal="center" vertical="top" wrapText="1"/>
    </xf>
    <xf numFmtId="164" fontId="1" fillId="3" borderId="53" xfId="0" applyNumberFormat="1" applyFont="1" applyFill="1" applyBorder="1" applyAlignment="1">
      <alignment horizontal="center" vertical="top" wrapText="1"/>
    </xf>
    <xf numFmtId="164" fontId="1" fillId="3" borderId="52" xfId="0" applyNumberFormat="1" applyFont="1" applyFill="1" applyBorder="1" applyAlignment="1">
      <alignment horizontal="center" vertical="top" wrapText="1"/>
    </xf>
    <xf numFmtId="3" fontId="1" fillId="0" borderId="57" xfId="0" applyNumberFormat="1" applyFont="1" applyBorder="1" applyAlignment="1">
      <alignment horizontal="center" vertical="top" wrapText="1"/>
    </xf>
    <xf numFmtId="3" fontId="1" fillId="0" borderId="56" xfId="0" applyNumberFormat="1" applyFont="1" applyBorder="1" applyAlignment="1">
      <alignment horizontal="center" vertical="top" wrapText="1"/>
    </xf>
    <xf numFmtId="164" fontId="2" fillId="5" borderId="52" xfId="0" applyNumberFormat="1" applyFont="1" applyFill="1" applyBorder="1" applyAlignment="1">
      <alignment horizontal="center" vertical="top"/>
    </xf>
    <xf numFmtId="3" fontId="2" fillId="5" borderId="50" xfId="0" applyNumberFormat="1" applyFont="1" applyFill="1" applyBorder="1" applyAlignment="1">
      <alignment horizontal="center" vertical="top"/>
    </xf>
    <xf numFmtId="164" fontId="1" fillId="5" borderId="2" xfId="0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/>
    </xf>
    <xf numFmtId="3" fontId="1" fillId="0" borderId="22" xfId="0" applyNumberFormat="1" applyFont="1" applyFill="1" applyBorder="1" applyAlignment="1">
      <alignment horizontal="center" vertical="top" textRotation="90" wrapText="1"/>
    </xf>
    <xf numFmtId="3" fontId="2" fillId="5" borderId="62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center" vertical="top" textRotation="90" wrapText="1"/>
    </xf>
    <xf numFmtId="3" fontId="1" fillId="0" borderId="15" xfId="0" applyNumberFormat="1" applyFont="1" applyFill="1" applyBorder="1" applyAlignment="1">
      <alignment horizontal="center" vertical="top"/>
    </xf>
    <xf numFmtId="164" fontId="1" fillId="0" borderId="34" xfId="0" applyNumberFormat="1" applyFont="1" applyBorder="1" applyAlignment="1">
      <alignment horizontal="center" vertical="top"/>
    </xf>
    <xf numFmtId="164" fontId="1" fillId="5" borderId="53" xfId="0" applyNumberFormat="1" applyFont="1" applyFill="1" applyBorder="1"/>
    <xf numFmtId="164" fontId="1" fillId="0" borderId="32" xfId="0" applyNumberFormat="1" applyFont="1" applyBorder="1"/>
    <xf numFmtId="0" fontId="1" fillId="5" borderId="48" xfId="0" applyFont="1" applyFill="1" applyBorder="1" applyAlignment="1">
      <alignment horizontal="center" vertical="top"/>
    </xf>
    <xf numFmtId="3" fontId="2" fillId="5" borderId="22" xfId="0" applyNumberFormat="1" applyFont="1" applyFill="1" applyBorder="1" applyAlignment="1">
      <alignment vertical="top" wrapText="1"/>
    </xf>
    <xf numFmtId="0" fontId="1" fillId="5" borderId="22" xfId="0" applyFont="1" applyFill="1" applyBorder="1" applyAlignment="1">
      <alignment horizontal="center" vertical="top"/>
    </xf>
    <xf numFmtId="0" fontId="1" fillId="5" borderId="55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/>
    </xf>
    <xf numFmtId="49" fontId="1" fillId="3" borderId="36" xfId="0" applyNumberFormat="1" applyFont="1" applyFill="1" applyBorder="1" applyAlignment="1">
      <alignment horizontal="center" vertical="top" wrapText="1"/>
    </xf>
    <xf numFmtId="164" fontId="2" fillId="5" borderId="23" xfId="0" applyNumberFormat="1" applyFont="1" applyFill="1" applyBorder="1" applyAlignment="1">
      <alignment horizontal="center" vertical="top"/>
    </xf>
    <xf numFmtId="164" fontId="2" fillId="4" borderId="54" xfId="0" applyNumberFormat="1" applyFont="1" applyFill="1" applyBorder="1" applyAlignment="1">
      <alignment horizontal="center" vertical="top"/>
    </xf>
    <xf numFmtId="3" fontId="1" fillId="0" borderId="5" xfId="0" applyNumberFormat="1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center" vertical="top" wrapText="1"/>
    </xf>
    <xf numFmtId="1" fontId="1" fillId="5" borderId="54" xfId="0" applyNumberFormat="1" applyFont="1" applyFill="1" applyBorder="1" applyAlignment="1">
      <alignment horizontal="center" vertical="top" wrapText="1"/>
    </xf>
    <xf numFmtId="1" fontId="1" fillId="5" borderId="9" xfId="0" applyNumberFormat="1" applyFont="1" applyFill="1" applyBorder="1" applyAlignment="1">
      <alignment horizontal="center" vertical="top" wrapText="1"/>
    </xf>
    <xf numFmtId="1" fontId="1" fillId="5" borderId="57" xfId="0" applyNumberFormat="1" applyFont="1" applyFill="1" applyBorder="1" applyAlignment="1">
      <alignment horizontal="center" vertical="top" wrapText="1"/>
    </xf>
    <xf numFmtId="1" fontId="1" fillId="5" borderId="55" xfId="0" applyNumberFormat="1" applyFont="1" applyFill="1" applyBorder="1" applyAlignment="1">
      <alignment horizontal="center" vertical="top" wrapText="1"/>
    </xf>
    <xf numFmtId="1" fontId="1" fillId="5" borderId="24" xfId="0" applyNumberFormat="1" applyFont="1" applyFill="1" applyBorder="1" applyAlignment="1">
      <alignment horizontal="center" vertical="top" wrapText="1"/>
    </xf>
    <xf numFmtId="1" fontId="1" fillId="0" borderId="9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57" xfId="0" applyNumberFormat="1" applyFont="1" applyBorder="1" applyAlignment="1">
      <alignment horizontal="center" vertical="top"/>
    </xf>
    <xf numFmtId="3" fontId="1" fillId="0" borderId="10" xfId="0" applyNumberFormat="1" applyFont="1" applyBorder="1" applyAlignment="1">
      <alignment horizontal="center" vertical="top"/>
    </xf>
    <xf numFmtId="3" fontId="1" fillId="0" borderId="15" xfId="0" applyNumberFormat="1" applyFont="1" applyBorder="1" applyAlignment="1">
      <alignment horizontal="center" vertical="top"/>
    </xf>
    <xf numFmtId="3" fontId="1" fillId="0" borderId="9" xfId="0" applyNumberFormat="1" applyFont="1" applyBorder="1" applyAlignment="1">
      <alignment horizontal="center" vertical="top"/>
    </xf>
    <xf numFmtId="3" fontId="1" fillId="0" borderId="57" xfId="0" applyNumberFormat="1" applyFont="1" applyBorder="1" applyAlignment="1">
      <alignment horizontal="center" vertical="top"/>
    </xf>
    <xf numFmtId="0" fontId="1" fillId="5" borderId="43" xfId="0" applyNumberFormat="1" applyFont="1" applyFill="1" applyBorder="1" applyAlignment="1">
      <alignment vertical="top" wrapText="1"/>
    </xf>
    <xf numFmtId="0" fontId="1" fillId="5" borderId="43" xfId="0" applyNumberFormat="1" applyFont="1" applyFill="1" applyBorder="1" applyAlignment="1">
      <alignment horizontal="left" vertical="top" wrapText="1"/>
    </xf>
    <xf numFmtId="3" fontId="1" fillId="0" borderId="9" xfId="0" applyNumberFormat="1" applyFont="1" applyFill="1" applyBorder="1" applyAlignment="1">
      <alignment horizontal="center" vertical="top" wrapText="1"/>
    </xf>
    <xf numFmtId="3" fontId="1" fillId="0" borderId="43" xfId="0" applyNumberFormat="1" applyFont="1" applyFill="1" applyBorder="1" applyAlignment="1">
      <alignment vertical="top" wrapText="1"/>
    </xf>
    <xf numFmtId="164" fontId="1" fillId="5" borderId="52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54" xfId="0" applyNumberFormat="1" applyFont="1" applyFill="1" applyBorder="1" applyAlignment="1">
      <alignment horizontal="center" vertical="top" wrapText="1"/>
    </xf>
    <xf numFmtId="164" fontId="1" fillId="5" borderId="29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3" xfId="0" applyNumberFormat="1" applyFont="1" applyBorder="1" applyAlignment="1">
      <alignment horizontal="center" vertical="top"/>
    </xf>
    <xf numFmtId="3" fontId="1" fillId="0" borderId="40" xfId="0" applyNumberFormat="1" applyFont="1" applyBorder="1" applyAlignment="1">
      <alignment horizontal="center" vertical="top"/>
    </xf>
    <xf numFmtId="0" fontId="1" fillId="5" borderId="10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5" borderId="48" xfId="0" applyFont="1" applyFill="1" applyBorder="1" applyAlignment="1">
      <alignment horizontal="center" vertical="top" wrapText="1"/>
    </xf>
    <xf numFmtId="0" fontId="1" fillId="5" borderId="54" xfId="0" applyFont="1" applyFill="1" applyBorder="1" applyAlignment="1">
      <alignment horizontal="center" vertical="top" wrapText="1"/>
    </xf>
    <xf numFmtId="164" fontId="2" fillId="4" borderId="48" xfId="0" applyNumberFormat="1" applyFont="1" applyFill="1" applyBorder="1" applyAlignment="1">
      <alignment horizontal="center" vertical="top"/>
    </xf>
    <xf numFmtId="3" fontId="1" fillId="5" borderId="43" xfId="0" applyNumberFormat="1" applyFont="1" applyFill="1" applyBorder="1" applyAlignment="1">
      <alignment horizontal="center" vertical="top" wrapText="1"/>
    </xf>
    <xf numFmtId="3" fontId="1" fillId="5" borderId="10" xfId="0" applyNumberFormat="1" applyFont="1" applyFill="1" applyBorder="1" applyAlignment="1">
      <alignment horizontal="center" vertical="top"/>
    </xf>
    <xf numFmtId="165" fontId="1" fillId="5" borderId="34" xfId="0" applyNumberFormat="1" applyFont="1" applyFill="1" applyBorder="1" applyAlignment="1">
      <alignment horizontal="center" vertical="top"/>
    </xf>
    <xf numFmtId="165" fontId="1" fillId="5" borderId="48" xfId="0" applyNumberFormat="1" applyFont="1" applyFill="1" applyBorder="1" applyAlignment="1">
      <alignment horizontal="center" vertical="top"/>
    </xf>
    <xf numFmtId="165" fontId="1" fillId="5" borderId="54" xfId="0" applyNumberFormat="1" applyFont="1" applyFill="1" applyBorder="1" applyAlignment="1">
      <alignment horizontal="center" vertical="top"/>
    </xf>
    <xf numFmtId="3" fontId="1" fillId="5" borderId="52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164" fontId="2" fillId="5" borderId="22" xfId="0" applyNumberFormat="1" applyFont="1" applyFill="1" applyBorder="1" applyAlignment="1">
      <alignment horizontal="center" vertical="top"/>
    </xf>
    <xf numFmtId="164" fontId="2" fillId="5" borderId="55" xfId="0" applyNumberFormat="1" applyFont="1" applyFill="1" applyBorder="1" applyAlignment="1">
      <alignment horizontal="center" vertical="top"/>
    </xf>
    <xf numFmtId="3" fontId="1" fillId="5" borderId="47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5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43" xfId="0" applyNumberFormat="1" applyFont="1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center"/>
    </xf>
    <xf numFmtId="3" fontId="1" fillId="0" borderId="57" xfId="0" applyNumberFormat="1" applyFont="1" applyBorder="1" applyAlignment="1">
      <alignment horizontal="center"/>
    </xf>
    <xf numFmtId="0" fontId="1" fillId="5" borderId="43" xfId="0" applyFont="1" applyFill="1" applyBorder="1" applyAlignment="1">
      <alignment vertical="top" wrapText="1"/>
    </xf>
    <xf numFmtId="3" fontId="1" fillId="5" borderId="14" xfId="0" applyNumberFormat="1" applyFont="1" applyFill="1" applyBorder="1" applyAlignment="1">
      <alignment horizontal="center" vertical="top"/>
    </xf>
    <xf numFmtId="3" fontId="1" fillId="5" borderId="9" xfId="0" applyNumberFormat="1" applyFont="1" applyFill="1" applyBorder="1" applyAlignment="1">
      <alignment horizontal="center" vertical="top" wrapText="1"/>
    </xf>
    <xf numFmtId="3" fontId="1" fillId="5" borderId="57" xfId="0" applyNumberFormat="1" applyFont="1" applyFill="1" applyBorder="1" applyAlignment="1">
      <alignment horizontal="center" vertical="top" wrapText="1"/>
    </xf>
    <xf numFmtId="1" fontId="1" fillId="5" borderId="23" xfId="0" applyNumberFormat="1" applyFont="1" applyFill="1" applyBorder="1" applyAlignment="1">
      <alignment horizontal="center" vertical="top"/>
    </xf>
    <xf numFmtId="1" fontId="1" fillId="5" borderId="47" xfId="0" applyNumberFormat="1" applyFont="1" applyFill="1" applyBorder="1" applyAlignment="1">
      <alignment horizontal="center" vertical="top"/>
    </xf>
    <xf numFmtId="1" fontId="1" fillId="5" borderId="52" xfId="0" applyNumberFormat="1" applyFont="1" applyFill="1" applyBorder="1" applyAlignment="1">
      <alignment horizontal="center" vertical="top"/>
    </xf>
    <xf numFmtId="3" fontId="1" fillId="5" borderId="52" xfId="0" applyNumberFormat="1" applyFont="1" applyFill="1" applyBorder="1" applyAlignment="1">
      <alignment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center" vertical="top"/>
    </xf>
    <xf numFmtId="3" fontId="1" fillId="5" borderId="47" xfId="0" applyNumberFormat="1" applyFont="1" applyFill="1" applyBorder="1" applyAlignment="1">
      <alignment vertical="top" wrapText="1"/>
    </xf>
    <xf numFmtId="3" fontId="1" fillId="5" borderId="56" xfId="0" applyNumberFormat="1" applyFont="1" applyFill="1" applyBorder="1" applyAlignment="1">
      <alignment vertical="top" wrapText="1"/>
    </xf>
    <xf numFmtId="164" fontId="2" fillId="4" borderId="58" xfId="0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top" wrapText="1"/>
    </xf>
    <xf numFmtId="164" fontId="18" fillId="5" borderId="26" xfId="0" applyNumberFormat="1" applyFont="1" applyFill="1" applyBorder="1" applyAlignment="1">
      <alignment horizontal="center" vertical="top"/>
    </xf>
    <xf numFmtId="164" fontId="18" fillId="5" borderId="11" xfId="0" applyNumberFormat="1" applyFont="1" applyFill="1" applyBorder="1" applyAlignment="1">
      <alignment horizontal="center" vertical="top"/>
    </xf>
    <xf numFmtId="164" fontId="18" fillId="5" borderId="45" xfId="0" applyNumberFormat="1" applyFont="1" applyFill="1" applyBorder="1" applyAlignment="1">
      <alignment horizontal="center" vertical="top"/>
    </xf>
    <xf numFmtId="3" fontId="1" fillId="5" borderId="9" xfId="0" applyNumberFormat="1" applyFont="1" applyFill="1" applyBorder="1" applyAlignment="1">
      <alignment vertical="top" wrapText="1"/>
    </xf>
    <xf numFmtId="3" fontId="1" fillId="5" borderId="44" xfId="0" applyNumberFormat="1" applyFont="1" applyFill="1" applyBorder="1" applyAlignment="1">
      <alignment vertical="top" wrapText="1"/>
    </xf>
    <xf numFmtId="3" fontId="1" fillId="5" borderId="18" xfId="0" applyNumberFormat="1" applyFont="1" applyFill="1" applyBorder="1" applyAlignment="1">
      <alignment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center" vertical="top" wrapText="1"/>
    </xf>
    <xf numFmtId="3" fontId="1" fillId="5" borderId="23" xfId="0" applyNumberFormat="1" applyFont="1" applyFill="1" applyBorder="1" applyAlignment="1">
      <alignment horizontal="center" vertical="top" wrapText="1"/>
    </xf>
    <xf numFmtId="3" fontId="1" fillId="5" borderId="50" xfId="0" applyNumberFormat="1" applyFont="1" applyFill="1" applyBorder="1" applyAlignment="1">
      <alignment horizontal="center" vertical="top" wrapText="1"/>
    </xf>
    <xf numFmtId="165" fontId="1" fillId="5" borderId="10" xfId="0" applyNumberFormat="1" applyFont="1" applyFill="1" applyBorder="1" applyAlignment="1">
      <alignment horizontal="center" vertical="top"/>
    </xf>
    <xf numFmtId="165" fontId="1" fillId="5" borderId="53" xfId="0" applyNumberFormat="1" applyFont="1" applyFill="1" applyBorder="1" applyAlignment="1">
      <alignment horizontal="center" vertical="top"/>
    </xf>
    <xf numFmtId="165" fontId="1" fillId="5" borderId="15" xfId="0" applyNumberFormat="1" applyFont="1" applyFill="1" applyBorder="1" applyAlignment="1">
      <alignment horizontal="center" vertical="top"/>
    </xf>
    <xf numFmtId="3" fontId="18" fillId="5" borderId="53" xfId="0" applyNumberFormat="1" applyFont="1" applyFill="1" applyBorder="1" applyAlignment="1">
      <alignment horizontal="center" vertical="top"/>
    </xf>
    <xf numFmtId="3" fontId="18" fillId="5" borderId="10" xfId="0" applyNumberFormat="1" applyFont="1" applyFill="1" applyBorder="1" applyAlignment="1">
      <alignment horizontal="center" vertical="top"/>
    </xf>
    <xf numFmtId="1" fontId="1" fillId="5" borderId="48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vertical="top" wrapText="1"/>
    </xf>
    <xf numFmtId="3" fontId="1" fillId="0" borderId="50" xfId="0" applyNumberFormat="1" applyFont="1" applyFill="1" applyBorder="1" applyAlignment="1">
      <alignment horizontal="left" vertical="top" wrapText="1"/>
    </xf>
    <xf numFmtId="3" fontId="2" fillId="5" borderId="32" xfId="0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 textRotation="90"/>
    </xf>
    <xf numFmtId="49" fontId="1" fillId="3" borderId="57" xfId="0" applyNumberFormat="1" applyFont="1" applyFill="1" applyBorder="1" applyAlignment="1">
      <alignment horizontal="center" vertical="top"/>
    </xf>
    <xf numFmtId="49" fontId="1" fillId="3" borderId="39" xfId="0" applyNumberFormat="1" applyFont="1" applyFill="1" applyBorder="1" applyAlignment="1">
      <alignment horizontal="center" vertical="top"/>
    </xf>
    <xf numFmtId="1" fontId="1" fillId="5" borderId="22" xfId="0" applyNumberFormat="1" applyFont="1" applyFill="1" applyBorder="1" applyAlignment="1">
      <alignment horizontal="center" vertical="top"/>
    </xf>
    <xf numFmtId="1" fontId="1" fillId="5" borderId="9" xfId="0" applyNumberFormat="1" applyFont="1" applyFill="1" applyBorder="1" applyAlignment="1">
      <alignment horizontal="center" vertical="top"/>
    </xf>
    <xf numFmtId="3" fontId="18" fillId="0" borderId="53" xfId="0" applyNumberFormat="1" applyFont="1" applyFill="1" applyBorder="1" applyAlignment="1">
      <alignment horizontal="center" vertical="top" wrapText="1"/>
    </xf>
    <xf numFmtId="49" fontId="1" fillId="3" borderId="39" xfId="0" applyNumberFormat="1" applyFont="1" applyFill="1" applyBorder="1" applyAlignment="1">
      <alignment horizontal="center" vertical="top" wrapText="1"/>
    </xf>
    <xf numFmtId="3" fontId="1" fillId="5" borderId="8" xfId="0" applyNumberFormat="1" applyFont="1" applyFill="1" applyBorder="1" applyAlignment="1">
      <alignment horizontal="center" vertical="top" wrapText="1"/>
    </xf>
    <xf numFmtId="164" fontId="2" fillId="2" borderId="32" xfId="0" applyNumberFormat="1" applyFont="1" applyFill="1" applyBorder="1" applyAlignment="1">
      <alignment horizontal="center" vertical="top"/>
    </xf>
    <xf numFmtId="3" fontId="1" fillId="5" borderId="46" xfId="0" applyNumberFormat="1" applyFont="1" applyFill="1" applyBorder="1" applyAlignment="1">
      <alignment horizontal="left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55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3" fontId="1" fillId="0" borderId="48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49" fontId="1" fillId="3" borderId="49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50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3" fontId="1" fillId="0" borderId="43" xfId="0" applyNumberFormat="1" applyFont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3" fontId="1" fillId="5" borderId="56" xfId="0" applyNumberFormat="1" applyFont="1" applyFill="1" applyBorder="1" applyAlignment="1">
      <alignment horizontal="center" vertical="top" wrapText="1"/>
    </xf>
    <xf numFmtId="3" fontId="5" fillId="0" borderId="48" xfId="0" applyNumberFormat="1" applyFont="1" applyFill="1" applyBorder="1" applyAlignment="1">
      <alignment horizontal="center" vertical="top" textRotation="90" wrapText="1"/>
    </xf>
    <xf numFmtId="3" fontId="5" fillId="0" borderId="11" xfId="0" applyNumberFormat="1" applyFont="1" applyFill="1" applyBorder="1" applyAlignment="1">
      <alignment horizontal="center" vertical="top" textRotation="90" wrapText="1"/>
    </xf>
    <xf numFmtId="3" fontId="1" fillId="5" borderId="46" xfId="0" applyNumberFormat="1" applyFont="1" applyFill="1" applyBorder="1" applyAlignment="1">
      <alignment horizontal="center" vertical="top" wrapText="1"/>
    </xf>
    <xf numFmtId="3" fontId="1" fillId="5" borderId="12" xfId="0" applyNumberFormat="1" applyFont="1" applyFill="1" applyBorder="1" applyAlignment="1">
      <alignment horizontal="center" vertical="top" wrapText="1"/>
    </xf>
    <xf numFmtId="3" fontId="2" fillId="5" borderId="49" xfId="0" applyNumberFormat="1" applyFont="1" applyFill="1" applyBorder="1" applyAlignment="1">
      <alignment horizontal="center" vertical="top" wrapText="1"/>
    </xf>
    <xf numFmtId="3" fontId="2" fillId="5" borderId="37" xfId="0" applyNumberFormat="1" applyFont="1" applyFill="1" applyBorder="1" applyAlignment="1">
      <alignment horizontal="center" vertical="top" wrapText="1"/>
    </xf>
    <xf numFmtId="3" fontId="1" fillId="3" borderId="12" xfId="0" applyNumberFormat="1" applyFont="1" applyFill="1" applyBorder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center" vertical="center" textRotation="90" wrapText="1"/>
    </xf>
    <xf numFmtId="3" fontId="5" fillId="0" borderId="11" xfId="0" applyNumberFormat="1" applyFont="1" applyFill="1" applyBorder="1" applyAlignment="1">
      <alignment horizontal="center" vertical="center" textRotation="90" wrapText="1"/>
    </xf>
    <xf numFmtId="3" fontId="5" fillId="0" borderId="16" xfId="0" applyNumberFormat="1" applyFont="1" applyFill="1" applyBorder="1" applyAlignment="1">
      <alignment horizontal="center" vertical="center" textRotation="90" wrapText="1"/>
    </xf>
    <xf numFmtId="3" fontId="1" fillId="0" borderId="49" xfId="0" applyNumberFormat="1" applyFont="1" applyFill="1" applyBorder="1" applyAlignment="1">
      <alignment horizontal="center" vertical="top" wrapText="1"/>
    </xf>
    <xf numFmtId="49" fontId="2" fillId="3" borderId="0" xfId="0" applyNumberFormat="1" applyFont="1" applyFill="1" applyBorder="1" applyAlignment="1">
      <alignment horizontal="center" vertical="top"/>
    </xf>
    <xf numFmtId="3" fontId="1" fillId="0" borderId="56" xfId="0" applyNumberFormat="1" applyFont="1" applyFill="1" applyBorder="1" applyAlignment="1">
      <alignment horizontal="center" vertical="top" wrapText="1"/>
    </xf>
    <xf numFmtId="3" fontId="1" fillId="0" borderId="47" xfId="0" applyNumberFormat="1" applyFont="1" applyFill="1" applyBorder="1" applyAlignment="1">
      <alignment horizontal="center" vertical="top" wrapText="1"/>
    </xf>
    <xf numFmtId="49" fontId="2" fillId="9" borderId="26" xfId="0" applyNumberFormat="1" applyFont="1" applyFill="1" applyBorder="1" applyAlignment="1">
      <alignment horizontal="center" vertical="top"/>
    </xf>
    <xf numFmtId="49" fontId="1" fillId="0" borderId="49" xfId="0" applyNumberFormat="1" applyFont="1" applyBorder="1" applyAlignment="1">
      <alignment horizontal="center" vertical="top"/>
    </xf>
    <xf numFmtId="49" fontId="1" fillId="0" borderId="56" xfId="0" applyNumberFormat="1" applyFont="1" applyBorder="1" applyAlignment="1">
      <alignment horizontal="center" vertical="top"/>
    </xf>
    <xf numFmtId="3" fontId="2" fillId="4" borderId="34" xfId="0" applyNumberFormat="1" applyFont="1" applyFill="1" applyBorder="1" applyAlignment="1">
      <alignment horizontal="right" vertical="top"/>
    </xf>
    <xf numFmtId="3" fontId="2" fillId="4" borderId="35" xfId="0" applyNumberFormat="1" applyFont="1" applyFill="1" applyBorder="1" applyAlignment="1">
      <alignment horizontal="right" vertical="top"/>
    </xf>
    <xf numFmtId="49" fontId="2" fillId="2" borderId="16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left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49" fontId="1" fillId="3" borderId="37" xfId="0" applyNumberFormat="1" applyFont="1" applyFill="1" applyBorder="1" applyAlignment="1">
      <alignment horizontal="center" vertical="top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18" xfId="0" applyNumberFormat="1" applyFont="1" applyFill="1" applyBorder="1" applyAlignment="1">
      <alignment horizontal="center" vertical="top"/>
    </xf>
    <xf numFmtId="3" fontId="2" fillId="5" borderId="12" xfId="0" applyNumberFormat="1" applyFont="1" applyFill="1" applyBorder="1" applyAlignment="1">
      <alignment horizontal="left" vertical="top" wrapText="1"/>
    </xf>
    <xf numFmtId="3" fontId="5" fillId="5" borderId="11" xfId="0" applyNumberFormat="1" applyFont="1" applyFill="1" applyBorder="1" applyAlignment="1">
      <alignment horizontal="center" vertical="top" textRotation="90"/>
    </xf>
    <xf numFmtId="0" fontId="1" fillId="5" borderId="50" xfId="0" applyFont="1" applyFill="1" applyBorder="1" applyAlignment="1">
      <alignment horizontal="left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49" fontId="2" fillId="2" borderId="36" xfId="0" applyNumberFormat="1" applyFont="1" applyFill="1" applyBorder="1" applyAlignment="1">
      <alignment horizontal="center" vertical="top"/>
    </xf>
    <xf numFmtId="3" fontId="2" fillId="5" borderId="13" xfId="0" applyNumberFormat="1" applyFont="1" applyFill="1" applyBorder="1" applyAlignment="1">
      <alignment horizontal="center" vertical="top" wrapText="1"/>
    </xf>
    <xf numFmtId="3" fontId="2" fillId="5" borderId="46" xfId="0" applyNumberFormat="1" applyFont="1" applyFill="1" applyBorder="1" applyAlignment="1">
      <alignment horizontal="left" vertical="top" wrapText="1"/>
    </xf>
    <xf numFmtId="3" fontId="1" fillId="5" borderId="62" xfId="0" applyNumberFormat="1" applyFont="1" applyFill="1" applyBorder="1" applyAlignment="1">
      <alignment horizontal="center" vertical="top" wrapText="1"/>
    </xf>
    <xf numFmtId="49" fontId="1" fillId="3" borderId="49" xfId="0" applyNumberFormat="1" applyFont="1" applyFill="1" applyBorder="1" applyAlignment="1">
      <alignment horizontal="center" vertical="top" wrapText="1"/>
    </xf>
    <xf numFmtId="49" fontId="2" fillId="9" borderId="44" xfId="0" applyNumberFormat="1" applyFont="1" applyFill="1" applyBorder="1" applyAlignment="1">
      <alignment horizontal="center" vertical="top"/>
    </xf>
    <xf numFmtId="49" fontId="2" fillId="3" borderId="11" xfId="0" applyNumberFormat="1" applyFont="1" applyFill="1" applyBorder="1" applyAlignment="1">
      <alignment horizontal="center" vertical="top"/>
    </xf>
    <xf numFmtId="49" fontId="1" fillId="3" borderId="31" xfId="0" applyNumberFormat="1" applyFont="1" applyFill="1" applyBorder="1" applyAlignment="1">
      <alignment horizontal="center" vertical="top"/>
    </xf>
    <xf numFmtId="3" fontId="2" fillId="5" borderId="28" xfId="0" applyNumberFormat="1" applyFont="1" applyFill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3" fontId="2" fillId="0" borderId="31" xfId="0" applyNumberFormat="1" applyFont="1" applyFill="1" applyBorder="1" applyAlignment="1">
      <alignment horizontal="center" vertical="top"/>
    </xf>
    <xf numFmtId="3" fontId="1" fillId="0" borderId="29" xfId="0" applyNumberFormat="1" applyFont="1" applyFill="1" applyBorder="1" applyAlignment="1">
      <alignment horizontal="left" vertical="top" wrapText="1"/>
    </xf>
    <xf numFmtId="164" fontId="1" fillId="5" borderId="53" xfId="0" applyNumberFormat="1" applyFont="1" applyFill="1" applyBorder="1" applyAlignment="1">
      <alignment horizontal="center" vertical="top"/>
    </xf>
    <xf numFmtId="1" fontId="18" fillId="5" borderId="55" xfId="0" applyNumberFormat="1" applyFont="1" applyFill="1" applyBorder="1" applyAlignment="1">
      <alignment horizontal="center" vertical="top"/>
    </xf>
    <xf numFmtId="1" fontId="18" fillId="5" borderId="24" xfId="0" applyNumberFormat="1" applyFont="1" applyFill="1" applyBorder="1" applyAlignment="1">
      <alignment horizontal="center" vertical="top"/>
    </xf>
    <xf numFmtId="1" fontId="18" fillId="5" borderId="10" xfId="0" applyNumberFormat="1" applyFont="1" applyFill="1" applyBorder="1" applyAlignment="1">
      <alignment horizontal="center" vertical="top"/>
    </xf>
    <xf numFmtId="1" fontId="18" fillId="5" borderId="57" xfId="0" applyNumberFormat="1" applyFont="1" applyFill="1" applyBorder="1" applyAlignment="1">
      <alignment horizontal="center" vertical="top"/>
    </xf>
    <xf numFmtId="3" fontId="1" fillId="5" borderId="6" xfId="0" applyNumberFormat="1" applyFont="1" applyFill="1" applyBorder="1" applyAlignment="1">
      <alignment horizontal="center" vertical="top"/>
    </xf>
    <xf numFmtId="164" fontId="2" fillId="5" borderId="6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8" xfId="0" applyNumberFormat="1" applyFont="1" applyFill="1" applyBorder="1" applyAlignment="1">
      <alignment horizontal="center" vertical="top"/>
    </xf>
    <xf numFmtId="3" fontId="1" fillId="0" borderId="29" xfId="0" applyNumberFormat="1" applyFont="1" applyFill="1" applyBorder="1" applyAlignment="1">
      <alignment horizontal="center" vertical="top" wrapText="1"/>
    </xf>
    <xf numFmtId="164" fontId="2" fillId="4" borderId="16" xfId="0" applyNumberFormat="1" applyFont="1" applyFill="1" applyBorder="1" applyAlignment="1">
      <alignment horizontal="center" vertical="top"/>
    </xf>
    <xf numFmtId="164" fontId="2" fillId="4" borderId="41" xfId="0" applyNumberFormat="1" applyFont="1" applyFill="1" applyBorder="1" applyAlignment="1">
      <alignment horizontal="center" vertical="top"/>
    </xf>
    <xf numFmtId="3" fontId="1" fillId="0" borderId="1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Fill="1" applyBorder="1" applyAlignment="1">
      <alignment horizontal="center" vertical="top" textRotation="90"/>
    </xf>
    <xf numFmtId="3" fontId="1" fillId="0" borderId="1" xfId="0" applyNumberFormat="1" applyFont="1" applyFill="1" applyBorder="1" applyAlignment="1">
      <alignment horizontal="center" vertical="top" textRotation="90"/>
    </xf>
    <xf numFmtId="3" fontId="2" fillId="4" borderId="32" xfId="0" applyNumberFormat="1" applyFont="1" applyFill="1" applyBorder="1" applyAlignment="1">
      <alignment horizontal="right" vertical="top"/>
    </xf>
    <xf numFmtId="3" fontId="1" fillId="5" borderId="6" xfId="0" applyNumberFormat="1" applyFont="1" applyFill="1" applyBorder="1" applyAlignment="1">
      <alignment vertical="top" wrapText="1"/>
    </xf>
    <xf numFmtId="3" fontId="1" fillId="5" borderId="73" xfId="0" applyNumberFormat="1" applyFont="1" applyFill="1" applyBorder="1" applyAlignment="1">
      <alignment horizontal="center" vertical="top" wrapText="1"/>
    </xf>
    <xf numFmtId="3" fontId="1" fillId="5" borderId="7" xfId="0" applyNumberFormat="1" applyFont="1" applyFill="1" applyBorder="1" applyAlignment="1">
      <alignment horizontal="center" vertical="top" wrapText="1"/>
    </xf>
    <xf numFmtId="3" fontId="1" fillId="5" borderId="3" xfId="0" applyNumberFormat="1" applyFont="1" applyFill="1" applyBorder="1" applyAlignment="1">
      <alignment horizontal="center" vertical="top" wrapText="1"/>
    </xf>
    <xf numFmtId="0" fontId="1" fillId="5" borderId="46" xfId="0" applyFont="1" applyFill="1" applyBorder="1" applyAlignment="1">
      <alignment vertical="top" wrapText="1"/>
    </xf>
    <xf numFmtId="49" fontId="1" fillId="0" borderId="49" xfId="0" applyNumberFormat="1" applyFont="1" applyBorder="1" applyAlignment="1">
      <alignment vertical="top"/>
    </xf>
    <xf numFmtId="49" fontId="1" fillId="0" borderId="56" xfId="0" applyNumberFormat="1" applyFont="1" applyBorder="1" applyAlignment="1">
      <alignment vertical="top"/>
    </xf>
    <xf numFmtId="3" fontId="1" fillId="0" borderId="46" xfId="0" applyNumberFormat="1" applyFont="1" applyFill="1" applyBorder="1" applyAlignment="1">
      <alignment vertical="top" wrapText="1"/>
    </xf>
    <xf numFmtId="3" fontId="1" fillId="0" borderId="50" xfId="0" applyNumberFormat="1" applyFont="1" applyFill="1" applyBorder="1" applyAlignment="1">
      <alignment vertical="top" wrapText="1"/>
    </xf>
    <xf numFmtId="164" fontId="2" fillId="2" borderId="58" xfId="0" applyNumberFormat="1" applyFont="1" applyFill="1" applyBorder="1" applyAlignment="1">
      <alignment horizontal="center" vertical="top"/>
    </xf>
    <xf numFmtId="164" fontId="2" fillId="2" borderId="61" xfId="0" applyNumberFormat="1" applyFont="1" applyFill="1" applyBorder="1" applyAlignment="1">
      <alignment horizontal="center" vertical="top"/>
    </xf>
    <xf numFmtId="164" fontId="2" fillId="4" borderId="58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3" fontId="1" fillId="5" borderId="12" xfId="0" applyNumberFormat="1" applyFont="1" applyFill="1" applyBorder="1" applyAlignment="1">
      <alignment horizontal="center" vertical="top" wrapText="1"/>
    </xf>
    <xf numFmtId="3" fontId="2" fillId="5" borderId="37" xfId="0" applyNumberFormat="1" applyFont="1" applyFill="1" applyBorder="1" applyAlignment="1">
      <alignment horizontal="center" vertical="top" wrapText="1"/>
    </xf>
    <xf numFmtId="3" fontId="1" fillId="0" borderId="50" xfId="0" applyNumberFormat="1" applyFont="1" applyBorder="1" applyAlignment="1">
      <alignment horizontal="center" vertical="top" wrapText="1"/>
    </xf>
    <xf numFmtId="3" fontId="1" fillId="5" borderId="52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3" fontId="2" fillId="5" borderId="37" xfId="0" applyNumberFormat="1" applyFont="1" applyFill="1" applyBorder="1" applyAlignment="1">
      <alignment horizontal="center" vertical="top" wrapText="1"/>
    </xf>
    <xf numFmtId="3" fontId="2" fillId="5" borderId="12" xfId="0" applyNumberFormat="1" applyFont="1" applyFill="1" applyBorder="1" applyAlignment="1">
      <alignment horizontal="left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164" fontId="1" fillId="5" borderId="8" xfId="0" applyNumberFormat="1" applyFont="1" applyFill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46" xfId="0" applyNumberFormat="1" applyFont="1" applyFill="1" applyBorder="1" applyAlignment="1">
      <alignment horizontal="center" vertical="top" wrapText="1"/>
    </xf>
    <xf numFmtId="3" fontId="1" fillId="5" borderId="12" xfId="0" applyNumberFormat="1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left" vertical="top" wrapText="1"/>
    </xf>
    <xf numFmtId="164" fontId="1" fillId="5" borderId="53" xfId="0" applyNumberFormat="1" applyFont="1" applyFill="1" applyBorder="1" applyAlignment="1">
      <alignment horizontal="center" vertical="top"/>
    </xf>
    <xf numFmtId="49" fontId="1" fillId="3" borderId="37" xfId="0" applyNumberFormat="1" applyFont="1" applyFill="1" applyBorder="1" applyAlignment="1">
      <alignment horizontal="center" vertical="top" wrapText="1"/>
    </xf>
    <xf numFmtId="3" fontId="2" fillId="5" borderId="13" xfId="0" applyNumberFormat="1" applyFont="1" applyFill="1" applyBorder="1" applyAlignment="1">
      <alignment horizontal="center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2" fillId="5" borderId="49" xfId="0" applyNumberFormat="1" applyFont="1" applyFill="1" applyBorder="1" applyAlignment="1">
      <alignment horizontal="center" vertical="top" wrapText="1"/>
    </xf>
    <xf numFmtId="164" fontId="1" fillId="5" borderId="53" xfId="0" applyNumberFormat="1" applyFont="1" applyFill="1" applyBorder="1" applyAlignment="1">
      <alignment horizontal="center" vertical="top"/>
    </xf>
    <xf numFmtId="49" fontId="1" fillId="3" borderId="49" xfId="0" applyNumberFormat="1" applyFont="1" applyFill="1" applyBorder="1" applyAlignment="1">
      <alignment horizontal="center" vertical="top" wrapText="1"/>
    </xf>
    <xf numFmtId="164" fontId="1" fillId="5" borderId="48" xfId="0" applyNumberFormat="1" applyFont="1" applyFill="1" applyBorder="1" applyAlignment="1">
      <alignment horizontal="center" vertical="top" wrapText="1"/>
    </xf>
    <xf numFmtId="164" fontId="2" fillId="4" borderId="16" xfId="0" applyNumberFormat="1" applyFont="1" applyFill="1" applyBorder="1" applyAlignment="1">
      <alignment horizontal="center" vertical="top" wrapText="1"/>
    </xf>
    <xf numFmtId="164" fontId="2" fillId="4" borderId="41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/>
    </xf>
    <xf numFmtId="0" fontId="1" fillId="5" borderId="15" xfId="0" applyFont="1" applyFill="1" applyBorder="1" applyAlignment="1">
      <alignment horizontal="center" vertical="top"/>
    </xf>
    <xf numFmtId="164" fontId="13" fillId="0" borderId="0" xfId="0" applyNumberFormat="1" applyFont="1" applyAlignment="1">
      <alignment horizontal="center"/>
    </xf>
    <xf numFmtId="3" fontId="1" fillId="5" borderId="46" xfId="0" applyNumberFormat="1" applyFont="1" applyFill="1" applyBorder="1" applyAlignment="1">
      <alignment horizontal="left" vertical="top" wrapText="1"/>
    </xf>
    <xf numFmtId="3" fontId="1" fillId="5" borderId="50" xfId="0" applyNumberFormat="1" applyFont="1" applyFill="1" applyBorder="1" applyAlignment="1">
      <alignment horizontal="left" vertical="top" wrapText="1"/>
    </xf>
    <xf numFmtId="49" fontId="1" fillId="0" borderId="46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50" xfId="0" applyNumberFormat="1" applyFont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0" xfId="0" applyFont="1" applyFill="1" applyBorder="1" applyAlignment="1">
      <alignment horizontal="left" vertical="top" wrapText="1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18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left" vertical="top" wrapText="1"/>
    </xf>
    <xf numFmtId="3" fontId="1" fillId="0" borderId="17" xfId="0" applyNumberFormat="1" applyFont="1" applyFill="1" applyBorder="1" applyAlignment="1">
      <alignment horizontal="left" vertical="top" wrapText="1"/>
    </xf>
    <xf numFmtId="49" fontId="2" fillId="2" borderId="27" xfId="0" applyNumberFormat="1" applyFont="1" applyFill="1" applyBorder="1" applyAlignment="1">
      <alignment horizontal="center" vertical="top"/>
    </xf>
    <xf numFmtId="49" fontId="2" fillId="2" borderId="36" xfId="0" applyNumberFormat="1" applyFont="1" applyFill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3" fontId="1" fillId="5" borderId="5" xfId="0" applyNumberFormat="1" applyFont="1" applyFill="1" applyBorder="1" applyAlignment="1">
      <alignment horizontal="left" vertical="top" wrapText="1"/>
    </xf>
    <xf numFmtId="3" fontId="1" fillId="5" borderId="12" xfId="0" applyNumberFormat="1" applyFont="1" applyFill="1" applyBorder="1" applyAlignment="1">
      <alignment horizontal="left" vertical="top" wrapText="1"/>
    </xf>
    <xf numFmtId="3" fontId="1" fillId="5" borderId="17" xfId="0" applyNumberFormat="1" applyFont="1" applyFill="1" applyBorder="1" applyAlignment="1">
      <alignment horizontal="left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left" vertical="top" wrapText="1"/>
    </xf>
    <xf numFmtId="49" fontId="1" fillId="5" borderId="46" xfId="0" applyNumberFormat="1" applyFont="1" applyFill="1" applyBorder="1" applyAlignment="1">
      <alignment horizontal="left" vertical="top" wrapText="1"/>
    </xf>
    <xf numFmtId="49" fontId="1" fillId="5" borderId="12" xfId="0" applyNumberFormat="1" applyFont="1" applyFill="1" applyBorder="1" applyAlignment="1">
      <alignment horizontal="left" vertical="top" wrapText="1"/>
    </xf>
    <xf numFmtId="3" fontId="2" fillId="2" borderId="58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49" fontId="1" fillId="5" borderId="50" xfId="0" applyNumberFormat="1" applyFont="1" applyFill="1" applyBorder="1" applyAlignment="1">
      <alignment horizontal="left" vertical="top" wrapText="1"/>
    </xf>
    <xf numFmtId="3" fontId="2" fillId="5" borderId="13" xfId="0" applyNumberFormat="1" applyFont="1" applyFill="1" applyBorder="1" applyAlignment="1">
      <alignment horizontal="center" vertical="top" wrapText="1"/>
    </xf>
    <xf numFmtId="3" fontId="2" fillId="5" borderId="47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Border="1" applyAlignment="1">
      <alignment horizontal="left" vertical="top" wrapText="1"/>
    </xf>
    <xf numFmtId="3" fontId="1" fillId="0" borderId="50" xfId="0" applyNumberFormat="1" applyFont="1" applyBorder="1" applyAlignment="1">
      <alignment horizontal="left" vertical="top" wrapText="1"/>
    </xf>
    <xf numFmtId="3" fontId="2" fillId="5" borderId="46" xfId="0" applyNumberFormat="1" applyFont="1" applyFill="1" applyBorder="1" applyAlignment="1">
      <alignment horizontal="left" vertical="top" wrapText="1"/>
    </xf>
    <xf numFmtId="3" fontId="2" fillId="5" borderId="17" xfId="0" applyNumberFormat="1" applyFont="1" applyFill="1" applyBorder="1" applyAlignment="1">
      <alignment horizontal="left" vertical="top" wrapText="1"/>
    </xf>
    <xf numFmtId="49" fontId="2" fillId="9" borderId="28" xfId="0" applyNumberFormat="1" applyFont="1" applyFill="1" applyBorder="1" applyAlignment="1">
      <alignment horizontal="center" vertical="top"/>
    </xf>
    <xf numFmtId="49" fontId="2" fillId="9" borderId="26" xfId="0" applyNumberFormat="1" applyFont="1" applyFill="1" applyBorder="1" applyAlignment="1">
      <alignment horizontal="center" vertical="top"/>
    </xf>
    <xf numFmtId="49" fontId="2" fillId="9" borderId="32" xfId="0" applyNumberFormat="1" applyFont="1" applyFill="1" applyBorder="1" applyAlignment="1">
      <alignment horizontal="center" vertical="top"/>
    </xf>
    <xf numFmtId="3" fontId="2" fillId="0" borderId="8" xfId="0" applyNumberFormat="1" applyFont="1" applyFill="1" applyBorder="1" applyAlignment="1">
      <alignment horizontal="center" vertical="top"/>
    </xf>
    <xf numFmtId="3" fontId="2" fillId="0" borderId="45" xfId="0" applyNumberFormat="1" applyFont="1" applyFill="1" applyBorder="1" applyAlignment="1">
      <alignment horizontal="center" vertical="top"/>
    </xf>
    <xf numFmtId="3" fontId="2" fillId="0" borderId="54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3" borderId="46" xfId="0" applyNumberFormat="1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center" vertical="top"/>
    </xf>
    <xf numFmtId="3" fontId="1" fillId="0" borderId="46" xfId="0" applyNumberFormat="1" applyFont="1" applyFill="1" applyBorder="1" applyAlignment="1">
      <alignment horizontal="left" vertical="top" wrapText="1"/>
    </xf>
    <xf numFmtId="3" fontId="1" fillId="0" borderId="12" xfId="0" applyNumberFormat="1" applyFont="1" applyFill="1" applyBorder="1" applyAlignment="1">
      <alignment horizontal="left" vertical="top" wrapText="1"/>
    </xf>
    <xf numFmtId="3" fontId="2" fillId="5" borderId="5" xfId="0" applyNumberFormat="1" applyFont="1" applyFill="1" applyBorder="1" applyAlignment="1">
      <alignment horizontal="left" vertical="top" wrapText="1"/>
    </xf>
    <xf numFmtId="3" fontId="2" fillId="5" borderId="50" xfId="0" applyNumberFormat="1" applyFont="1" applyFill="1" applyBorder="1" applyAlignment="1">
      <alignment horizontal="left" vertical="top" wrapText="1"/>
    </xf>
    <xf numFmtId="49" fontId="1" fillId="3" borderId="37" xfId="0" applyNumberFormat="1" applyFont="1" applyFill="1" applyBorder="1" applyAlignment="1">
      <alignment horizontal="center" vertical="top"/>
    </xf>
    <xf numFmtId="3" fontId="1" fillId="0" borderId="12" xfId="0" applyNumberFormat="1" applyFont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horizontal="right" vertical="top"/>
    </xf>
    <xf numFmtId="3" fontId="2" fillId="4" borderId="58" xfId="0" applyNumberFormat="1" applyFont="1" applyFill="1" applyBorder="1" applyAlignment="1">
      <alignment horizontal="right" vertical="top"/>
    </xf>
    <xf numFmtId="3" fontId="2" fillId="4" borderId="33" xfId="0" applyNumberFormat="1" applyFont="1" applyFill="1" applyBorder="1" applyAlignment="1">
      <alignment horizontal="right" vertical="top"/>
    </xf>
    <xf numFmtId="3" fontId="2" fillId="7" borderId="53" xfId="0" applyNumberFormat="1" applyFont="1" applyFill="1" applyBorder="1" applyAlignment="1">
      <alignment horizontal="right" vertical="top"/>
    </xf>
    <xf numFmtId="3" fontId="2" fillId="7" borderId="14" xfId="0" applyNumberFormat="1" applyFont="1" applyFill="1" applyBorder="1" applyAlignment="1">
      <alignment horizontal="right" vertical="top"/>
    </xf>
    <xf numFmtId="3" fontId="2" fillId="7" borderId="15" xfId="0" applyNumberFormat="1" applyFont="1" applyFill="1" applyBorder="1" applyAlignment="1">
      <alignment horizontal="right" vertical="top"/>
    </xf>
    <xf numFmtId="3" fontId="1" fillId="4" borderId="53" xfId="0" applyNumberFormat="1" applyFont="1" applyFill="1" applyBorder="1" applyAlignment="1">
      <alignment horizontal="left" vertical="top" wrapText="1"/>
    </xf>
    <xf numFmtId="3" fontId="1" fillId="4" borderId="14" xfId="0" applyNumberFormat="1" applyFont="1" applyFill="1" applyBorder="1" applyAlignment="1">
      <alignment horizontal="left" vertical="top" wrapText="1"/>
    </xf>
    <xf numFmtId="3" fontId="1" fillId="4" borderId="15" xfId="0" applyNumberFormat="1" applyFont="1" applyFill="1" applyBorder="1" applyAlignment="1">
      <alignment horizontal="left" vertical="top" wrapText="1"/>
    </xf>
    <xf numFmtId="3" fontId="1" fillId="0" borderId="50" xfId="0" applyNumberFormat="1" applyFont="1" applyFill="1" applyBorder="1" applyAlignment="1">
      <alignment horizontal="center" vertical="top" wrapText="1"/>
    </xf>
    <xf numFmtId="3" fontId="2" fillId="5" borderId="12" xfId="0" applyNumberFormat="1" applyFont="1" applyFill="1" applyBorder="1" applyAlignment="1">
      <alignment horizontal="left" vertical="top" wrapText="1"/>
    </xf>
    <xf numFmtId="3" fontId="5" fillId="5" borderId="48" xfId="0" applyNumberFormat="1" applyFont="1" applyFill="1" applyBorder="1" applyAlignment="1">
      <alignment horizontal="center" vertical="top" textRotation="90"/>
    </xf>
    <xf numFmtId="3" fontId="5" fillId="5" borderId="11" xfId="0" applyNumberFormat="1" applyFont="1" applyFill="1" applyBorder="1" applyAlignment="1">
      <alignment horizontal="center" vertical="top" textRotation="90"/>
    </xf>
    <xf numFmtId="3" fontId="1" fillId="4" borderId="53" xfId="0" applyNumberFormat="1" applyFont="1" applyFill="1" applyBorder="1" applyAlignment="1">
      <alignment horizontal="left" vertical="top"/>
    </xf>
    <xf numFmtId="3" fontId="1" fillId="4" borderId="14" xfId="0" applyNumberFormat="1" applyFont="1" applyFill="1" applyBorder="1" applyAlignment="1">
      <alignment horizontal="left" vertical="top"/>
    </xf>
    <xf numFmtId="3" fontId="2" fillId="2" borderId="20" xfId="0" applyNumberFormat="1" applyFont="1" applyFill="1" applyBorder="1" applyAlignment="1">
      <alignment horizontal="right" vertical="top"/>
    </xf>
    <xf numFmtId="3" fontId="1" fillId="5" borderId="5" xfId="0" applyNumberFormat="1" applyFont="1" applyFill="1" applyBorder="1" applyAlignment="1">
      <alignment vertical="top" wrapText="1"/>
    </xf>
    <xf numFmtId="3" fontId="1" fillId="5" borderId="17" xfId="0" applyNumberFormat="1" applyFont="1" applyFill="1" applyBorder="1" applyAlignment="1">
      <alignment vertical="top" wrapText="1"/>
    </xf>
    <xf numFmtId="49" fontId="1" fillId="0" borderId="49" xfId="0" applyNumberFormat="1" applyFont="1" applyBorder="1" applyAlignment="1">
      <alignment horizontal="center" vertical="top"/>
    </xf>
    <xf numFmtId="49" fontId="1" fillId="0" borderId="37" xfId="0" applyNumberFormat="1" applyFont="1" applyBorder="1" applyAlignment="1">
      <alignment horizontal="center" vertical="top"/>
    </xf>
    <xf numFmtId="3" fontId="1" fillId="0" borderId="53" xfId="0" applyNumberFormat="1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left" vertical="top" wrapText="1"/>
    </xf>
    <xf numFmtId="3" fontId="1" fillId="0" borderId="15" xfId="0" applyNumberFormat="1" applyFont="1" applyBorder="1" applyAlignment="1">
      <alignment horizontal="left" vertical="top" wrapText="1"/>
    </xf>
    <xf numFmtId="3" fontId="2" fillId="2" borderId="68" xfId="0" applyNumberFormat="1" applyFont="1" applyFill="1" applyBorder="1" applyAlignment="1">
      <alignment horizontal="right" vertical="top"/>
    </xf>
    <xf numFmtId="3" fontId="2" fillId="2" borderId="33" xfId="0" applyNumberFormat="1" applyFont="1" applyFill="1" applyBorder="1" applyAlignment="1">
      <alignment horizontal="right" vertical="top"/>
    </xf>
    <xf numFmtId="49" fontId="2" fillId="2" borderId="42" xfId="0" applyNumberFormat="1" applyFont="1" applyFill="1" applyBorder="1" applyAlignment="1">
      <alignment horizontal="left" vertical="top" wrapText="1"/>
    </xf>
    <xf numFmtId="49" fontId="2" fillId="2" borderId="20" xfId="0" applyNumberFormat="1" applyFont="1" applyFill="1" applyBorder="1" applyAlignment="1">
      <alignment horizontal="left" vertical="top" wrapText="1"/>
    </xf>
    <xf numFmtId="49" fontId="2" fillId="2" borderId="29" xfId="0" applyNumberFormat="1" applyFont="1" applyFill="1" applyBorder="1" applyAlignment="1">
      <alignment horizontal="left" vertical="top" wrapText="1"/>
    </xf>
    <xf numFmtId="3" fontId="1" fillId="0" borderId="46" xfId="0" applyNumberFormat="1" applyFont="1" applyFill="1" applyBorder="1" applyAlignment="1">
      <alignment horizontal="center" vertical="top" wrapText="1"/>
    </xf>
    <xf numFmtId="49" fontId="1" fillId="5" borderId="29" xfId="0" applyNumberFormat="1" applyFont="1" applyFill="1" applyBorder="1" applyAlignment="1">
      <alignment horizontal="left" vertical="top"/>
    </xf>
    <xf numFmtId="49" fontId="2" fillId="2" borderId="20" xfId="0" applyNumberFormat="1" applyFont="1" applyFill="1" applyBorder="1" applyAlignment="1">
      <alignment horizontal="center" vertical="top" wrapText="1"/>
    </xf>
    <xf numFmtId="49" fontId="2" fillId="2" borderId="21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Border="1" applyAlignment="1">
      <alignment horizontal="center" vertical="top" wrapText="1"/>
    </xf>
    <xf numFmtId="3" fontId="1" fillId="0" borderId="50" xfId="0" applyNumberFormat="1" applyFont="1" applyBorder="1" applyAlignment="1">
      <alignment horizontal="center" vertical="top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textRotation="90" wrapText="1"/>
    </xf>
    <xf numFmtId="3" fontId="1" fillId="0" borderId="26" xfId="0" applyNumberFormat="1" applyFont="1" applyBorder="1" applyAlignment="1">
      <alignment horizontal="center" vertical="center" textRotation="90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left" vertical="top" wrapText="1"/>
    </xf>
    <xf numFmtId="3" fontId="2" fillId="3" borderId="12" xfId="0" applyNumberFormat="1" applyFont="1" applyFill="1" applyBorder="1" applyAlignment="1">
      <alignment horizontal="left" vertical="top" wrapText="1"/>
    </xf>
    <xf numFmtId="3" fontId="2" fillId="8" borderId="28" xfId="0" applyNumberFormat="1" applyFont="1" applyFill="1" applyBorder="1" applyAlignment="1">
      <alignment horizontal="left" vertical="top" wrapText="1"/>
    </xf>
    <xf numFmtId="3" fontId="2" fillId="8" borderId="29" xfId="0" applyNumberFormat="1" applyFont="1" applyFill="1" applyBorder="1" applyAlignment="1">
      <alignment horizontal="left" vertical="top" wrapText="1"/>
    </xf>
    <xf numFmtId="3" fontId="2" fillId="8" borderId="0" xfId="0" applyNumberFormat="1" applyFont="1" applyFill="1" applyBorder="1" applyAlignment="1">
      <alignment horizontal="left" vertical="top" wrapText="1"/>
    </xf>
    <xf numFmtId="3" fontId="2" fillId="8" borderId="40" xfId="0" applyNumberFormat="1" applyFont="1" applyFill="1" applyBorder="1" applyAlignment="1">
      <alignment horizontal="left" vertical="top" wrapText="1"/>
    </xf>
    <xf numFmtId="3" fontId="12" fillId="7" borderId="53" xfId="0" applyNumberFormat="1" applyFont="1" applyFill="1" applyBorder="1" applyAlignment="1">
      <alignment horizontal="left" vertical="top" wrapText="1"/>
    </xf>
    <xf numFmtId="3" fontId="12" fillId="7" borderId="14" xfId="0" applyNumberFormat="1" applyFont="1" applyFill="1" applyBorder="1" applyAlignment="1">
      <alignment horizontal="left" vertical="top" wrapText="1"/>
    </xf>
    <xf numFmtId="3" fontId="12" fillId="7" borderId="15" xfId="0" applyNumberFormat="1" applyFont="1" applyFill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top"/>
    </xf>
    <xf numFmtId="3" fontId="2" fillId="2" borderId="21" xfId="0" applyNumberFormat="1" applyFont="1" applyFill="1" applyBorder="1" applyAlignment="1">
      <alignment horizontal="center" vertical="top"/>
    </xf>
    <xf numFmtId="3" fontId="2" fillId="2" borderId="20" xfId="0" applyNumberFormat="1" applyFont="1" applyFill="1" applyBorder="1" applyAlignment="1">
      <alignment horizontal="left" vertical="top" wrapText="1"/>
    </xf>
    <xf numFmtId="3" fontId="2" fillId="2" borderId="21" xfId="0" applyNumberFormat="1" applyFont="1" applyFill="1" applyBorder="1" applyAlignment="1">
      <alignment horizontal="left" vertical="top" wrapText="1"/>
    </xf>
    <xf numFmtId="49" fontId="2" fillId="3" borderId="29" xfId="0" applyNumberFormat="1" applyFont="1" applyFill="1" applyBorder="1" applyAlignment="1">
      <alignment horizontal="center" vertical="top"/>
    </xf>
    <xf numFmtId="49" fontId="2" fillId="3" borderId="0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3" fontId="2" fillId="0" borderId="30" xfId="0" applyNumberFormat="1" applyFont="1" applyFill="1" applyBorder="1" applyAlignment="1">
      <alignment horizontal="center" vertical="center" textRotation="90" wrapText="1"/>
    </xf>
    <xf numFmtId="3" fontId="2" fillId="0" borderId="44" xfId="0" applyNumberFormat="1" applyFont="1" applyFill="1" applyBorder="1" applyAlignment="1">
      <alignment horizontal="center" vertical="center" textRotation="90" wrapText="1"/>
    </xf>
    <xf numFmtId="3" fontId="2" fillId="0" borderId="18" xfId="0" applyNumberFormat="1" applyFont="1" applyFill="1" applyBorder="1" applyAlignment="1">
      <alignment horizontal="center" vertical="center" textRotation="90" wrapText="1"/>
    </xf>
    <xf numFmtId="3" fontId="5" fillId="0" borderId="4" xfId="0" applyNumberFormat="1" applyFont="1" applyFill="1" applyBorder="1" applyAlignment="1">
      <alignment horizontal="center" vertical="center" textRotation="90" wrapText="1"/>
    </xf>
    <xf numFmtId="3" fontId="5" fillId="0" borderId="11" xfId="0" applyNumberFormat="1" applyFont="1" applyFill="1" applyBorder="1" applyAlignment="1">
      <alignment horizontal="center" vertical="center" textRotation="90" wrapText="1"/>
    </xf>
    <xf numFmtId="3" fontId="10" fillId="0" borderId="0" xfId="0" applyNumberFormat="1" applyFont="1" applyAlignment="1">
      <alignment horizontal="center" vertical="top" wrapText="1"/>
    </xf>
    <xf numFmtId="3" fontId="2" fillId="9" borderId="14" xfId="0" applyNumberFormat="1" applyFont="1" applyFill="1" applyBorder="1" applyAlignment="1">
      <alignment horizontal="left" vertical="top" wrapText="1"/>
    </xf>
    <xf numFmtId="3" fontId="1" fillId="9" borderId="14" xfId="0" applyNumberFormat="1" applyFont="1" applyFill="1" applyBorder="1" applyAlignment="1">
      <alignment horizontal="left" vertical="top" wrapText="1"/>
    </xf>
    <xf numFmtId="3" fontId="1" fillId="9" borderId="15" xfId="0" applyNumberFormat="1" applyFont="1" applyFill="1" applyBorder="1" applyAlignment="1">
      <alignment horizontal="left" vertical="top" wrapText="1"/>
    </xf>
    <xf numFmtId="3" fontId="1" fillId="0" borderId="52" xfId="0" applyNumberFormat="1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horizontal="left" vertical="top" wrapText="1"/>
    </xf>
    <xf numFmtId="3" fontId="1" fillId="5" borderId="26" xfId="0" applyNumberFormat="1" applyFont="1" applyFill="1" applyBorder="1" applyAlignment="1">
      <alignment horizontal="left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3" fontId="1" fillId="0" borderId="48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3" fontId="5" fillId="0" borderId="16" xfId="0" applyNumberFormat="1" applyFont="1" applyFill="1" applyBorder="1" applyAlignment="1">
      <alignment horizontal="center" vertical="center" textRotation="90" wrapText="1"/>
    </xf>
    <xf numFmtId="3" fontId="1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 vertical="top"/>
    </xf>
    <xf numFmtId="49" fontId="1" fillId="0" borderId="2" xfId="0" applyNumberFormat="1" applyFont="1" applyBorder="1" applyAlignment="1">
      <alignment horizontal="center" vertical="center" textRotation="90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1" fillId="0" borderId="48" xfId="0" applyNumberFormat="1" applyFont="1" applyBorder="1" applyAlignment="1">
      <alignment horizontal="center" vertical="center" textRotation="90" wrapText="1"/>
    </xf>
    <xf numFmtId="3" fontId="1" fillId="0" borderId="75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30" xfId="0" applyNumberFormat="1" applyFont="1" applyFill="1" applyBorder="1" applyAlignment="1">
      <alignment horizontal="center" vertical="top" wrapText="1"/>
    </xf>
    <xf numFmtId="3" fontId="1" fillId="0" borderId="47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Alignment="1">
      <alignment horizontal="center" vertical="top" wrapText="1"/>
    </xf>
    <xf numFmtId="3" fontId="2" fillId="4" borderId="53" xfId="0" applyNumberFormat="1" applyFont="1" applyFill="1" applyBorder="1" applyAlignment="1">
      <alignment horizontal="right" vertical="top"/>
    </xf>
    <xf numFmtId="3" fontId="2" fillId="4" borderId="14" xfId="0" applyNumberFormat="1" applyFont="1" applyFill="1" applyBorder="1" applyAlignment="1">
      <alignment horizontal="right" vertical="top"/>
    </xf>
    <xf numFmtId="3" fontId="2" fillId="4" borderId="15" xfId="0" applyNumberFormat="1" applyFont="1" applyFill="1" applyBorder="1" applyAlignment="1">
      <alignment horizontal="right" vertical="top"/>
    </xf>
    <xf numFmtId="3" fontId="2" fillId="0" borderId="40" xfId="0" applyNumberFormat="1" applyFont="1" applyBorder="1" applyAlignment="1">
      <alignment horizontal="center" vertical="top"/>
    </xf>
    <xf numFmtId="3" fontId="2" fillId="0" borderId="41" xfId="0" applyNumberFormat="1" applyFont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1" fillId="5" borderId="34" xfId="0" applyNumberFormat="1" applyFont="1" applyFill="1" applyBorder="1" applyAlignment="1">
      <alignment horizontal="left" vertical="top" wrapText="1"/>
    </xf>
    <xf numFmtId="0" fontId="1" fillId="5" borderId="26" xfId="0" applyNumberFormat="1" applyFont="1" applyFill="1" applyBorder="1" applyAlignment="1">
      <alignment horizontal="left" vertical="top" wrapText="1"/>
    </xf>
    <xf numFmtId="3" fontId="2" fillId="4" borderId="34" xfId="0" applyNumberFormat="1" applyFont="1" applyFill="1" applyBorder="1" applyAlignment="1">
      <alignment horizontal="right" vertical="top"/>
    </xf>
    <xf numFmtId="3" fontId="2" fillId="4" borderId="52" xfId="0" applyNumberFormat="1" applyFont="1" applyFill="1" applyBorder="1" applyAlignment="1">
      <alignment horizontal="right" vertical="top"/>
    </xf>
    <xf numFmtId="3" fontId="2" fillId="4" borderId="45" xfId="0" applyNumberFormat="1" applyFont="1" applyFill="1" applyBorder="1" applyAlignment="1">
      <alignment horizontal="right" vertical="top"/>
    </xf>
    <xf numFmtId="3" fontId="1" fillId="6" borderId="35" xfId="0" applyNumberFormat="1" applyFont="1" applyFill="1" applyBorder="1" applyAlignment="1">
      <alignment horizontal="center" vertical="top" wrapText="1"/>
    </xf>
    <xf numFmtId="3" fontId="1" fillId="6" borderId="1" xfId="0" applyNumberFormat="1" applyFont="1" applyFill="1" applyBorder="1" applyAlignment="1">
      <alignment horizontal="center" vertical="top" wrapText="1"/>
    </xf>
    <xf numFmtId="3" fontId="1" fillId="6" borderId="41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left" vertical="top" wrapText="1"/>
    </xf>
    <xf numFmtId="3" fontId="1" fillId="0" borderId="32" xfId="0" applyNumberFormat="1" applyFont="1" applyFill="1" applyBorder="1" applyAlignment="1">
      <alignment horizontal="left" vertical="top" wrapText="1"/>
    </xf>
    <xf numFmtId="3" fontId="2" fillId="4" borderId="32" xfId="0" applyNumberFormat="1" applyFont="1" applyFill="1" applyBorder="1" applyAlignment="1">
      <alignment horizontal="right" vertical="top"/>
    </xf>
    <xf numFmtId="3" fontId="2" fillId="4" borderId="1" xfId="0" applyNumberFormat="1" applyFont="1" applyFill="1" applyBorder="1" applyAlignment="1">
      <alignment horizontal="right" vertical="top"/>
    </xf>
    <xf numFmtId="3" fontId="2" fillId="9" borderId="20" xfId="0" applyNumberFormat="1" applyFont="1" applyFill="1" applyBorder="1" applyAlignment="1">
      <alignment horizontal="center" vertical="top"/>
    </xf>
    <xf numFmtId="3" fontId="2" fillId="9" borderId="21" xfId="0" applyNumberFormat="1" applyFont="1" applyFill="1" applyBorder="1" applyAlignment="1">
      <alignment horizontal="center" vertical="top"/>
    </xf>
    <xf numFmtId="3" fontId="2" fillId="7" borderId="20" xfId="0" applyNumberFormat="1" applyFont="1" applyFill="1" applyBorder="1" applyAlignment="1">
      <alignment horizontal="center" vertical="top"/>
    </xf>
    <xf numFmtId="3" fontId="2" fillId="7" borderId="21" xfId="0" applyNumberFormat="1" applyFont="1" applyFill="1" applyBorder="1" applyAlignment="1">
      <alignment horizontal="center" vertical="top"/>
    </xf>
    <xf numFmtId="3" fontId="1" fillId="5" borderId="22" xfId="0" applyNumberFormat="1" applyFont="1" applyFill="1" applyBorder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3" fontId="2" fillId="0" borderId="33" xfId="0" applyNumberFormat="1" applyFont="1" applyFill="1" applyBorder="1" applyAlignment="1">
      <alignment horizontal="center" vertical="top"/>
    </xf>
    <xf numFmtId="3" fontId="2" fillId="2" borderId="38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 wrapText="1"/>
    </xf>
    <xf numFmtId="3" fontId="2" fillId="2" borderId="41" xfId="0" applyNumberFormat="1" applyFont="1" applyFill="1" applyBorder="1" applyAlignment="1">
      <alignment horizontal="left" vertical="top" wrapText="1"/>
    </xf>
    <xf numFmtId="3" fontId="1" fillId="0" borderId="49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textRotation="90" wrapText="1"/>
    </xf>
    <xf numFmtId="3" fontId="1" fillId="0" borderId="11" xfId="0" applyNumberFormat="1" applyFont="1" applyBorder="1" applyAlignment="1">
      <alignment horizontal="center" vertical="center" textRotation="90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0" borderId="31" xfId="0" applyNumberFormat="1" applyFont="1" applyBorder="1" applyAlignment="1">
      <alignment horizontal="center" vertical="center" textRotation="90" wrapText="1"/>
    </xf>
    <xf numFmtId="3" fontId="1" fillId="0" borderId="37" xfId="0" applyNumberFormat="1" applyFont="1" applyBorder="1" applyAlignment="1">
      <alignment horizontal="center" vertical="center" textRotation="90" wrapText="1"/>
    </xf>
    <xf numFmtId="3" fontId="1" fillId="0" borderId="5" xfId="0" applyNumberFormat="1" applyFont="1" applyBorder="1" applyAlignment="1">
      <alignment horizontal="center" vertical="center" textRotation="90" wrapText="1"/>
    </xf>
    <xf numFmtId="3" fontId="1" fillId="0" borderId="12" xfId="0" applyNumberFormat="1" applyFont="1" applyBorder="1" applyAlignment="1">
      <alignment horizontal="center" vertical="center" textRotation="90" wrapText="1"/>
    </xf>
    <xf numFmtId="3" fontId="1" fillId="0" borderId="17" xfId="0" applyNumberFormat="1" applyFont="1" applyBorder="1" applyAlignment="1">
      <alignment horizontal="center" vertical="center" textRotation="90" wrapText="1"/>
    </xf>
    <xf numFmtId="0" fontId="1" fillId="0" borderId="60" xfId="0" applyFont="1" applyBorder="1" applyAlignment="1">
      <alignment horizontal="center" vertical="center" textRotation="90" wrapText="1"/>
    </xf>
    <xf numFmtId="0" fontId="1" fillId="0" borderId="67" xfId="0" applyFont="1" applyBorder="1" applyAlignment="1">
      <alignment horizontal="center" vertical="center" textRotation="90" wrapText="1"/>
    </xf>
    <xf numFmtId="0" fontId="1" fillId="0" borderId="59" xfId="0" applyFont="1" applyBorder="1" applyAlignment="1">
      <alignment horizontal="center" vertical="center" textRotation="90" wrapText="1"/>
    </xf>
    <xf numFmtId="3" fontId="2" fillId="0" borderId="44" xfId="0" applyNumberFormat="1" applyFont="1" applyFill="1" applyBorder="1" applyAlignment="1">
      <alignment horizontal="center" vertical="top" textRotation="90" wrapText="1"/>
    </xf>
    <xf numFmtId="3" fontId="1" fillId="3" borderId="50" xfId="0" applyNumberFormat="1" applyFont="1" applyFill="1" applyBorder="1" applyAlignment="1">
      <alignment horizontal="left" vertical="top" wrapText="1"/>
    </xf>
    <xf numFmtId="3" fontId="1" fillId="0" borderId="43" xfId="0" applyNumberFormat="1" applyFont="1" applyBorder="1" applyAlignment="1">
      <alignment horizontal="center" vertical="top"/>
    </xf>
    <xf numFmtId="0" fontId="8" fillId="0" borderId="43" xfId="0" applyFont="1" applyBorder="1" applyAlignment="1">
      <alignment horizontal="center" vertical="top"/>
    </xf>
    <xf numFmtId="3" fontId="1" fillId="0" borderId="53" xfId="0" applyNumberFormat="1" applyFont="1" applyBorder="1" applyAlignment="1">
      <alignment horizontal="left" vertical="top"/>
    </xf>
    <xf numFmtId="3" fontId="1" fillId="0" borderId="14" xfId="0" applyNumberFormat="1" applyFont="1" applyBorder="1" applyAlignment="1">
      <alignment horizontal="left" vertical="top"/>
    </xf>
    <xf numFmtId="3" fontId="1" fillId="0" borderId="15" xfId="0" applyNumberFormat="1" applyFont="1" applyBorder="1" applyAlignment="1">
      <alignment horizontal="left" vertical="top"/>
    </xf>
    <xf numFmtId="3" fontId="1" fillId="0" borderId="26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left" vertical="top"/>
    </xf>
    <xf numFmtId="3" fontId="1" fillId="0" borderId="28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6" borderId="19" xfId="0" applyNumberFormat="1" applyFont="1" applyFill="1" applyBorder="1" applyAlignment="1">
      <alignment horizontal="center" vertical="top" wrapText="1"/>
    </xf>
    <xf numFmtId="3" fontId="1" fillId="6" borderId="20" xfId="0" applyNumberFormat="1" applyFont="1" applyFill="1" applyBorder="1" applyAlignment="1">
      <alignment horizontal="center" vertical="top" wrapText="1"/>
    </xf>
    <xf numFmtId="3" fontId="1" fillId="6" borderId="21" xfId="0" applyNumberFormat="1" applyFont="1" applyFill="1" applyBorder="1" applyAlignment="1">
      <alignment horizontal="center" vertical="top" wrapText="1"/>
    </xf>
    <xf numFmtId="3" fontId="2" fillId="9" borderId="42" xfId="0" applyNumberFormat="1" applyFont="1" applyFill="1" applyBorder="1" applyAlignment="1">
      <alignment horizontal="right" vertical="top"/>
    </xf>
    <xf numFmtId="3" fontId="2" fillId="9" borderId="20" xfId="0" applyNumberFormat="1" applyFont="1" applyFill="1" applyBorder="1" applyAlignment="1">
      <alignment horizontal="right" vertical="top"/>
    </xf>
    <xf numFmtId="3" fontId="1" fillId="0" borderId="9" xfId="0" applyNumberFormat="1" applyFont="1" applyBorder="1" applyAlignment="1">
      <alignment horizontal="left" vertical="top"/>
    </xf>
    <xf numFmtId="3" fontId="1" fillId="0" borderId="10" xfId="0" applyNumberFormat="1" applyFont="1" applyBorder="1" applyAlignment="1">
      <alignment horizontal="left" vertical="top"/>
    </xf>
    <xf numFmtId="49" fontId="2" fillId="0" borderId="27" xfId="0" applyNumberFormat="1" applyFont="1" applyBorder="1" applyAlignment="1">
      <alignment horizontal="center" vertical="top"/>
    </xf>
    <xf numFmtId="49" fontId="2" fillId="0" borderId="38" xfId="0" applyNumberFormat="1" applyFont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/>
    </xf>
    <xf numFmtId="49" fontId="1" fillId="0" borderId="39" xfId="0" applyNumberFormat="1" applyFont="1" applyBorder="1" applyAlignment="1">
      <alignment horizontal="center" vertical="top"/>
    </xf>
    <xf numFmtId="3" fontId="1" fillId="0" borderId="60" xfId="0" applyNumberFormat="1" applyFont="1" applyFill="1" applyBorder="1" applyAlignment="1">
      <alignment horizontal="center" vertical="center" textRotation="90" wrapText="1"/>
    </xf>
    <xf numFmtId="3" fontId="1" fillId="0" borderId="59" xfId="0" applyNumberFormat="1" applyFont="1" applyFill="1" applyBorder="1" applyAlignment="1">
      <alignment horizontal="center" vertical="center" textRotation="90" wrapText="1"/>
    </xf>
    <xf numFmtId="3" fontId="1" fillId="5" borderId="31" xfId="0" applyNumberFormat="1" applyFont="1" applyFill="1" applyBorder="1" applyAlignment="1">
      <alignment horizontal="center"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5" fillId="0" borderId="48" xfId="0" applyNumberFormat="1" applyFont="1" applyFill="1" applyBorder="1" applyAlignment="1">
      <alignment horizontal="center" vertical="top" textRotation="90" wrapText="1"/>
    </xf>
    <xf numFmtId="3" fontId="5" fillId="0" borderId="11" xfId="0" applyNumberFormat="1" applyFont="1" applyFill="1" applyBorder="1" applyAlignment="1">
      <alignment horizontal="center" vertical="top" textRotation="90" wrapText="1"/>
    </xf>
    <xf numFmtId="3" fontId="5" fillId="0" borderId="55" xfId="0" applyNumberFormat="1" applyFont="1" applyFill="1" applyBorder="1" applyAlignment="1">
      <alignment horizontal="center" vertical="top" textRotation="90" wrapText="1"/>
    </xf>
    <xf numFmtId="3" fontId="1" fillId="0" borderId="26" xfId="0" applyNumberFormat="1" applyFont="1" applyBorder="1" applyAlignment="1">
      <alignment horizontal="left" vertical="top" wrapText="1"/>
    </xf>
    <xf numFmtId="1" fontId="1" fillId="5" borderId="49" xfId="0" applyNumberFormat="1" applyFont="1" applyFill="1" applyBorder="1" applyAlignment="1">
      <alignment horizontal="center" vertical="top" wrapText="1"/>
    </xf>
    <xf numFmtId="1" fontId="1" fillId="5" borderId="39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55" xfId="0" applyNumberFormat="1" applyFont="1" applyFill="1" applyBorder="1" applyAlignment="1">
      <alignment horizontal="center" vertical="top" wrapText="1"/>
    </xf>
    <xf numFmtId="3" fontId="2" fillId="2" borderId="42" xfId="0" applyNumberFormat="1" applyFont="1" applyFill="1" applyBorder="1" applyAlignment="1">
      <alignment horizontal="left" vertical="top" wrapText="1"/>
    </xf>
    <xf numFmtId="3" fontId="2" fillId="2" borderId="3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top" wrapText="1"/>
    </xf>
    <xf numFmtId="3" fontId="1" fillId="0" borderId="18" xfId="0" applyNumberFormat="1" applyFont="1" applyFill="1" applyBorder="1" applyAlignment="1">
      <alignment horizontal="center" vertical="top" wrapText="1"/>
    </xf>
    <xf numFmtId="164" fontId="1" fillId="5" borderId="75" xfId="0" applyNumberFormat="1" applyFont="1" applyFill="1" applyBorder="1" applyAlignment="1">
      <alignment horizontal="center" vertical="top"/>
    </xf>
    <xf numFmtId="0" fontId="8" fillId="0" borderId="75" xfId="0" applyFont="1" applyBorder="1" applyAlignment="1">
      <alignment horizontal="center" vertical="top"/>
    </xf>
    <xf numFmtId="1" fontId="1" fillId="5" borderId="13" xfId="0" applyNumberFormat="1" applyFont="1" applyFill="1" applyBorder="1" applyAlignment="1">
      <alignment horizontal="center" vertical="top" wrapText="1"/>
    </xf>
    <xf numFmtId="1" fontId="1" fillId="5" borderId="18" xfId="0" applyNumberFormat="1" applyFont="1" applyFill="1" applyBorder="1" applyAlignment="1">
      <alignment horizontal="center" vertical="top" wrapText="1"/>
    </xf>
    <xf numFmtId="1" fontId="1" fillId="5" borderId="48" xfId="0" applyNumberFormat="1" applyFont="1" applyFill="1" applyBorder="1" applyAlignment="1">
      <alignment horizontal="center" vertical="top" wrapText="1"/>
    </xf>
    <xf numFmtId="1" fontId="1" fillId="5" borderId="16" xfId="0" applyNumberFormat="1" applyFont="1" applyFill="1" applyBorder="1" applyAlignment="1">
      <alignment horizontal="center" vertical="top" wrapText="1"/>
    </xf>
    <xf numFmtId="49" fontId="1" fillId="3" borderId="49" xfId="0" applyNumberFormat="1" applyFont="1" applyFill="1" applyBorder="1" applyAlignment="1">
      <alignment horizontal="center" vertical="top"/>
    </xf>
    <xf numFmtId="0" fontId="8" fillId="0" borderId="37" xfId="0" applyFont="1" applyBorder="1" applyAlignment="1">
      <alignment horizontal="center" vertical="top"/>
    </xf>
    <xf numFmtId="3" fontId="1" fillId="0" borderId="4" xfId="0" applyNumberFormat="1" applyFont="1" applyFill="1" applyBorder="1" applyAlignment="1">
      <alignment horizontal="center" vertical="top" textRotation="90"/>
    </xf>
    <xf numFmtId="3" fontId="1" fillId="0" borderId="16" xfId="0" applyNumberFormat="1" applyFont="1" applyFill="1" applyBorder="1" applyAlignment="1">
      <alignment horizontal="center" vertical="top" textRotation="90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56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Border="1" applyAlignment="1">
      <alignment horizontal="center" vertical="center" textRotation="90" wrapText="1"/>
    </xf>
    <xf numFmtId="3" fontId="1" fillId="0" borderId="3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6" xfId="0" applyFont="1" applyBorder="1" applyAlignment="1">
      <alignment horizontal="center" vertical="center" textRotation="90" wrapText="1"/>
    </xf>
    <xf numFmtId="3" fontId="7" fillId="0" borderId="0" xfId="0" applyNumberFormat="1" applyFont="1" applyAlignment="1">
      <alignment horizontal="left" vertical="top" wrapText="1"/>
    </xf>
    <xf numFmtId="49" fontId="1" fillId="0" borderId="74" xfId="0" applyNumberFormat="1" applyFont="1" applyBorder="1" applyAlignment="1">
      <alignment horizontal="center" vertical="center" textRotation="90" wrapText="1"/>
    </xf>
    <xf numFmtId="49" fontId="1" fillId="0" borderId="61" xfId="0" applyNumberFormat="1" applyFont="1" applyBorder="1" applyAlignment="1">
      <alignment horizontal="center" vertical="center" textRotation="90" wrapText="1"/>
    </xf>
    <xf numFmtId="3" fontId="1" fillId="0" borderId="38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/>
    </xf>
    <xf numFmtId="0" fontId="14" fillId="0" borderId="45" xfId="0" applyFont="1" applyBorder="1" applyAlignment="1">
      <alignment horizontal="center" vertical="center" textRotation="90" wrapText="1"/>
    </xf>
    <xf numFmtId="0" fontId="14" fillId="0" borderId="41" xfId="0" applyFont="1" applyBorder="1" applyAlignment="1">
      <alignment horizontal="center" vertical="center" textRotation="90" wrapText="1"/>
    </xf>
    <xf numFmtId="3" fontId="2" fillId="8" borderId="26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 wrapText="1"/>
    </xf>
    <xf numFmtId="3" fontId="1" fillId="0" borderId="69" xfId="0" applyNumberFormat="1" applyFont="1" applyBorder="1" applyAlignment="1">
      <alignment horizontal="left" vertical="top" wrapText="1"/>
    </xf>
    <xf numFmtId="3" fontId="1" fillId="0" borderId="59" xfId="0" applyNumberFormat="1" applyFont="1" applyBorder="1" applyAlignment="1">
      <alignment horizontal="left" vertical="top" wrapText="1"/>
    </xf>
    <xf numFmtId="3" fontId="1" fillId="0" borderId="4" xfId="0" applyNumberFormat="1" applyFont="1" applyFill="1" applyBorder="1" applyAlignment="1">
      <alignment horizontal="center" vertical="center" textRotation="90" wrapText="1"/>
    </xf>
    <xf numFmtId="3" fontId="1" fillId="0" borderId="16" xfId="0" applyNumberFormat="1" applyFont="1" applyFill="1" applyBorder="1" applyAlignment="1">
      <alignment horizontal="center" vertical="center" textRotation="90" wrapText="1"/>
    </xf>
    <xf numFmtId="3" fontId="2" fillId="0" borderId="31" xfId="0" applyNumberFormat="1" applyFont="1" applyFill="1" applyBorder="1" applyAlignment="1">
      <alignment horizontal="center" vertical="top"/>
    </xf>
    <xf numFmtId="3" fontId="2" fillId="0" borderId="39" xfId="0" applyNumberFormat="1" applyFont="1" applyFill="1" applyBorder="1" applyAlignment="1">
      <alignment horizontal="center" vertical="top"/>
    </xf>
    <xf numFmtId="3" fontId="1" fillId="0" borderId="29" xfId="0" applyNumberFormat="1" applyFont="1" applyFill="1" applyBorder="1" applyAlignment="1">
      <alignment horizontal="left" vertical="top" wrapText="1"/>
    </xf>
    <xf numFmtId="3" fontId="1" fillId="0" borderId="27" xfId="0" applyNumberFormat="1" applyFont="1" applyBorder="1" applyAlignment="1">
      <alignment horizontal="center" vertical="top"/>
    </xf>
    <xf numFmtId="3" fontId="1" fillId="0" borderId="38" xfId="0" applyNumberFormat="1" applyFont="1" applyBorder="1" applyAlignment="1">
      <alignment horizontal="center" vertical="top"/>
    </xf>
    <xf numFmtId="3" fontId="1" fillId="0" borderId="26" xfId="0" applyNumberFormat="1" applyFont="1" applyFill="1" applyBorder="1" applyAlignment="1">
      <alignment horizontal="left" vertical="top" wrapText="1"/>
    </xf>
    <xf numFmtId="3" fontId="1" fillId="0" borderId="63" xfId="0" applyNumberFormat="1" applyFont="1" applyFill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top" wrapText="1"/>
    </xf>
    <xf numFmtId="164" fontId="1" fillId="5" borderId="53" xfId="0" applyNumberFormat="1" applyFont="1" applyFill="1" applyBorder="1" applyAlignment="1">
      <alignment horizontal="center" vertical="top"/>
    </xf>
    <xf numFmtId="0" fontId="8" fillId="0" borderId="53" xfId="0" applyFont="1" applyBorder="1" applyAlignment="1">
      <alignment horizontal="center" vertical="top"/>
    </xf>
    <xf numFmtId="49" fontId="2" fillId="9" borderId="44" xfId="0" applyNumberFormat="1" applyFont="1" applyFill="1" applyBorder="1" applyAlignment="1">
      <alignment horizontal="center" vertical="top"/>
    </xf>
    <xf numFmtId="49" fontId="2" fillId="3" borderId="11" xfId="0" applyNumberFormat="1" applyFont="1" applyFill="1" applyBorder="1" applyAlignment="1">
      <alignment horizontal="center" vertical="top"/>
    </xf>
    <xf numFmtId="49" fontId="1" fillId="3" borderId="31" xfId="0" applyNumberFormat="1" applyFont="1" applyFill="1" applyBorder="1" applyAlignment="1">
      <alignment horizontal="center" vertical="top"/>
    </xf>
    <xf numFmtId="0" fontId="8" fillId="5" borderId="12" xfId="0" applyFont="1" applyFill="1" applyBorder="1" applyAlignment="1">
      <alignment horizontal="left" vertical="top" wrapText="1"/>
    </xf>
    <xf numFmtId="3" fontId="2" fillId="5" borderId="28" xfId="0" applyNumberFormat="1" applyFont="1" applyFill="1" applyBorder="1" applyAlignment="1">
      <alignment horizontal="center" vertical="top"/>
    </xf>
    <xf numFmtId="3" fontId="2" fillId="5" borderId="26" xfId="0" applyNumberFormat="1" applyFont="1" applyFill="1" applyBorder="1" applyAlignment="1">
      <alignment horizontal="center" vertical="top"/>
    </xf>
    <xf numFmtId="3" fontId="1" fillId="0" borderId="13" xfId="0" applyNumberFormat="1" applyFont="1" applyFill="1" applyBorder="1" applyAlignment="1">
      <alignment horizontal="left" vertical="top" wrapText="1"/>
    </xf>
    <xf numFmtId="3" fontId="1" fillId="0" borderId="44" xfId="0" applyNumberFormat="1" applyFont="1" applyFill="1" applyBorder="1" applyAlignment="1">
      <alignment horizontal="left" vertical="top" wrapText="1"/>
    </xf>
    <xf numFmtId="3" fontId="2" fillId="2" borderId="35" xfId="0" applyNumberFormat="1" applyFont="1" applyFill="1" applyBorder="1" applyAlignment="1">
      <alignment horizontal="center" vertical="center"/>
    </xf>
    <xf numFmtId="3" fontId="2" fillId="2" borderId="58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left" vertical="top" wrapText="1"/>
    </xf>
    <xf numFmtId="3" fontId="11" fillId="5" borderId="46" xfId="0" applyNumberFormat="1" applyFont="1" applyFill="1" applyBorder="1" applyAlignment="1">
      <alignment horizontal="center" vertical="top" wrapText="1"/>
    </xf>
    <xf numFmtId="3" fontId="11" fillId="5" borderId="50" xfId="0" applyNumberFormat="1" applyFont="1" applyFill="1" applyBorder="1" applyAlignment="1">
      <alignment horizontal="center" vertical="top" wrapText="1"/>
    </xf>
    <xf numFmtId="49" fontId="1" fillId="3" borderId="49" xfId="0" applyNumberFormat="1" applyFont="1" applyFill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3" fontId="2" fillId="5" borderId="44" xfId="0" applyNumberFormat="1" applyFont="1" applyFill="1" applyBorder="1" applyAlignment="1">
      <alignment horizontal="center" vertical="top" wrapText="1"/>
    </xf>
    <xf numFmtId="3" fontId="2" fillId="5" borderId="49" xfId="0" applyNumberFormat="1" applyFont="1" applyFill="1" applyBorder="1" applyAlignment="1">
      <alignment horizontal="center" vertical="top" wrapText="1"/>
    </xf>
    <xf numFmtId="3" fontId="2" fillId="5" borderId="37" xfId="0" applyNumberFormat="1" applyFont="1" applyFill="1" applyBorder="1" applyAlignment="1">
      <alignment horizontal="center" vertical="top" wrapText="1"/>
    </xf>
    <xf numFmtId="3" fontId="1" fillId="6" borderId="58" xfId="0" applyNumberFormat="1" applyFont="1" applyFill="1" applyBorder="1" applyAlignment="1">
      <alignment horizontal="center" vertical="top" wrapText="1"/>
    </xf>
    <xf numFmtId="49" fontId="1" fillId="0" borderId="56" xfId="0" applyNumberFormat="1" applyFont="1" applyBorder="1" applyAlignment="1">
      <alignment horizontal="center" vertical="top"/>
    </xf>
    <xf numFmtId="3" fontId="1" fillId="0" borderId="34" xfId="0" applyNumberFormat="1" applyFont="1" applyBorder="1" applyAlignment="1">
      <alignment horizontal="left" vertical="top" wrapText="1"/>
    </xf>
    <xf numFmtId="3" fontId="1" fillId="5" borderId="27" xfId="0" applyNumberFormat="1" applyFont="1" applyFill="1" applyBorder="1" applyAlignment="1">
      <alignment horizontal="center" vertical="top" wrapText="1"/>
    </xf>
    <xf numFmtId="3" fontId="1" fillId="5" borderId="62" xfId="0" applyNumberFormat="1" applyFont="1" applyFill="1" applyBorder="1" applyAlignment="1">
      <alignment horizontal="center" vertical="top" wrapText="1"/>
    </xf>
    <xf numFmtId="3" fontId="1" fillId="0" borderId="73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2" fillId="7" borderId="42" xfId="0" applyNumberFormat="1" applyFont="1" applyFill="1" applyBorder="1" applyAlignment="1">
      <alignment horizontal="right" vertical="top"/>
    </xf>
    <xf numFmtId="3" fontId="2" fillId="7" borderId="20" xfId="0" applyNumberFormat="1" applyFont="1" applyFill="1" applyBorder="1" applyAlignment="1">
      <alignment horizontal="right" vertical="top"/>
    </xf>
    <xf numFmtId="164" fontId="1" fillId="6" borderId="34" xfId="0" applyNumberFormat="1" applyFont="1" applyFill="1" applyBorder="1" applyAlignment="1">
      <alignment horizontal="center" vertical="top"/>
    </xf>
    <xf numFmtId="164" fontId="1" fillId="6" borderId="26" xfId="0" applyNumberFormat="1" applyFont="1" applyFill="1" applyBorder="1" applyAlignment="1">
      <alignment horizontal="center" vertical="top"/>
    </xf>
  </cellXfs>
  <cellStyles count="3">
    <cellStyle name="Excel Built-in Normal" xfId="1"/>
    <cellStyle name="Įprastas" xfId="0" builtinId="0"/>
    <cellStyle name="Normal_Sheet1" xfId="2"/>
  </cellStyles>
  <dxfs count="0"/>
  <tableStyles count="0" defaultTableStyle="TableStyleMedium2" defaultPivotStyle="PivotStyleLight16"/>
  <colors>
    <mruColors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85"/>
  <sheetViews>
    <sheetView tabSelected="1" zoomScaleNormal="100" workbookViewId="0">
      <selection activeCell="P177" sqref="P177"/>
    </sheetView>
  </sheetViews>
  <sheetFormatPr defaultColWidth="9.109375" defaultRowHeight="13.2" x14ac:dyDescent="0.25"/>
  <cols>
    <col min="1" max="1" width="3.109375" style="195" customWidth="1"/>
    <col min="2" max="4" width="3.109375" style="196" customWidth="1"/>
    <col min="5" max="5" width="28.33203125" style="195" customWidth="1"/>
    <col min="6" max="6" width="3" style="198" customWidth="1"/>
    <col min="7" max="7" width="3" style="199" hidden="1" customWidth="1"/>
    <col min="8" max="8" width="3" style="196" hidden="1" customWidth="1"/>
    <col min="9" max="9" width="16" style="196" customWidth="1"/>
    <col min="10" max="10" width="7.109375" style="195" customWidth="1"/>
    <col min="11" max="11" width="9.109375" style="196" customWidth="1"/>
    <col min="12" max="13" width="7.6640625" style="196" customWidth="1"/>
    <col min="14" max="14" width="10.109375" style="196" customWidth="1"/>
    <col min="15" max="15" width="25.109375" style="195" customWidth="1"/>
    <col min="16" max="19" width="6.33203125" style="196" customWidth="1"/>
    <col min="20" max="16384" width="9.109375" style="195"/>
  </cols>
  <sheetData>
    <row r="1" spans="1:19" ht="30.75" customHeight="1" x14ac:dyDescent="0.25">
      <c r="I1" s="1065" t="s">
        <v>181</v>
      </c>
      <c r="J1" s="1065"/>
      <c r="K1" s="1065"/>
      <c r="L1" s="1065"/>
      <c r="M1" s="1065"/>
      <c r="N1" s="1065"/>
      <c r="O1" s="1065"/>
      <c r="P1" s="1065"/>
      <c r="Q1" s="1065"/>
      <c r="R1" s="1065"/>
      <c r="S1" s="1065"/>
    </row>
    <row r="2" spans="1:19" s="101" customFormat="1" ht="15" customHeight="1" x14ac:dyDescent="0.25">
      <c r="A2" s="1040" t="s">
        <v>182</v>
      </c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0"/>
      <c r="R2" s="1040"/>
      <c r="S2" s="1040"/>
    </row>
    <row r="3" spans="1:19" s="101" customFormat="1" ht="15" customHeight="1" x14ac:dyDescent="0.25">
      <c r="A3" s="1014" t="s">
        <v>0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014"/>
      <c r="N3" s="1014"/>
      <c r="O3" s="1014"/>
      <c r="P3" s="1014"/>
      <c r="Q3" s="1014"/>
      <c r="R3" s="1014"/>
      <c r="S3" s="1014"/>
    </row>
    <row r="4" spans="1:19" s="101" customFormat="1" ht="15" customHeight="1" x14ac:dyDescent="0.25">
      <c r="A4" s="1028" t="s">
        <v>1</v>
      </c>
      <c r="B4" s="1028"/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1028"/>
      <c r="Q4" s="1028"/>
      <c r="R4" s="1028"/>
      <c r="S4" s="1028"/>
    </row>
    <row r="5" spans="1:19" s="101" customFormat="1" ht="19.95" customHeight="1" thickBot="1" x14ac:dyDescent="0.3">
      <c r="A5" s="1"/>
      <c r="B5" s="1"/>
      <c r="C5" s="1"/>
      <c r="D5" s="1"/>
      <c r="E5" s="143"/>
      <c r="F5" s="134"/>
      <c r="G5" s="69"/>
      <c r="H5" s="143"/>
      <c r="I5" s="143"/>
      <c r="J5" s="143"/>
      <c r="K5" s="2"/>
      <c r="L5" s="2"/>
      <c r="M5" s="2"/>
      <c r="N5" s="2"/>
      <c r="O5" s="307"/>
      <c r="P5" s="1027" t="s">
        <v>114</v>
      </c>
      <c r="Q5" s="1027"/>
      <c r="R5" s="1027"/>
      <c r="S5" s="1027"/>
    </row>
    <row r="6" spans="1:19" s="101" customFormat="1" ht="18.600000000000001" customHeight="1" x14ac:dyDescent="0.25">
      <c r="A6" s="1029" t="s">
        <v>2</v>
      </c>
      <c r="B6" s="1032" t="s">
        <v>3</v>
      </c>
      <c r="C6" s="1032" t="s">
        <v>4</v>
      </c>
      <c r="D6" s="83"/>
      <c r="E6" s="983" t="s">
        <v>5</v>
      </c>
      <c r="F6" s="985" t="s">
        <v>6</v>
      </c>
      <c r="G6" s="1073" t="s">
        <v>72</v>
      </c>
      <c r="H6" s="1076" t="s">
        <v>7</v>
      </c>
      <c r="I6" s="999" t="s">
        <v>116</v>
      </c>
      <c r="J6" s="1078" t="s">
        <v>8</v>
      </c>
      <c r="K6" s="1081" t="s">
        <v>184</v>
      </c>
      <c r="L6" s="1081" t="s">
        <v>183</v>
      </c>
      <c r="M6" s="1081" t="s">
        <v>188</v>
      </c>
      <c r="N6" s="1081" t="s">
        <v>189</v>
      </c>
      <c r="O6" s="987" t="s">
        <v>9</v>
      </c>
      <c r="P6" s="988"/>
      <c r="Q6" s="988"/>
      <c r="R6" s="988"/>
      <c r="S6" s="989"/>
    </row>
    <row r="7" spans="1:19" s="101" customFormat="1" ht="16.5" customHeight="1" x14ac:dyDescent="0.25">
      <c r="A7" s="1030"/>
      <c r="B7" s="1033"/>
      <c r="C7" s="1033"/>
      <c r="D7" s="84"/>
      <c r="E7" s="984"/>
      <c r="F7" s="986"/>
      <c r="G7" s="1074"/>
      <c r="H7" s="1077"/>
      <c r="I7" s="1000"/>
      <c r="J7" s="1079"/>
      <c r="K7" s="1082"/>
      <c r="L7" s="1082"/>
      <c r="M7" s="1082"/>
      <c r="N7" s="1082"/>
      <c r="O7" s="1072" t="s">
        <v>5</v>
      </c>
      <c r="P7" s="1035" t="s">
        <v>10</v>
      </c>
      <c r="Q7" s="1036"/>
      <c r="R7" s="1036"/>
      <c r="S7" s="1037"/>
    </row>
    <row r="8" spans="1:19" s="101" customFormat="1" ht="79.5" customHeight="1" thickBot="1" x14ac:dyDescent="0.3">
      <c r="A8" s="1031"/>
      <c r="B8" s="1034"/>
      <c r="C8" s="1034"/>
      <c r="D8" s="84"/>
      <c r="E8" s="984"/>
      <c r="F8" s="986"/>
      <c r="G8" s="1075"/>
      <c r="H8" s="1077"/>
      <c r="I8" s="1001"/>
      <c r="J8" s="1080"/>
      <c r="K8" s="1083"/>
      <c r="L8" s="1083"/>
      <c r="M8" s="1083"/>
      <c r="N8" s="1083"/>
      <c r="O8" s="1072"/>
      <c r="P8" s="164" t="s">
        <v>187</v>
      </c>
      <c r="Q8" s="392" t="s">
        <v>185</v>
      </c>
      <c r="R8" s="625" t="s">
        <v>185</v>
      </c>
      <c r="S8" s="624" t="s">
        <v>186</v>
      </c>
    </row>
    <row r="9" spans="1:19" s="101" customFormat="1" ht="15.75" customHeight="1" x14ac:dyDescent="0.25">
      <c r="A9" s="992" t="s">
        <v>11</v>
      </c>
      <c r="B9" s="993"/>
      <c r="C9" s="993"/>
      <c r="D9" s="993"/>
      <c r="E9" s="993"/>
      <c r="F9" s="993"/>
      <c r="G9" s="993"/>
      <c r="H9" s="993"/>
      <c r="I9" s="994"/>
      <c r="J9" s="994"/>
      <c r="K9" s="994"/>
      <c r="L9" s="994"/>
      <c r="M9" s="994"/>
      <c r="N9" s="994"/>
      <c r="O9" s="993"/>
      <c r="P9" s="993"/>
      <c r="Q9" s="993"/>
      <c r="R9" s="993"/>
      <c r="S9" s="995"/>
    </row>
    <row r="10" spans="1:19" s="101" customFormat="1" ht="15.75" customHeight="1" x14ac:dyDescent="0.25">
      <c r="A10" s="996" t="s">
        <v>12</v>
      </c>
      <c r="B10" s="997"/>
      <c r="C10" s="997"/>
      <c r="D10" s="997"/>
      <c r="E10" s="997"/>
      <c r="F10" s="997"/>
      <c r="G10" s="997"/>
      <c r="H10" s="997"/>
      <c r="I10" s="997"/>
      <c r="J10" s="997"/>
      <c r="K10" s="997"/>
      <c r="L10" s="997"/>
      <c r="M10" s="997"/>
      <c r="N10" s="997"/>
      <c r="O10" s="997"/>
      <c r="P10" s="997"/>
      <c r="Q10" s="997"/>
      <c r="R10" s="997"/>
      <c r="S10" s="998"/>
    </row>
    <row r="11" spans="1:19" s="101" customFormat="1" ht="15.75" customHeight="1" x14ac:dyDescent="0.25">
      <c r="A11" s="132" t="s">
        <v>13</v>
      </c>
      <c r="B11" s="1015" t="s">
        <v>14</v>
      </c>
      <c r="C11" s="1015"/>
      <c r="D11" s="1015"/>
      <c r="E11" s="1015"/>
      <c r="F11" s="1015"/>
      <c r="G11" s="1015"/>
      <c r="H11" s="1015"/>
      <c r="I11" s="1015"/>
      <c r="J11" s="1015"/>
      <c r="K11" s="1015"/>
      <c r="L11" s="1015"/>
      <c r="M11" s="1015"/>
      <c r="N11" s="1015"/>
      <c r="O11" s="1016"/>
      <c r="P11" s="1016"/>
      <c r="Q11" s="1016"/>
      <c r="R11" s="1016"/>
      <c r="S11" s="1017"/>
    </row>
    <row r="12" spans="1:19" s="101" customFormat="1" ht="15.75" customHeight="1" thickBot="1" x14ac:dyDescent="0.3">
      <c r="A12" s="813" t="s">
        <v>13</v>
      </c>
      <c r="B12" s="828" t="s">
        <v>13</v>
      </c>
      <c r="C12" s="1067" t="s">
        <v>15</v>
      </c>
      <c r="D12" s="1068"/>
      <c r="E12" s="1068"/>
      <c r="F12" s="1068"/>
      <c r="G12" s="1068"/>
      <c r="H12" s="1068"/>
      <c r="I12" s="1068"/>
      <c r="J12" s="1068"/>
      <c r="K12" s="1068"/>
      <c r="L12" s="1068"/>
      <c r="M12" s="1068"/>
      <c r="N12" s="1068"/>
      <c r="O12" s="1068"/>
      <c r="P12" s="1068"/>
      <c r="Q12" s="1068"/>
      <c r="R12" s="1068"/>
      <c r="S12" s="1069"/>
    </row>
    <row r="13" spans="1:19" s="101" customFormat="1" ht="30" customHeight="1" x14ac:dyDescent="0.25">
      <c r="A13" s="47" t="s">
        <v>13</v>
      </c>
      <c r="B13" s="117" t="s">
        <v>13</v>
      </c>
      <c r="C13" s="120" t="s">
        <v>13</v>
      </c>
      <c r="D13" s="835"/>
      <c r="E13" s="908" t="s">
        <v>124</v>
      </c>
      <c r="F13" s="1009" t="s">
        <v>53</v>
      </c>
      <c r="G13" s="1012">
        <v>11020306</v>
      </c>
      <c r="H13" s="936" t="s">
        <v>16</v>
      </c>
      <c r="I13" s="788" t="s">
        <v>169</v>
      </c>
      <c r="J13" s="65" t="s">
        <v>17</v>
      </c>
      <c r="K13" s="148">
        <f>65.8+18.6</f>
        <v>84.4</v>
      </c>
      <c r="L13" s="76">
        <f>120-2</f>
        <v>118</v>
      </c>
      <c r="M13" s="553"/>
      <c r="N13" s="551"/>
      <c r="O13" s="684" t="s">
        <v>190</v>
      </c>
      <c r="P13" s="685"/>
      <c r="Q13" s="480">
        <v>1</v>
      </c>
      <c r="R13" s="568"/>
      <c r="S13" s="563"/>
    </row>
    <row r="14" spans="1:19" s="101" customFormat="1" ht="41.4" customHeight="1" x14ac:dyDescent="0.25">
      <c r="A14" s="48"/>
      <c r="B14" s="118"/>
      <c r="C14" s="121"/>
      <c r="D14" s="821"/>
      <c r="E14" s="944"/>
      <c r="F14" s="1010"/>
      <c r="G14" s="1013"/>
      <c r="H14" s="937"/>
      <c r="I14" s="782"/>
      <c r="J14" s="65" t="s">
        <v>17</v>
      </c>
      <c r="K14" s="166"/>
      <c r="L14" s="78"/>
      <c r="M14" s="479">
        <v>20.6</v>
      </c>
      <c r="N14" s="530"/>
      <c r="O14" s="8" t="s">
        <v>191</v>
      </c>
      <c r="P14" s="715"/>
      <c r="Q14" s="750"/>
      <c r="R14" s="581">
        <v>1</v>
      </c>
      <c r="S14" s="600"/>
    </row>
    <row r="15" spans="1:19" s="101" customFormat="1" ht="15" customHeight="1" x14ac:dyDescent="0.25">
      <c r="A15" s="48"/>
      <c r="B15" s="118"/>
      <c r="C15" s="121"/>
      <c r="D15" s="821"/>
      <c r="E15" s="944"/>
      <c r="F15" s="1010"/>
      <c r="G15" s="1013"/>
      <c r="H15" s="937"/>
      <c r="I15" s="782"/>
      <c r="J15" s="23"/>
      <c r="K15" s="224"/>
      <c r="L15" s="79"/>
      <c r="M15" s="477"/>
      <c r="N15" s="85"/>
      <c r="O15" s="895" t="s">
        <v>142</v>
      </c>
      <c r="P15" s="802">
        <v>1</v>
      </c>
      <c r="Q15" s="751"/>
      <c r="R15" s="606"/>
      <c r="S15" s="595"/>
    </row>
    <row r="16" spans="1:19" s="101" customFormat="1" ht="15" customHeight="1" thickBot="1" x14ac:dyDescent="0.3">
      <c r="A16" s="49"/>
      <c r="B16" s="119"/>
      <c r="C16" s="122"/>
      <c r="D16" s="772"/>
      <c r="E16" s="909"/>
      <c r="F16" s="1011"/>
      <c r="G16" s="1026"/>
      <c r="H16" s="1066"/>
      <c r="I16" s="171"/>
      <c r="J16" s="816" t="s">
        <v>18</v>
      </c>
      <c r="K16" s="149">
        <f>SUM(K13:K13)</f>
        <v>84.4</v>
      </c>
      <c r="L16" s="438">
        <f>SUM(L13:L15)</f>
        <v>118</v>
      </c>
      <c r="M16" s="495">
        <f>SUM(M14:M14)</f>
        <v>20.6</v>
      </c>
      <c r="N16" s="744">
        <f>SUM(N14:N14)</f>
        <v>0</v>
      </c>
      <c r="O16" s="917"/>
      <c r="P16" s="589"/>
      <c r="Q16" s="752"/>
      <c r="R16" s="593"/>
      <c r="S16" s="588"/>
    </row>
    <row r="17" spans="1:23" s="101" customFormat="1" ht="30" customHeight="1" x14ac:dyDescent="0.25">
      <c r="A17" s="933" t="s">
        <v>13</v>
      </c>
      <c r="B17" s="904" t="s">
        <v>13</v>
      </c>
      <c r="C17" s="1006" t="s">
        <v>19</v>
      </c>
      <c r="D17" s="835"/>
      <c r="E17" s="908" t="s">
        <v>52</v>
      </c>
      <c r="F17" s="1009"/>
      <c r="G17" s="1012">
        <v>11020307</v>
      </c>
      <c r="H17" s="936" t="s">
        <v>16</v>
      </c>
      <c r="I17" s="939" t="s">
        <v>169</v>
      </c>
      <c r="J17" s="6" t="s">
        <v>17</v>
      </c>
      <c r="K17" s="153">
        <v>13</v>
      </c>
      <c r="L17" s="439">
        <v>13</v>
      </c>
      <c r="M17" s="559">
        <v>13</v>
      </c>
      <c r="N17" s="557">
        <v>15</v>
      </c>
      <c r="O17" s="839" t="s">
        <v>20</v>
      </c>
      <c r="P17" s="788">
        <v>20</v>
      </c>
      <c r="Q17" s="643">
        <v>21</v>
      </c>
      <c r="R17" s="780">
        <v>22</v>
      </c>
      <c r="S17" s="565">
        <v>23</v>
      </c>
    </row>
    <row r="18" spans="1:23" s="101" customFormat="1" ht="15" customHeight="1" x14ac:dyDescent="0.25">
      <c r="A18" s="934"/>
      <c r="B18" s="942"/>
      <c r="C18" s="1007"/>
      <c r="D18" s="821"/>
      <c r="E18" s="944"/>
      <c r="F18" s="1010"/>
      <c r="G18" s="1013"/>
      <c r="H18" s="937"/>
      <c r="I18" s="918"/>
      <c r="J18" s="23"/>
      <c r="K18" s="298"/>
      <c r="L18" s="440"/>
      <c r="M18" s="560"/>
      <c r="N18" s="558"/>
      <c r="O18" s="1018" t="s">
        <v>107</v>
      </c>
      <c r="P18" s="790">
        <v>500</v>
      </c>
      <c r="Q18" s="628">
        <v>510</v>
      </c>
      <c r="R18" s="1024">
        <v>515</v>
      </c>
      <c r="S18" s="566">
        <v>520</v>
      </c>
    </row>
    <row r="19" spans="1:23" s="101" customFormat="1" ht="15" customHeight="1" thickBot="1" x14ac:dyDescent="0.3">
      <c r="A19" s="934"/>
      <c r="B19" s="942"/>
      <c r="C19" s="1007"/>
      <c r="D19" s="821"/>
      <c r="E19" s="944"/>
      <c r="F19" s="1010"/>
      <c r="G19" s="1013"/>
      <c r="H19" s="938"/>
      <c r="I19" s="919"/>
      <c r="J19" s="817" t="s">
        <v>18</v>
      </c>
      <c r="K19" s="149">
        <f>+K17</f>
        <v>13</v>
      </c>
      <c r="L19" s="438">
        <f t="shared" ref="L19:N19" si="0">+L17</f>
        <v>13</v>
      </c>
      <c r="M19" s="495">
        <f t="shared" si="0"/>
        <v>13</v>
      </c>
      <c r="N19" s="490">
        <f t="shared" si="0"/>
        <v>15</v>
      </c>
      <c r="O19" s="1019"/>
      <c r="P19" s="571"/>
      <c r="Q19" s="753"/>
      <c r="R19" s="1025"/>
      <c r="S19" s="754"/>
    </row>
    <row r="20" spans="1:23" s="101" customFormat="1" ht="30" customHeight="1" x14ac:dyDescent="0.25">
      <c r="A20" s="933" t="s">
        <v>13</v>
      </c>
      <c r="B20" s="904" t="s">
        <v>13</v>
      </c>
      <c r="C20" s="1006" t="s">
        <v>21</v>
      </c>
      <c r="D20" s="835"/>
      <c r="E20" s="908" t="s">
        <v>82</v>
      </c>
      <c r="F20" s="1009"/>
      <c r="G20" s="1012">
        <v>11020310</v>
      </c>
      <c r="H20" s="936" t="s">
        <v>16</v>
      </c>
      <c r="I20" s="788" t="s">
        <v>169</v>
      </c>
      <c r="J20" s="6" t="s">
        <v>17</v>
      </c>
      <c r="K20" s="153">
        <v>66.099999999999994</v>
      </c>
      <c r="L20" s="439">
        <v>62.1</v>
      </c>
      <c r="M20" s="559">
        <v>62.1</v>
      </c>
      <c r="N20" s="557">
        <v>62.1</v>
      </c>
      <c r="O20" s="291" t="s">
        <v>64</v>
      </c>
      <c r="P20" s="572">
        <v>1300</v>
      </c>
      <c r="Q20" s="781">
        <v>1300</v>
      </c>
      <c r="R20" s="781">
        <v>1300</v>
      </c>
      <c r="S20" s="811">
        <v>1300</v>
      </c>
      <c r="W20" s="114"/>
    </row>
    <row r="21" spans="1:23" s="101" customFormat="1" ht="29.25" customHeight="1" x14ac:dyDescent="0.25">
      <c r="A21" s="934"/>
      <c r="B21" s="942"/>
      <c r="C21" s="1007"/>
      <c r="D21" s="821"/>
      <c r="E21" s="944"/>
      <c r="F21" s="1010"/>
      <c r="G21" s="1013"/>
      <c r="H21" s="937"/>
      <c r="I21" s="782"/>
      <c r="J21" s="115" t="s">
        <v>17</v>
      </c>
      <c r="K21" s="200">
        <v>23.7</v>
      </c>
      <c r="L21" s="837">
        <v>19</v>
      </c>
      <c r="M21" s="484">
        <v>19</v>
      </c>
      <c r="N21" s="550">
        <v>19</v>
      </c>
      <c r="O21" s="1018" t="s">
        <v>83</v>
      </c>
      <c r="P21" s="977">
        <v>21</v>
      </c>
      <c r="Q21" s="784">
        <v>21</v>
      </c>
      <c r="R21" s="785">
        <v>21</v>
      </c>
      <c r="S21" s="809">
        <v>21</v>
      </c>
    </row>
    <row r="22" spans="1:23" s="101" customFormat="1" ht="16.2" customHeight="1" thickBot="1" x14ac:dyDescent="0.3">
      <c r="A22" s="935"/>
      <c r="B22" s="905"/>
      <c r="C22" s="1008"/>
      <c r="D22" s="772"/>
      <c r="E22" s="909"/>
      <c r="F22" s="1011"/>
      <c r="G22" s="1026"/>
      <c r="H22" s="1066"/>
      <c r="I22" s="783"/>
      <c r="J22" s="817" t="s">
        <v>18</v>
      </c>
      <c r="K22" s="149">
        <f>SUM(K20:K21)</f>
        <v>89.8</v>
      </c>
      <c r="L22" s="438">
        <f t="shared" ref="L22:N22" si="1">SUM(L20:L21)</f>
        <v>81.099999999999994</v>
      </c>
      <c r="M22" s="495">
        <f t="shared" si="1"/>
        <v>81.099999999999994</v>
      </c>
      <c r="N22" s="490">
        <f t="shared" si="1"/>
        <v>81.099999999999994</v>
      </c>
      <c r="O22" s="1019"/>
      <c r="P22" s="1020"/>
      <c r="Q22" s="561"/>
      <c r="R22" s="569"/>
      <c r="S22" s="562"/>
    </row>
    <row r="23" spans="1:23" s="101" customFormat="1" ht="18" customHeight="1" x14ac:dyDescent="0.25">
      <c r="A23" s="933" t="s">
        <v>13</v>
      </c>
      <c r="B23" s="904" t="s">
        <v>13</v>
      </c>
      <c r="C23" s="1006" t="s">
        <v>32</v>
      </c>
      <c r="D23" s="835"/>
      <c r="E23" s="908" t="s">
        <v>99</v>
      </c>
      <c r="F23" s="1009"/>
      <c r="G23" s="1012">
        <v>11020307</v>
      </c>
      <c r="H23" s="936" t="s">
        <v>16</v>
      </c>
      <c r="I23" s="939" t="s">
        <v>169</v>
      </c>
      <c r="J23" s="6" t="s">
        <v>17</v>
      </c>
      <c r="K23" s="153"/>
      <c r="L23" s="76">
        <v>12</v>
      </c>
      <c r="M23" s="559">
        <v>25</v>
      </c>
      <c r="N23" s="557">
        <v>25</v>
      </c>
      <c r="O23" s="1021" t="s">
        <v>67</v>
      </c>
      <c r="P23" s="616"/>
      <c r="Q23" s="573">
        <v>1</v>
      </c>
      <c r="R23" s="605">
        <v>2</v>
      </c>
      <c r="S23" s="621">
        <v>2</v>
      </c>
    </row>
    <row r="24" spans="1:23" s="101" customFormat="1" ht="13.5" customHeight="1" x14ac:dyDescent="0.25">
      <c r="A24" s="934"/>
      <c r="B24" s="942"/>
      <c r="C24" s="1007"/>
      <c r="D24" s="821"/>
      <c r="E24" s="944"/>
      <c r="F24" s="1010"/>
      <c r="G24" s="1013"/>
      <c r="H24" s="937"/>
      <c r="I24" s="918"/>
      <c r="J24" s="23"/>
      <c r="K24" s="298"/>
      <c r="L24" s="440"/>
      <c r="M24" s="560"/>
      <c r="N24" s="558"/>
      <c r="O24" s="1022"/>
      <c r="P24" s="802"/>
      <c r="Q24" s="583"/>
      <c r="R24" s="606"/>
      <c r="S24" s="595"/>
      <c r="W24" s="114"/>
    </row>
    <row r="25" spans="1:23" s="101" customFormat="1" ht="15" customHeight="1" thickBot="1" x14ac:dyDescent="0.3">
      <c r="A25" s="934"/>
      <c r="B25" s="942"/>
      <c r="C25" s="1007"/>
      <c r="D25" s="821"/>
      <c r="E25" s="944"/>
      <c r="F25" s="1010"/>
      <c r="G25" s="1013"/>
      <c r="H25" s="938"/>
      <c r="I25" s="919"/>
      <c r="J25" s="817" t="s">
        <v>18</v>
      </c>
      <c r="K25" s="149">
        <f>+K23</f>
        <v>0</v>
      </c>
      <c r="L25" s="438">
        <f t="shared" ref="L25:N25" si="2">+L23</f>
        <v>12</v>
      </c>
      <c r="M25" s="495">
        <f t="shared" si="2"/>
        <v>25</v>
      </c>
      <c r="N25" s="490">
        <f t="shared" si="2"/>
        <v>25</v>
      </c>
      <c r="O25" s="1023"/>
      <c r="P25" s="755"/>
      <c r="Q25" s="756"/>
      <c r="R25" s="757"/>
      <c r="S25" s="758"/>
    </row>
    <row r="26" spans="1:23" s="101" customFormat="1" ht="15.75" customHeight="1" thickBot="1" x14ac:dyDescent="0.3">
      <c r="A26" s="42" t="s">
        <v>13</v>
      </c>
      <c r="B26" s="10" t="s">
        <v>13</v>
      </c>
      <c r="C26" s="964" t="s">
        <v>22</v>
      </c>
      <c r="D26" s="964"/>
      <c r="E26" s="964"/>
      <c r="F26" s="964"/>
      <c r="G26" s="964"/>
      <c r="H26" s="964"/>
      <c r="I26" s="964"/>
      <c r="J26" s="964"/>
      <c r="K26" s="172">
        <f>K22+K19+K16+K25</f>
        <v>187.2</v>
      </c>
      <c r="L26" s="384">
        <f>L22+L19+L16+L25</f>
        <v>224.1</v>
      </c>
      <c r="M26" s="496">
        <f t="shared" ref="M26:N26" si="3">M22+M19+M16+M25</f>
        <v>139.69999999999999</v>
      </c>
      <c r="N26" s="491">
        <f t="shared" si="3"/>
        <v>121.1</v>
      </c>
      <c r="O26" s="1002"/>
      <c r="P26" s="1002"/>
      <c r="Q26" s="1002"/>
      <c r="R26" s="1002"/>
      <c r="S26" s="1003"/>
    </row>
    <row r="27" spans="1:23" s="101" customFormat="1" ht="16.5" customHeight="1" thickBot="1" x14ac:dyDescent="0.3">
      <c r="A27" s="42" t="s">
        <v>13</v>
      </c>
      <c r="B27" s="10" t="s">
        <v>19</v>
      </c>
      <c r="C27" s="1004" t="s">
        <v>23</v>
      </c>
      <c r="D27" s="1004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P27" s="1004"/>
      <c r="Q27" s="1004"/>
      <c r="R27" s="1004"/>
      <c r="S27" s="1005"/>
    </row>
    <row r="28" spans="1:23" s="101" customFormat="1" ht="14.25" customHeight="1" x14ac:dyDescent="0.25">
      <c r="A28" s="822" t="s">
        <v>13</v>
      </c>
      <c r="B28" s="795" t="s">
        <v>19</v>
      </c>
      <c r="C28" s="4" t="s">
        <v>13</v>
      </c>
      <c r="D28" s="835"/>
      <c r="E28" s="990" t="s">
        <v>24</v>
      </c>
      <c r="F28" s="135"/>
      <c r="G28" s="70"/>
      <c r="H28" s="241">
        <v>2</v>
      </c>
      <c r="I28" s="939" t="s">
        <v>173</v>
      </c>
      <c r="J28" s="167" t="s">
        <v>25</v>
      </c>
      <c r="K28" s="76">
        <f>330.8</f>
        <v>330.8</v>
      </c>
      <c r="L28" s="76">
        <v>300.10000000000002</v>
      </c>
      <c r="M28" s="553">
        <v>330.4</v>
      </c>
      <c r="N28" s="551">
        <v>330.4</v>
      </c>
      <c r="O28" s="130"/>
      <c r="P28" s="636"/>
      <c r="Q28" s="636"/>
      <c r="R28" s="590"/>
      <c r="S28" s="584"/>
    </row>
    <row r="29" spans="1:23" s="101" customFormat="1" ht="14.25" customHeight="1" x14ac:dyDescent="0.25">
      <c r="A29" s="833"/>
      <c r="B29" s="796"/>
      <c r="C29" s="4"/>
      <c r="D29" s="821"/>
      <c r="E29" s="991"/>
      <c r="F29" s="135"/>
      <c r="G29" s="71"/>
      <c r="H29" s="244"/>
      <c r="I29" s="918"/>
      <c r="J29" s="157" t="s">
        <v>50</v>
      </c>
      <c r="K29" s="78">
        <v>124.2</v>
      </c>
      <c r="L29" s="78"/>
      <c r="M29" s="479"/>
      <c r="N29" s="530"/>
      <c r="O29" s="767"/>
      <c r="P29" s="637"/>
      <c r="Q29" s="637"/>
      <c r="R29" s="591"/>
      <c r="S29" s="585"/>
    </row>
    <row r="30" spans="1:23" s="101" customFormat="1" ht="30.75" customHeight="1" x14ac:dyDescent="0.25">
      <c r="A30" s="833"/>
      <c r="B30" s="796"/>
      <c r="C30" s="4"/>
      <c r="D30" s="787" t="s">
        <v>13</v>
      </c>
      <c r="E30" s="940" t="s">
        <v>26</v>
      </c>
      <c r="F30" s="135"/>
      <c r="G30" s="92">
        <v>11030201</v>
      </c>
      <c r="H30" s="244"/>
      <c r="I30" s="918"/>
      <c r="J30" s="156" t="s">
        <v>17</v>
      </c>
      <c r="K30" s="543">
        <f>1669.5-5</f>
        <v>1664.5</v>
      </c>
      <c r="L30" s="1194">
        <v>1705.5</v>
      </c>
      <c r="M30" s="479">
        <f>1739.5+85</f>
        <v>1824.5</v>
      </c>
      <c r="N30" s="530">
        <v>1774</v>
      </c>
      <c r="O30" s="127" t="s">
        <v>98</v>
      </c>
      <c r="P30" s="638">
        <v>891</v>
      </c>
      <c r="Q30" s="638">
        <v>900</v>
      </c>
      <c r="R30" s="766">
        <v>900</v>
      </c>
      <c r="S30" s="686">
        <v>900</v>
      </c>
    </row>
    <row r="31" spans="1:23" s="101" customFormat="1" ht="30" customHeight="1" x14ac:dyDescent="0.25">
      <c r="A31" s="833"/>
      <c r="B31" s="796"/>
      <c r="C31" s="4"/>
      <c r="D31" s="821"/>
      <c r="E31" s="941"/>
      <c r="F31" s="135"/>
      <c r="G31" s="71"/>
      <c r="H31" s="244"/>
      <c r="I31" s="948" t="s">
        <v>174</v>
      </c>
      <c r="J31" s="155"/>
      <c r="K31" s="544"/>
      <c r="L31" s="79"/>
      <c r="M31" s="477"/>
      <c r="N31" s="549"/>
      <c r="O31" s="127" t="s">
        <v>113</v>
      </c>
      <c r="P31" s="638">
        <v>19</v>
      </c>
      <c r="Q31" s="638">
        <v>23</v>
      </c>
      <c r="R31" s="766">
        <v>23</v>
      </c>
      <c r="S31" s="686">
        <v>23</v>
      </c>
    </row>
    <row r="32" spans="1:23" s="101" customFormat="1" ht="16.5" customHeight="1" x14ac:dyDescent="0.25">
      <c r="A32" s="833"/>
      <c r="B32" s="796"/>
      <c r="C32" s="4"/>
      <c r="D32" s="821"/>
      <c r="E32" s="941"/>
      <c r="F32" s="135"/>
      <c r="G32" s="71"/>
      <c r="H32" s="244"/>
      <c r="I32" s="948"/>
      <c r="J32" s="155"/>
      <c r="K32" s="544"/>
      <c r="L32" s="79"/>
      <c r="M32" s="477"/>
      <c r="N32" s="549"/>
      <c r="O32" s="95" t="s">
        <v>108</v>
      </c>
      <c r="P32" s="638">
        <v>12</v>
      </c>
      <c r="Q32" s="638"/>
      <c r="R32" s="766"/>
      <c r="S32" s="686"/>
    </row>
    <row r="33" spans="1:19" s="101" customFormat="1" ht="28.5" customHeight="1" x14ac:dyDescent="0.25">
      <c r="A33" s="833"/>
      <c r="B33" s="796"/>
      <c r="C33" s="4"/>
      <c r="D33" s="821"/>
      <c r="E33" s="805"/>
      <c r="F33" s="135"/>
      <c r="G33" s="71"/>
      <c r="H33" s="244"/>
      <c r="I33" s="948"/>
      <c r="J33" s="155"/>
      <c r="K33" s="544"/>
      <c r="L33" s="79"/>
      <c r="M33" s="477"/>
      <c r="N33" s="549"/>
      <c r="O33" s="485" t="s">
        <v>192</v>
      </c>
      <c r="P33" s="638"/>
      <c r="Q33" s="638"/>
      <c r="R33" s="766">
        <v>1</v>
      </c>
      <c r="S33" s="686"/>
    </row>
    <row r="34" spans="1:19" s="101" customFormat="1" ht="29.25" customHeight="1" x14ac:dyDescent="0.25">
      <c r="A34" s="833"/>
      <c r="B34" s="796"/>
      <c r="C34" s="4"/>
      <c r="D34" s="821"/>
      <c r="E34" s="805"/>
      <c r="F34" s="135"/>
      <c r="G34" s="71"/>
      <c r="H34" s="244"/>
      <c r="I34" s="948"/>
      <c r="J34" s="155"/>
      <c r="K34" s="544"/>
      <c r="L34" s="79"/>
      <c r="M34" s="477"/>
      <c r="N34" s="549"/>
      <c r="O34" s="485" t="s">
        <v>193</v>
      </c>
      <c r="P34" s="633"/>
      <c r="Q34" s="633"/>
      <c r="R34" s="577">
        <v>1</v>
      </c>
      <c r="S34" s="686"/>
    </row>
    <row r="35" spans="1:19" s="101" customFormat="1" ht="30" customHeight="1" x14ac:dyDescent="0.25">
      <c r="A35" s="833"/>
      <c r="B35" s="796"/>
      <c r="C35" s="4"/>
      <c r="D35" s="821"/>
      <c r="E35" s="805"/>
      <c r="F35" s="135"/>
      <c r="G35" s="71"/>
      <c r="H35" s="244"/>
      <c r="I35" s="948"/>
      <c r="J35" s="155"/>
      <c r="K35" s="544"/>
      <c r="L35" s="79"/>
      <c r="M35" s="477"/>
      <c r="N35" s="549"/>
      <c r="O35" s="792" t="s">
        <v>85</v>
      </c>
      <c r="P35" s="638">
        <v>11626</v>
      </c>
      <c r="Q35" s="687">
        <v>11461</v>
      </c>
      <c r="R35" s="577">
        <v>11461</v>
      </c>
      <c r="S35" s="688">
        <v>11461</v>
      </c>
    </row>
    <row r="36" spans="1:19" s="101" customFormat="1" ht="27.6" customHeight="1" x14ac:dyDescent="0.25">
      <c r="A36" s="833"/>
      <c r="B36" s="796"/>
      <c r="C36" s="4"/>
      <c r="D36" s="787" t="s">
        <v>19</v>
      </c>
      <c r="E36" s="940" t="s">
        <v>27</v>
      </c>
      <c r="F36" s="135"/>
      <c r="G36" s="71">
        <v>11030301</v>
      </c>
      <c r="H36" s="244"/>
      <c r="I36" s="246"/>
      <c r="J36" s="156" t="s">
        <v>17</v>
      </c>
      <c r="K36" s="543">
        <f>730.2-10.5</f>
        <v>719.7</v>
      </c>
      <c r="L36" s="1194">
        <v>732.1</v>
      </c>
      <c r="M36" s="479">
        <v>758.7</v>
      </c>
      <c r="N36" s="530">
        <v>773.8</v>
      </c>
      <c r="O36" s="95" t="s">
        <v>98</v>
      </c>
      <c r="P36" s="633">
        <v>575</v>
      </c>
      <c r="Q36" s="633">
        <v>580</v>
      </c>
      <c r="R36" s="577">
        <v>580</v>
      </c>
      <c r="S36" s="578">
        <v>580</v>
      </c>
    </row>
    <row r="37" spans="1:19" s="101" customFormat="1" ht="31.2" customHeight="1" x14ac:dyDescent="0.25">
      <c r="A37" s="833"/>
      <c r="B37" s="796"/>
      <c r="C37" s="4"/>
      <c r="D37" s="821"/>
      <c r="E37" s="941"/>
      <c r="F37" s="135"/>
      <c r="G37" s="71"/>
      <c r="H37" s="244"/>
      <c r="I37" s="246"/>
      <c r="J37" s="155"/>
      <c r="K37" s="544"/>
      <c r="L37" s="79"/>
      <c r="M37" s="477"/>
      <c r="N37" s="549"/>
      <c r="O37" s="127" t="s">
        <v>113</v>
      </c>
      <c r="P37" s="639">
        <v>12</v>
      </c>
      <c r="Q37" s="639">
        <v>18</v>
      </c>
      <c r="R37" s="689">
        <v>24</v>
      </c>
      <c r="S37" s="690">
        <v>24</v>
      </c>
    </row>
    <row r="38" spans="1:19" s="101" customFormat="1" ht="17.399999999999999" customHeight="1" x14ac:dyDescent="0.25">
      <c r="A38" s="833"/>
      <c r="B38" s="796"/>
      <c r="C38" s="834"/>
      <c r="D38" s="821"/>
      <c r="E38" s="941"/>
      <c r="F38" s="135"/>
      <c r="G38" s="71"/>
      <c r="H38" s="244"/>
      <c r="I38" s="246"/>
      <c r="J38" s="155"/>
      <c r="K38" s="544"/>
      <c r="L38" s="79"/>
      <c r="M38" s="477"/>
      <c r="N38" s="549"/>
      <c r="O38" s="294" t="s">
        <v>109</v>
      </c>
      <c r="P38" s="633">
        <v>1</v>
      </c>
      <c r="Q38" s="633"/>
      <c r="R38" s="577"/>
      <c r="S38" s="578"/>
    </row>
    <row r="39" spans="1:19" s="101" customFormat="1" ht="30" customHeight="1" x14ac:dyDescent="0.25">
      <c r="A39" s="833"/>
      <c r="B39" s="796"/>
      <c r="C39" s="4"/>
      <c r="D39" s="821"/>
      <c r="E39" s="805"/>
      <c r="F39" s="135"/>
      <c r="G39" s="71"/>
      <c r="H39" s="244"/>
      <c r="I39" s="246"/>
      <c r="J39" s="155"/>
      <c r="K39" s="544"/>
      <c r="L39" s="79"/>
      <c r="M39" s="477"/>
      <c r="N39" s="549"/>
      <c r="O39" s="627" t="s">
        <v>85</v>
      </c>
      <c r="P39" s="640">
        <v>80</v>
      </c>
      <c r="Q39" s="691">
        <v>80</v>
      </c>
      <c r="R39" s="692">
        <v>80</v>
      </c>
      <c r="S39" s="693">
        <v>80</v>
      </c>
    </row>
    <row r="40" spans="1:19" s="101" customFormat="1" ht="29.25" customHeight="1" x14ac:dyDescent="0.25">
      <c r="A40" s="833"/>
      <c r="B40" s="796"/>
      <c r="C40" s="4"/>
      <c r="D40" s="787" t="s">
        <v>21</v>
      </c>
      <c r="E40" s="940" t="s">
        <v>28</v>
      </c>
      <c r="F40" s="135"/>
      <c r="G40" s="72">
        <v>11030401</v>
      </c>
      <c r="H40" s="244"/>
      <c r="I40" s="246"/>
      <c r="J40" s="156" t="s">
        <v>17</v>
      </c>
      <c r="K40" s="543">
        <f>507.5-5.8</f>
        <v>501.7</v>
      </c>
      <c r="L40" s="1194">
        <v>549.9</v>
      </c>
      <c r="M40" s="479">
        <v>574.79999999999995</v>
      </c>
      <c r="N40" s="530">
        <v>586.29999999999995</v>
      </c>
      <c r="O40" s="95" t="s">
        <v>98</v>
      </c>
      <c r="P40" s="633">
        <v>596</v>
      </c>
      <c r="Q40" s="633">
        <v>600</v>
      </c>
      <c r="R40" s="577">
        <v>610</v>
      </c>
      <c r="S40" s="578">
        <v>650</v>
      </c>
    </row>
    <row r="41" spans="1:19" s="101" customFormat="1" ht="29.25" customHeight="1" x14ac:dyDescent="0.25">
      <c r="A41" s="833"/>
      <c r="B41" s="796"/>
      <c r="C41" s="4"/>
      <c r="D41" s="821"/>
      <c r="E41" s="941"/>
      <c r="F41" s="135"/>
      <c r="G41" s="72"/>
      <c r="H41" s="244"/>
      <c r="I41" s="246"/>
      <c r="J41" s="155"/>
      <c r="K41" s="544"/>
      <c r="L41" s="79"/>
      <c r="M41" s="477"/>
      <c r="N41" s="549"/>
      <c r="O41" s="127" t="s">
        <v>113</v>
      </c>
      <c r="P41" s="633">
        <v>8</v>
      </c>
      <c r="Q41" s="687">
        <v>8</v>
      </c>
      <c r="R41" s="577">
        <v>8</v>
      </c>
      <c r="S41" s="578">
        <v>8</v>
      </c>
    </row>
    <row r="42" spans="1:19" s="101" customFormat="1" ht="27" customHeight="1" x14ac:dyDescent="0.25">
      <c r="A42" s="833"/>
      <c r="B42" s="796"/>
      <c r="C42" s="834"/>
      <c r="D42" s="282"/>
      <c r="E42" s="1085"/>
      <c r="F42" s="135"/>
      <c r="G42" s="92"/>
      <c r="H42" s="244"/>
      <c r="I42" s="246"/>
      <c r="J42" s="160"/>
      <c r="K42" s="545"/>
      <c r="L42" s="256"/>
      <c r="M42" s="478"/>
      <c r="N42" s="502"/>
      <c r="O42" s="295" t="s">
        <v>84</v>
      </c>
      <c r="P42" s="633">
        <v>6782</v>
      </c>
      <c r="Q42" s="687">
        <v>7492.5</v>
      </c>
      <c r="R42" s="577">
        <v>7492.5</v>
      </c>
      <c r="S42" s="688">
        <v>7492.5</v>
      </c>
    </row>
    <row r="43" spans="1:19" s="101" customFormat="1" ht="29.25" customHeight="1" x14ac:dyDescent="0.25">
      <c r="A43" s="833"/>
      <c r="B43" s="796"/>
      <c r="C43" s="4"/>
      <c r="D43" s="947" t="s">
        <v>32</v>
      </c>
      <c r="E43" s="941" t="s">
        <v>29</v>
      </c>
      <c r="F43" s="135"/>
      <c r="G43" s="277">
        <v>11030501</v>
      </c>
      <c r="H43" s="244"/>
      <c r="I43" s="246"/>
      <c r="J43" s="155" t="s">
        <v>17</v>
      </c>
      <c r="K43" s="544">
        <f>573.2-10</f>
        <v>563.20000000000005</v>
      </c>
      <c r="L43" s="1195">
        <v>110</v>
      </c>
      <c r="M43" s="748"/>
      <c r="N43" s="749"/>
      <c r="O43" s="820" t="s">
        <v>98</v>
      </c>
      <c r="P43" s="773">
        <v>690</v>
      </c>
      <c r="Q43" s="773">
        <v>704</v>
      </c>
      <c r="R43" s="841"/>
      <c r="S43" s="842"/>
    </row>
    <row r="44" spans="1:19" s="101" customFormat="1" ht="29.25" customHeight="1" x14ac:dyDescent="0.25">
      <c r="A44" s="833"/>
      <c r="B44" s="796"/>
      <c r="C44" s="4"/>
      <c r="D44" s="947"/>
      <c r="E44" s="941"/>
      <c r="F44" s="135"/>
      <c r="G44" s="72"/>
      <c r="H44" s="244"/>
      <c r="I44" s="246"/>
      <c r="J44" s="155"/>
      <c r="K44" s="79"/>
      <c r="L44" s="79"/>
      <c r="M44" s="477"/>
      <c r="N44" s="549"/>
      <c r="O44" s="127" t="s">
        <v>113</v>
      </c>
      <c r="P44" s="773">
        <v>10</v>
      </c>
      <c r="Q44" s="774">
        <v>20</v>
      </c>
      <c r="R44" s="843"/>
      <c r="S44" s="844"/>
    </row>
    <row r="45" spans="1:19" s="101" customFormat="1" ht="29.25" customHeight="1" x14ac:dyDescent="0.25">
      <c r="A45" s="833"/>
      <c r="B45" s="796"/>
      <c r="C45" s="4"/>
      <c r="D45" s="947"/>
      <c r="E45" s="941"/>
      <c r="F45" s="135"/>
      <c r="G45" s="72"/>
      <c r="H45" s="244"/>
      <c r="I45" s="246"/>
      <c r="J45" s="155"/>
      <c r="K45" s="79"/>
      <c r="L45" s="79"/>
      <c r="M45" s="477"/>
      <c r="N45" s="549"/>
      <c r="O45" s="95" t="s">
        <v>84</v>
      </c>
      <c r="P45" s="773">
        <v>6395</v>
      </c>
      <c r="Q45" s="774">
        <f>6162-4621</f>
        <v>1541</v>
      </c>
      <c r="R45" s="843"/>
      <c r="S45" s="844"/>
    </row>
    <row r="46" spans="1:19" s="101" customFormat="1" ht="28.2" customHeight="1" x14ac:dyDescent="0.25">
      <c r="A46" s="833"/>
      <c r="B46" s="796"/>
      <c r="C46" s="4"/>
      <c r="D46" s="787" t="s">
        <v>51</v>
      </c>
      <c r="E46" s="940" t="s">
        <v>57</v>
      </c>
      <c r="F46" s="136"/>
      <c r="G46" s="72">
        <v>11030801</v>
      </c>
      <c r="H46" s="244"/>
      <c r="I46" s="246"/>
      <c r="J46" s="156" t="s">
        <v>17</v>
      </c>
      <c r="K46" s="543">
        <f>805.1-3.4-11.5</f>
        <v>790.2</v>
      </c>
      <c r="L46" s="1194">
        <v>825.1</v>
      </c>
      <c r="M46" s="479">
        <v>870.9</v>
      </c>
      <c r="N46" s="530">
        <v>888.3</v>
      </c>
      <c r="O46" s="95" t="s">
        <v>98</v>
      </c>
      <c r="P46" s="115">
        <v>320</v>
      </c>
      <c r="Q46" s="115">
        <v>360</v>
      </c>
      <c r="R46" s="694">
        <v>360</v>
      </c>
      <c r="S46" s="695">
        <v>370</v>
      </c>
    </row>
    <row r="47" spans="1:19" s="101" customFormat="1" ht="29.25" customHeight="1" x14ac:dyDescent="0.25">
      <c r="A47" s="833"/>
      <c r="B47" s="796"/>
      <c r="C47" s="4"/>
      <c r="D47" s="821"/>
      <c r="E47" s="941"/>
      <c r="F47" s="135"/>
      <c r="G47" s="92"/>
      <c r="H47" s="244"/>
      <c r="I47" s="246"/>
      <c r="J47" s="156" t="s">
        <v>59</v>
      </c>
      <c r="K47" s="543">
        <v>20</v>
      </c>
      <c r="L47" s="78"/>
      <c r="M47" s="479"/>
      <c r="N47" s="530"/>
      <c r="O47" s="127" t="s">
        <v>113</v>
      </c>
      <c r="P47" s="626">
        <v>10</v>
      </c>
      <c r="Q47" s="696">
        <v>12</v>
      </c>
      <c r="R47" s="694">
        <v>12</v>
      </c>
      <c r="S47" s="697">
        <v>12</v>
      </c>
    </row>
    <row r="48" spans="1:19" s="101" customFormat="1" ht="30" customHeight="1" x14ac:dyDescent="0.25">
      <c r="A48" s="833"/>
      <c r="B48" s="796"/>
      <c r="C48" s="4"/>
      <c r="D48" s="821"/>
      <c r="E48" s="805"/>
      <c r="F48" s="135"/>
      <c r="G48" s="92"/>
      <c r="H48" s="244"/>
      <c r="I48" s="246"/>
      <c r="J48" s="155"/>
      <c r="K48" s="544"/>
      <c r="L48" s="79"/>
      <c r="M48" s="477"/>
      <c r="N48" s="549"/>
      <c r="O48" s="274" t="s">
        <v>194</v>
      </c>
      <c r="P48" s="641"/>
      <c r="Q48" s="641"/>
      <c r="R48" s="575">
        <v>1</v>
      </c>
      <c r="S48" s="576"/>
    </row>
    <row r="49" spans="1:19" s="101" customFormat="1" ht="15" customHeight="1" x14ac:dyDescent="0.25">
      <c r="A49" s="833"/>
      <c r="B49" s="796"/>
      <c r="C49" s="4"/>
      <c r="D49" s="821"/>
      <c r="E49" s="805"/>
      <c r="F49" s="135"/>
      <c r="G49" s="92"/>
      <c r="H49" s="244"/>
      <c r="I49" s="246"/>
      <c r="J49" s="155"/>
      <c r="K49" s="544"/>
      <c r="L49" s="79"/>
      <c r="M49" s="477"/>
      <c r="N49" s="549"/>
      <c r="O49" s="36" t="s">
        <v>121</v>
      </c>
      <c r="P49" s="641">
        <v>1</v>
      </c>
      <c r="Q49" s="641"/>
      <c r="R49" s="575"/>
      <c r="S49" s="576"/>
    </row>
    <row r="50" spans="1:19" s="101" customFormat="1" ht="17.399999999999999" customHeight="1" x14ac:dyDescent="0.25">
      <c r="A50" s="833"/>
      <c r="B50" s="796"/>
      <c r="C50" s="4"/>
      <c r="D50" s="787" t="s">
        <v>80</v>
      </c>
      <c r="E50" s="943" t="s">
        <v>55</v>
      </c>
      <c r="F50" s="1084" t="s">
        <v>106</v>
      </c>
      <c r="G50" s="799">
        <v>11020101</v>
      </c>
      <c r="H50" s="244"/>
      <c r="I50" s="246"/>
      <c r="J50" s="156" t="s">
        <v>17</v>
      </c>
      <c r="K50" s="543">
        <v>766.2</v>
      </c>
      <c r="L50" s="78">
        <v>747.5</v>
      </c>
      <c r="M50" s="479">
        <v>834.1</v>
      </c>
      <c r="N50" s="530">
        <v>850.8</v>
      </c>
      <c r="O50" s="127" t="s">
        <v>103</v>
      </c>
      <c r="P50" s="633">
        <v>15</v>
      </c>
      <c r="Q50" s="633">
        <v>18</v>
      </c>
      <c r="R50" s="577">
        <v>18</v>
      </c>
      <c r="S50" s="578">
        <v>18</v>
      </c>
    </row>
    <row r="51" spans="1:19" s="101" customFormat="1" ht="24.6" customHeight="1" x14ac:dyDescent="0.25">
      <c r="A51" s="833"/>
      <c r="B51" s="796"/>
      <c r="C51" s="4"/>
      <c r="D51" s="821"/>
      <c r="E51" s="944"/>
      <c r="F51" s="1084"/>
      <c r="G51" s="800"/>
      <c r="H51" s="244"/>
      <c r="I51" s="246"/>
      <c r="J51" s="155"/>
      <c r="K51" s="544"/>
      <c r="L51" s="747"/>
      <c r="M51" s="748"/>
      <c r="N51" s="749"/>
      <c r="O51" s="486" t="s">
        <v>195</v>
      </c>
      <c r="P51" s="633"/>
      <c r="Q51" s="633">
        <v>7</v>
      </c>
      <c r="R51" s="577"/>
      <c r="S51" s="578"/>
    </row>
    <row r="52" spans="1:19" s="101" customFormat="1" ht="16.5" customHeight="1" x14ac:dyDescent="0.25">
      <c r="A52" s="833"/>
      <c r="B52" s="796"/>
      <c r="C52" s="4"/>
      <c r="D52" s="821"/>
      <c r="E52" s="944"/>
      <c r="F52" s="1084"/>
      <c r="G52" s="800"/>
      <c r="H52" s="244"/>
      <c r="I52" s="246"/>
      <c r="J52" s="155"/>
      <c r="K52" s="544"/>
      <c r="L52" s="79"/>
      <c r="M52" s="477"/>
      <c r="N52" s="549"/>
      <c r="O52" s="698" t="s">
        <v>202</v>
      </c>
      <c r="P52" s="633"/>
      <c r="Q52" s="633">
        <v>5</v>
      </c>
      <c r="R52" s="577"/>
      <c r="S52" s="578"/>
    </row>
    <row r="53" spans="1:19" s="101" customFormat="1" ht="27.6" customHeight="1" x14ac:dyDescent="0.25">
      <c r="A53" s="833"/>
      <c r="B53" s="796"/>
      <c r="C53" s="4"/>
      <c r="D53" s="821"/>
      <c r="E53" s="944"/>
      <c r="F53" s="1084"/>
      <c r="G53" s="800"/>
      <c r="H53" s="244"/>
      <c r="I53" s="246"/>
      <c r="J53" s="155"/>
      <c r="K53" s="544"/>
      <c r="L53" s="79"/>
      <c r="M53" s="477"/>
      <c r="N53" s="549"/>
      <c r="O53" s="698" t="s">
        <v>203</v>
      </c>
      <c r="P53" s="633"/>
      <c r="Q53" s="633">
        <v>1</v>
      </c>
      <c r="R53" s="577"/>
      <c r="S53" s="578"/>
    </row>
    <row r="54" spans="1:19" s="101" customFormat="1" ht="27" customHeight="1" x14ac:dyDescent="0.25">
      <c r="A54" s="833"/>
      <c r="B54" s="796"/>
      <c r="C54" s="4"/>
      <c r="D54" s="821"/>
      <c r="E54" s="944"/>
      <c r="F54" s="1084"/>
      <c r="G54" s="800"/>
      <c r="H54" s="244"/>
      <c r="I54" s="246"/>
      <c r="J54" s="155"/>
      <c r="K54" s="544"/>
      <c r="L54" s="79"/>
      <c r="M54" s="477"/>
      <c r="N54" s="549"/>
      <c r="O54" s="699" t="s">
        <v>204</v>
      </c>
      <c r="P54" s="633"/>
      <c r="Q54" s="633">
        <v>1</v>
      </c>
      <c r="R54" s="577"/>
      <c r="S54" s="578"/>
    </row>
    <row r="55" spans="1:19" s="101" customFormat="1" ht="29.25" customHeight="1" x14ac:dyDescent="0.25">
      <c r="A55" s="833"/>
      <c r="B55" s="796"/>
      <c r="C55" s="4"/>
      <c r="D55" s="1130" t="s">
        <v>81</v>
      </c>
      <c r="E55" s="895" t="s">
        <v>70</v>
      </c>
      <c r="F55" s="135"/>
      <c r="G55" s="71">
        <v>11020102</v>
      </c>
      <c r="H55" s="244"/>
      <c r="I55" s="472"/>
      <c r="J55" s="1086" t="s">
        <v>17</v>
      </c>
      <c r="K55" s="1124">
        <f>224.2-7</f>
        <v>217.2</v>
      </c>
      <c r="L55" s="78">
        <f>291.7-61.9-15.7-14.1</f>
        <v>200</v>
      </c>
      <c r="M55" s="479">
        <f>291.7-61.9-21.3</f>
        <v>208.49999999999997</v>
      </c>
      <c r="N55" s="530">
        <f>291.7-61.9-21.3</f>
        <v>208.49999999999997</v>
      </c>
      <c r="O55" s="127" t="s">
        <v>104</v>
      </c>
      <c r="P55" s="633">
        <v>4</v>
      </c>
      <c r="Q55" s="633">
        <v>4</v>
      </c>
      <c r="R55" s="577">
        <v>3</v>
      </c>
      <c r="S55" s="578">
        <v>3</v>
      </c>
    </row>
    <row r="56" spans="1:19" s="101" customFormat="1" ht="27" customHeight="1" x14ac:dyDescent="0.25">
      <c r="A56" s="833"/>
      <c r="B56" s="796"/>
      <c r="C56" s="4"/>
      <c r="D56" s="1131"/>
      <c r="E56" s="916"/>
      <c r="F56" s="135"/>
      <c r="G56" s="71"/>
      <c r="H56" s="244"/>
      <c r="I56" s="472"/>
      <c r="J56" s="1087"/>
      <c r="K56" s="1125"/>
      <c r="L56" s="630"/>
      <c r="M56" s="631"/>
      <c r="N56" s="632"/>
      <c r="O56" s="1135" t="s">
        <v>123</v>
      </c>
      <c r="P56" s="638">
        <v>20378</v>
      </c>
      <c r="Q56" s="1126">
        <f>19355-2076</f>
        <v>17279</v>
      </c>
      <c r="R56" s="1128">
        <f>19355-2767</f>
        <v>16588</v>
      </c>
      <c r="S56" s="1114">
        <f>19355-2767</f>
        <v>16588</v>
      </c>
    </row>
    <row r="57" spans="1:19" s="101" customFormat="1" ht="15.75" customHeight="1" thickBot="1" x14ac:dyDescent="0.3">
      <c r="A57" s="823"/>
      <c r="B57" s="818"/>
      <c r="C57" s="5"/>
      <c r="D57" s="772"/>
      <c r="E57" s="917"/>
      <c r="F57" s="137"/>
      <c r="G57" s="260"/>
      <c r="H57" s="259"/>
      <c r="I57" s="248"/>
      <c r="J57" s="168" t="s">
        <v>18</v>
      </c>
      <c r="K57" s="77">
        <f>SUM(K28:K56)</f>
        <v>5697.6999999999989</v>
      </c>
      <c r="L57" s="77">
        <f>SUM(L28:L56)</f>
        <v>5170.2</v>
      </c>
      <c r="M57" s="539">
        <f>SUM(M28:M56)</f>
        <v>5401.9000000000005</v>
      </c>
      <c r="N57" s="867">
        <f>SUM(N28:N56)</f>
        <v>5412.1</v>
      </c>
      <c r="O57" s="1023"/>
      <c r="P57" s="642"/>
      <c r="Q57" s="1127"/>
      <c r="R57" s="1129"/>
      <c r="S57" s="1115"/>
    </row>
    <row r="58" spans="1:19" s="101" customFormat="1" ht="17.25" customHeight="1" x14ac:dyDescent="0.25">
      <c r="A58" s="43" t="s">
        <v>13</v>
      </c>
      <c r="B58" s="795" t="s">
        <v>19</v>
      </c>
      <c r="C58" s="3" t="s">
        <v>19</v>
      </c>
      <c r="D58" s="835"/>
      <c r="E58" s="945" t="s">
        <v>100</v>
      </c>
      <c r="F58" s="174"/>
      <c r="G58" s="175"/>
      <c r="H58" s="241" t="s">
        <v>16</v>
      </c>
      <c r="I58" s="939" t="s">
        <v>169</v>
      </c>
      <c r="J58" s="6"/>
      <c r="K58" s="372"/>
      <c r="L58" s="372"/>
      <c r="M58" s="554"/>
      <c r="N58" s="548"/>
      <c r="O58" s="791" t="s">
        <v>101</v>
      </c>
      <c r="P58" s="643">
        <v>68</v>
      </c>
      <c r="Q58" s="1038">
        <v>69</v>
      </c>
      <c r="R58" s="1116">
        <v>69</v>
      </c>
      <c r="S58" s="1136">
        <v>70</v>
      </c>
    </row>
    <row r="59" spans="1:19" s="101" customFormat="1" ht="12.75" customHeight="1" x14ac:dyDescent="0.25">
      <c r="A59" s="44"/>
      <c r="B59" s="796"/>
      <c r="C59" s="4"/>
      <c r="D59" s="821"/>
      <c r="E59" s="946"/>
      <c r="F59" s="176"/>
      <c r="G59" s="177"/>
      <c r="H59" s="244"/>
      <c r="I59" s="918"/>
      <c r="J59" s="23"/>
      <c r="K59" s="79"/>
      <c r="L59" s="79"/>
      <c r="M59" s="477"/>
      <c r="N59" s="549"/>
      <c r="O59" s="271"/>
      <c r="P59" s="644"/>
      <c r="Q59" s="1039"/>
      <c r="R59" s="1117"/>
      <c r="S59" s="1137"/>
    </row>
    <row r="60" spans="1:19" s="101" customFormat="1" ht="30.75" customHeight="1" x14ac:dyDescent="0.25">
      <c r="A60" s="45"/>
      <c r="B60" s="30"/>
      <c r="C60" s="7"/>
      <c r="D60" s="771" t="s">
        <v>13</v>
      </c>
      <c r="E60" s="274" t="s">
        <v>30</v>
      </c>
      <c r="F60" s="176"/>
      <c r="G60" s="178">
        <v>11030608</v>
      </c>
      <c r="H60" s="62"/>
      <c r="I60" s="158"/>
      <c r="J60" s="115" t="s">
        <v>17</v>
      </c>
      <c r="K60" s="837">
        <f>458.4+10</f>
        <v>468.4</v>
      </c>
      <c r="L60" s="837">
        <v>468.4</v>
      </c>
      <c r="M60" s="484">
        <v>478.4</v>
      </c>
      <c r="N60" s="629">
        <v>493.4</v>
      </c>
      <c r="O60" s="126" t="s">
        <v>68</v>
      </c>
      <c r="P60" s="628">
        <v>215</v>
      </c>
      <c r="Q60" s="700">
        <v>215</v>
      </c>
      <c r="R60" s="582">
        <v>220</v>
      </c>
      <c r="S60" s="566">
        <v>220</v>
      </c>
    </row>
    <row r="61" spans="1:19" s="101" customFormat="1" ht="40.5" customHeight="1" x14ac:dyDescent="0.25">
      <c r="A61" s="44"/>
      <c r="B61" s="796"/>
      <c r="C61" s="4"/>
      <c r="D61" s="771" t="s">
        <v>19</v>
      </c>
      <c r="E61" s="274" t="s">
        <v>229</v>
      </c>
      <c r="F61" s="181"/>
      <c r="G61" s="183"/>
      <c r="H61" s="244"/>
      <c r="I61" s="246"/>
      <c r="J61" s="65" t="s">
        <v>17</v>
      </c>
      <c r="K61" s="373">
        <f>582+14</f>
        <v>596</v>
      </c>
      <c r="L61" s="373">
        <v>600</v>
      </c>
      <c r="M61" s="889">
        <v>700</v>
      </c>
      <c r="N61" s="702">
        <v>700</v>
      </c>
      <c r="O61" s="225" t="s">
        <v>95</v>
      </c>
      <c r="P61" s="645">
        <v>2.9</v>
      </c>
      <c r="Q61" s="645">
        <v>3.2</v>
      </c>
      <c r="R61" s="703">
        <v>3.5</v>
      </c>
      <c r="S61" s="704">
        <v>3.5</v>
      </c>
    </row>
    <row r="62" spans="1:19" s="101" customFormat="1" ht="39" customHeight="1" x14ac:dyDescent="0.25">
      <c r="A62" s="44"/>
      <c r="B62" s="796"/>
      <c r="C62" s="4"/>
      <c r="D62" s="821" t="s">
        <v>21</v>
      </c>
      <c r="E62" s="8" t="s">
        <v>231</v>
      </c>
      <c r="F62" s="176"/>
      <c r="G62" s="179">
        <v>1102020101</v>
      </c>
      <c r="H62" s="244"/>
      <c r="I62" s="246"/>
      <c r="J62" s="115" t="s">
        <v>17</v>
      </c>
      <c r="K62" s="887">
        <f>88-7.3</f>
        <v>80.7</v>
      </c>
      <c r="L62" s="887">
        <v>80.7</v>
      </c>
      <c r="M62" s="484">
        <v>85</v>
      </c>
      <c r="N62" s="629">
        <v>85</v>
      </c>
      <c r="O62" s="8" t="s">
        <v>67</v>
      </c>
      <c r="P62" s="475">
        <v>33</v>
      </c>
      <c r="Q62" s="475">
        <v>35</v>
      </c>
      <c r="R62" s="581">
        <v>35</v>
      </c>
      <c r="S62" s="600">
        <v>35</v>
      </c>
    </row>
    <row r="63" spans="1:19" s="101" customFormat="1" ht="36" customHeight="1" x14ac:dyDescent="0.25">
      <c r="A63" s="44"/>
      <c r="B63" s="796"/>
      <c r="C63" s="4"/>
      <c r="D63" s="771" t="s">
        <v>32</v>
      </c>
      <c r="E63" s="274" t="s">
        <v>232</v>
      </c>
      <c r="F63" s="176"/>
      <c r="G63" s="180"/>
      <c r="H63" s="244"/>
      <c r="I63" s="246"/>
      <c r="J63" s="65" t="s">
        <v>17</v>
      </c>
      <c r="K63" s="837">
        <f>46-1.7</f>
        <v>44.3</v>
      </c>
      <c r="L63" s="837">
        <v>45</v>
      </c>
      <c r="M63" s="484">
        <v>45</v>
      </c>
      <c r="N63" s="629">
        <v>45</v>
      </c>
      <c r="O63" s="272" t="s">
        <v>67</v>
      </c>
      <c r="P63" s="628">
        <v>24</v>
      </c>
      <c r="Q63" s="628">
        <v>30</v>
      </c>
      <c r="R63" s="785">
        <v>30</v>
      </c>
      <c r="S63" s="566">
        <v>30</v>
      </c>
    </row>
    <row r="64" spans="1:19" s="101" customFormat="1" ht="30" customHeight="1" x14ac:dyDescent="0.25">
      <c r="A64" s="44"/>
      <c r="B64" s="796"/>
      <c r="C64" s="4"/>
      <c r="D64" s="821" t="s">
        <v>51</v>
      </c>
      <c r="E64" s="274" t="s">
        <v>233</v>
      </c>
      <c r="F64" s="181"/>
      <c r="G64" s="178">
        <v>11020204</v>
      </c>
      <c r="H64" s="244"/>
      <c r="I64" s="246"/>
      <c r="J64" s="65" t="s">
        <v>17</v>
      </c>
      <c r="K64" s="837">
        <f>76-14-11.3</f>
        <v>50.7</v>
      </c>
      <c r="L64" s="837">
        <v>50.7</v>
      </c>
      <c r="M64" s="484">
        <v>76</v>
      </c>
      <c r="N64" s="550">
        <v>76</v>
      </c>
      <c r="O64" s="792" t="s">
        <v>105</v>
      </c>
      <c r="P64" s="287">
        <v>7</v>
      </c>
      <c r="Q64" s="287">
        <v>12</v>
      </c>
      <c r="R64" s="610">
        <v>12</v>
      </c>
      <c r="S64" s="599">
        <v>12</v>
      </c>
    </row>
    <row r="65" spans="1:19" s="101" customFormat="1" ht="30" customHeight="1" x14ac:dyDescent="0.25">
      <c r="A65" s="44"/>
      <c r="B65" s="796"/>
      <c r="C65" s="4"/>
      <c r="D65" s="787" t="s">
        <v>80</v>
      </c>
      <c r="E65" s="274" t="s">
        <v>230</v>
      </c>
      <c r="F65" s="181"/>
      <c r="G65" s="178"/>
      <c r="H65" s="244"/>
      <c r="I65" s="246"/>
      <c r="J65" s="65" t="s">
        <v>17</v>
      </c>
      <c r="K65" s="78"/>
      <c r="L65" s="78"/>
      <c r="M65" s="479">
        <f>524.5+5.5</f>
        <v>530</v>
      </c>
      <c r="N65" s="530">
        <v>530</v>
      </c>
      <c r="O65" s="8" t="s">
        <v>205</v>
      </c>
      <c r="P65" s="634"/>
      <c r="Q65" s="775"/>
      <c r="R65" s="582">
        <v>780</v>
      </c>
      <c r="S65" s="587">
        <v>800</v>
      </c>
    </row>
    <row r="66" spans="1:19" s="101" customFormat="1" ht="44.4" customHeight="1" x14ac:dyDescent="0.25">
      <c r="A66" s="44"/>
      <c r="B66" s="796"/>
      <c r="C66" s="4"/>
      <c r="D66" s="821"/>
      <c r="E66" s="620"/>
      <c r="F66" s="181"/>
      <c r="G66" s="178"/>
      <c r="H66" s="244"/>
      <c r="I66" s="246"/>
      <c r="J66" s="23"/>
      <c r="K66" s="79"/>
      <c r="L66" s="79"/>
      <c r="M66" s="477"/>
      <c r="N66" s="549"/>
      <c r="O66" s="779" t="s">
        <v>206</v>
      </c>
      <c r="P66" s="635"/>
      <c r="Q66" s="775">
        <v>3</v>
      </c>
      <c r="R66" s="582">
        <v>3</v>
      </c>
      <c r="S66" s="587">
        <v>3</v>
      </c>
    </row>
    <row r="67" spans="1:19" s="101" customFormat="1" ht="27.75" customHeight="1" x14ac:dyDescent="0.25">
      <c r="A67" s="44"/>
      <c r="B67" s="796"/>
      <c r="C67" s="4"/>
      <c r="D67" s="787" t="s">
        <v>81</v>
      </c>
      <c r="E67" s="274" t="s">
        <v>207</v>
      </c>
      <c r="F67" s="181"/>
      <c r="G67" s="182">
        <v>11020202</v>
      </c>
      <c r="H67" s="244"/>
      <c r="I67" s="246"/>
      <c r="J67" s="65" t="s">
        <v>17</v>
      </c>
      <c r="K67" s="78">
        <v>35</v>
      </c>
      <c r="L67" s="78">
        <v>42</v>
      </c>
      <c r="M67" s="484">
        <v>50.4</v>
      </c>
      <c r="N67" s="530">
        <v>60.5</v>
      </c>
      <c r="O67" s="225" t="s">
        <v>117</v>
      </c>
      <c r="P67" s="628">
        <v>320</v>
      </c>
      <c r="Q67" s="648">
        <v>320</v>
      </c>
      <c r="R67" s="570">
        <v>325</v>
      </c>
      <c r="S67" s="567">
        <v>330</v>
      </c>
    </row>
    <row r="68" spans="1:19" s="101" customFormat="1" ht="27.75" customHeight="1" x14ac:dyDescent="0.25">
      <c r="A68" s="44"/>
      <c r="B68" s="796"/>
      <c r="C68" s="4"/>
      <c r="D68" s="821"/>
      <c r="E68" s="275"/>
      <c r="F68" s="181"/>
      <c r="G68" s="183"/>
      <c r="H68" s="244"/>
      <c r="I68" s="246"/>
      <c r="J68" s="115" t="s">
        <v>36</v>
      </c>
      <c r="K68" s="837">
        <v>18.600000000000001</v>
      </c>
      <c r="L68" s="837"/>
      <c r="M68" s="484"/>
      <c r="N68" s="550"/>
      <c r="O68" s="225" t="s">
        <v>118</v>
      </c>
      <c r="P68" s="628">
        <v>14</v>
      </c>
      <c r="Q68" s="628">
        <v>14</v>
      </c>
      <c r="R68" s="582">
        <v>14</v>
      </c>
      <c r="S68" s="566">
        <v>14</v>
      </c>
    </row>
    <row r="69" spans="1:19" s="101" customFormat="1" ht="15.75" customHeight="1" x14ac:dyDescent="0.25">
      <c r="A69" s="44"/>
      <c r="B69" s="796"/>
      <c r="C69" s="4"/>
      <c r="D69" s="821"/>
      <c r="E69" s="895" t="s">
        <v>136</v>
      </c>
      <c r="F69" s="181"/>
      <c r="G69" s="183"/>
      <c r="H69" s="244"/>
      <c r="I69" s="246"/>
      <c r="J69" s="115" t="s">
        <v>17</v>
      </c>
      <c r="K69" s="377">
        <v>3.3</v>
      </c>
      <c r="L69" s="377">
        <v>3.3</v>
      </c>
      <c r="M69" s="540">
        <v>5.4</v>
      </c>
      <c r="N69" s="649">
        <v>3.3</v>
      </c>
      <c r="O69" s="225" t="s">
        <v>91</v>
      </c>
      <c r="P69" s="628">
        <v>116</v>
      </c>
      <c r="Q69" s="1122">
        <v>116</v>
      </c>
      <c r="R69" s="1024">
        <v>120</v>
      </c>
      <c r="S69" s="1070">
        <v>120</v>
      </c>
    </row>
    <row r="70" spans="1:19" s="101" customFormat="1" ht="15" customHeight="1" thickBot="1" x14ac:dyDescent="0.3">
      <c r="A70" s="46"/>
      <c r="B70" s="818"/>
      <c r="C70" s="5"/>
      <c r="D70" s="772"/>
      <c r="E70" s="917"/>
      <c r="F70" s="184"/>
      <c r="G70" s="232"/>
      <c r="H70" s="259"/>
      <c r="I70" s="249"/>
      <c r="J70" s="817" t="s">
        <v>18</v>
      </c>
      <c r="K70" s="438">
        <f>SUM(K60:K69)</f>
        <v>1297</v>
      </c>
      <c r="L70" s="438">
        <f>SUM(L60:L69)</f>
        <v>1290.1000000000001</v>
      </c>
      <c r="M70" s="495">
        <f>SUM(M60:M69)</f>
        <v>1970.2000000000003</v>
      </c>
      <c r="N70" s="490">
        <f>SUM(N60:N69)</f>
        <v>1993.2</v>
      </c>
      <c r="O70" s="129"/>
      <c r="P70" s="642"/>
      <c r="Q70" s="1123"/>
      <c r="R70" s="1025"/>
      <c r="S70" s="1071"/>
    </row>
    <row r="71" spans="1:19" s="101" customFormat="1" ht="28.5" customHeight="1" x14ac:dyDescent="0.25">
      <c r="A71" s="933" t="s">
        <v>13</v>
      </c>
      <c r="B71" s="904" t="s">
        <v>19</v>
      </c>
      <c r="C71" s="1006" t="s">
        <v>21</v>
      </c>
      <c r="D71" s="835"/>
      <c r="E71" s="908" t="s">
        <v>73</v>
      </c>
      <c r="F71" s="1009"/>
      <c r="G71" s="1012">
        <v>11020310</v>
      </c>
      <c r="H71" s="838" t="s">
        <v>16</v>
      </c>
      <c r="I71" s="788" t="s">
        <v>169</v>
      </c>
      <c r="J71" s="6" t="s">
        <v>17</v>
      </c>
      <c r="K71" s="76">
        <v>79</v>
      </c>
      <c r="L71" s="76">
        <v>106</v>
      </c>
      <c r="M71" s="553">
        <v>110</v>
      </c>
      <c r="N71" s="705">
        <v>110</v>
      </c>
      <c r="O71" s="82" t="s">
        <v>71</v>
      </c>
      <c r="P71" s="6">
        <v>7125.25</v>
      </c>
      <c r="Q71" s="706">
        <v>10160</v>
      </c>
      <c r="R71" s="707">
        <v>10160</v>
      </c>
      <c r="S71" s="708">
        <v>10160</v>
      </c>
    </row>
    <row r="72" spans="1:19" s="101" customFormat="1" ht="15" customHeight="1" x14ac:dyDescent="0.25">
      <c r="A72" s="934"/>
      <c r="B72" s="942"/>
      <c r="C72" s="1007"/>
      <c r="D72" s="821"/>
      <c r="E72" s="944"/>
      <c r="F72" s="1010"/>
      <c r="G72" s="1013"/>
      <c r="H72" s="238">
        <v>3</v>
      </c>
      <c r="I72" s="977" t="s">
        <v>139</v>
      </c>
      <c r="J72" s="115" t="s">
        <v>17</v>
      </c>
      <c r="K72" s="546">
        <v>10.4</v>
      </c>
      <c r="L72" s="546">
        <v>10.4</v>
      </c>
      <c r="M72" s="709">
        <v>10.4</v>
      </c>
      <c r="N72" s="710">
        <v>10.4</v>
      </c>
      <c r="O72" s="1056" t="s">
        <v>132</v>
      </c>
      <c r="P72" s="646">
        <v>152</v>
      </c>
      <c r="Q72" s="711">
        <v>152</v>
      </c>
      <c r="R72" s="712">
        <v>152</v>
      </c>
      <c r="S72" s="713">
        <v>152</v>
      </c>
    </row>
    <row r="73" spans="1:19" s="101" customFormat="1" ht="15" customHeight="1" thickBot="1" x14ac:dyDescent="0.3">
      <c r="A73" s="935"/>
      <c r="B73" s="905"/>
      <c r="C73" s="1008"/>
      <c r="D73" s="772"/>
      <c r="E73" s="909"/>
      <c r="F73" s="1011"/>
      <c r="G73" s="1026"/>
      <c r="H73" s="237"/>
      <c r="I73" s="919"/>
      <c r="J73" s="817" t="s">
        <v>18</v>
      </c>
      <c r="K73" s="438">
        <f>SUM(K71:K72)</f>
        <v>89.4</v>
      </c>
      <c r="L73" s="438">
        <f t="shared" ref="L73:N73" si="4">SUM(L71:L72)</f>
        <v>116.4</v>
      </c>
      <c r="M73" s="495">
        <f t="shared" si="4"/>
        <v>120.4</v>
      </c>
      <c r="N73" s="490">
        <f t="shared" si="4"/>
        <v>120.4</v>
      </c>
      <c r="O73" s="1057"/>
      <c r="P73" s="647"/>
      <c r="Q73" s="647"/>
      <c r="R73" s="593"/>
      <c r="S73" s="588"/>
    </row>
    <row r="74" spans="1:19" s="101" customFormat="1" ht="17.25" customHeight="1" x14ac:dyDescent="0.25">
      <c r="A74" s="48" t="s">
        <v>13</v>
      </c>
      <c r="B74" s="796" t="s">
        <v>19</v>
      </c>
      <c r="C74" s="810" t="s">
        <v>32</v>
      </c>
      <c r="D74" s="821"/>
      <c r="E74" s="915" t="s">
        <v>89</v>
      </c>
      <c r="F74" s="138"/>
      <c r="G74" s="1132">
        <v>11020406</v>
      </c>
      <c r="H74" s="241">
        <v>2</v>
      </c>
      <c r="I74" s="939" t="s">
        <v>169</v>
      </c>
      <c r="J74" s="103" t="s">
        <v>17</v>
      </c>
      <c r="K74" s="547">
        <v>74.5</v>
      </c>
      <c r="L74" s="547">
        <v>99.2</v>
      </c>
      <c r="M74" s="555">
        <v>120</v>
      </c>
      <c r="N74" s="745">
        <v>120</v>
      </c>
      <c r="O74" s="1134" t="s">
        <v>90</v>
      </c>
      <c r="P74" s="648">
        <v>1985</v>
      </c>
      <c r="Q74" s="648">
        <v>1913</v>
      </c>
      <c r="R74" s="570">
        <v>2060</v>
      </c>
      <c r="S74" s="567">
        <v>2060</v>
      </c>
    </row>
    <row r="75" spans="1:19" s="101" customFormat="1" ht="15" customHeight="1" thickBot="1" x14ac:dyDescent="0.3">
      <c r="A75" s="48"/>
      <c r="B75" s="796"/>
      <c r="C75" s="810"/>
      <c r="D75" s="821"/>
      <c r="E75" s="916"/>
      <c r="F75" s="139"/>
      <c r="G75" s="1133"/>
      <c r="H75" s="259"/>
      <c r="I75" s="918"/>
      <c r="J75" s="817" t="s">
        <v>18</v>
      </c>
      <c r="K75" s="375">
        <f>+K74</f>
        <v>74.5</v>
      </c>
      <c r="L75" s="375">
        <f t="shared" ref="L75:N75" si="5">+L74</f>
        <v>99.2</v>
      </c>
      <c r="M75" s="556">
        <f t="shared" si="5"/>
        <v>120</v>
      </c>
      <c r="N75" s="552">
        <f t="shared" si="5"/>
        <v>120</v>
      </c>
      <c r="O75" s="1057"/>
      <c r="P75" s="648"/>
      <c r="Q75" s="642"/>
      <c r="R75" s="786"/>
      <c r="S75" s="564"/>
    </row>
    <row r="76" spans="1:19" s="101" customFormat="1" ht="21.6" customHeight="1" x14ac:dyDescent="0.25">
      <c r="A76" s="43" t="s">
        <v>13</v>
      </c>
      <c r="B76" s="117" t="s">
        <v>19</v>
      </c>
      <c r="C76" s="651" t="s">
        <v>51</v>
      </c>
      <c r="D76" s="652"/>
      <c r="E76" s="915" t="s">
        <v>122</v>
      </c>
      <c r="F76" s="653" t="s">
        <v>131</v>
      </c>
      <c r="G76" s="185"/>
      <c r="H76" s="241">
        <v>1</v>
      </c>
      <c r="I76" s="939" t="s">
        <v>170</v>
      </c>
      <c r="J76" s="146" t="s">
        <v>17</v>
      </c>
      <c r="K76" s="76">
        <v>10</v>
      </c>
      <c r="L76" s="441">
        <v>27</v>
      </c>
      <c r="M76" s="494">
        <v>37</v>
      </c>
      <c r="N76" s="877">
        <v>37</v>
      </c>
      <c r="O76" s="915" t="s">
        <v>208</v>
      </c>
      <c r="P76" s="616"/>
      <c r="Q76" s="573">
        <v>50</v>
      </c>
      <c r="R76" s="605">
        <v>25</v>
      </c>
      <c r="S76" s="621">
        <v>25</v>
      </c>
    </row>
    <row r="77" spans="1:19" s="101" customFormat="1" ht="21.6" customHeight="1" x14ac:dyDescent="0.25">
      <c r="A77" s="44"/>
      <c r="B77" s="118"/>
      <c r="C77" s="654"/>
      <c r="D77" s="655"/>
      <c r="E77" s="916"/>
      <c r="F77" s="656"/>
      <c r="G77" s="243"/>
      <c r="H77" s="244"/>
      <c r="I77" s="958"/>
      <c r="J77" s="301" t="s">
        <v>59</v>
      </c>
      <c r="K77" s="837"/>
      <c r="L77" s="837">
        <v>10</v>
      </c>
      <c r="M77" s="484"/>
      <c r="N77" s="550"/>
      <c r="O77" s="896"/>
      <c r="P77" s="802"/>
      <c r="Q77" s="583"/>
      <c r="R77" s="606"/>
      <c r="S77" s="595"/>
    </row>
    <row r="78" spans="1:19" s="101" customFormat="1" ht="15" customHeight="1" x14ac:dyDescent="0.25">
      <c r="A78" s="44"/>
      <c r="B78" s="118"/>
      <c r="C78" s="654"/>
      <c r="D78" s="655"/>
      <c r="E78" s="916"/>
      <c r="F78" s="656"/>
      <c r="G78" s="243"/>
      <c r="H78" s="242">
        <v>2</v>
      </c>
      <c r="I78" s="790" t="s">
        <v>169</v>
      </c>
      <c r="J78" s="98"/>
      <c r="K78" s="79"/>
      <c r="L78" s="650"/>
      <c r="M78" s="477"/>
      <c r="N78" s="549"/>
      <c r="O78" s="36" t="s">
        <v>133</v>
      </c>
      <c r="P78" s="801">
        <v>1</v>
      </c>
      <c r="Q78" s="720"/>
      <c r="R78" s="610"/>
      <c r="S78" s="599"/>
    </row>
    <row r="79" spans="1:19" s="101" customFormat="1" ht="15" customHeight="1" thickBot="1" x14ac:dyDescent="0.3">
      <c r="A79" s="44"/>
      <c r="B79" s="118"/>
      <c r="C79" s="654"/>
      <c r="D79" s="655"/>
      <c r="E79" s="917"/>
      <c r="F79" s="656"/>
      <c r="G79" s="243"/>
      <c r="H79" s="244"/>
      <c r="I79" s="37"/>
      <c r="J79" s="816" t="s">
        <v>18</v>
      </c>
      <c r="K79" s="536">
        <f>SUM(K76:K78)</f>
        <v>10</v>
      </c>
      <c r="L79" s="536">
        <f>SUM(L76:L78)</f>
        <v>37</v>
      </c>
      <c r="M79" s="714">
        <f t="shared" ref="M79:N79" si="6">SUM(M76:M78)</f>
        <v>37</v>
      </c>
      <c r="N79" s="266">
        <f t="shared" si="6"/>
        <v>37</v>
      </c>
      <c r="O79" s="29"/>
      <c r="P79" s="760"/>
      <c r="Q79" s="583"/>
      <c r="R79" s="623"/>
      <c r="S79" s="595"/>
    </row>
    <row r="80" spans="1:19" s="101" customFormat="1" ht="31.95" customHeight="1" x14ac:dyDescent="0.25">
      <c r="A80" s="902" t="s">
        <v>13</v>
      </c>
      <c r="B80" s="904" t="s">
        <v>19</v>
      </c>
      <c r="C80" s="906" t="s">
        <v>80</v>
      </c>
      <c r="D80" s="835"/>
      <c r="E80" s="920" t="s">
        <v>234</v>
      </c>
      <c r="F80" s="836"/>
      <c r="G80" s="185"/>
      <c r="H80" s="241"/>
      <c r="I80" s="788" t="s">
        <v>140</v>
      </c>
      <c r="J80" s="845" t="s">
        <v>17</v>
      </c>
      <c r="K80" s="846"/>
      <c r="L80" s="441">
        <v>2.7</v>
      </c>
      <c r="M80" s="847"/>
      <c r="N80" s="848"/>
      <c r="O80" s="908" t="s">
        <v>235</v>
      </c>
      <c r="P80" s="788"/>
      <c r="Q80" s="849">
        <v>100</v>
      </c>
      <c r="R80" s="780"/>
      <c r="S80" s="565"/>
    </row>
    <row r="81" spans="1:19" s="101" customFormat="1" ht="16.2" customHeight="1" thickBot="1" x14ac:dyDescent="0.3">
      <c r="A81" s="903"/>
      <c r="B81" s="905"/>
      <c r="C81" s="907"/>
      <c r="D81" s="772"/>
      <c r="E81" s="921"/>
      <c r="F81" s="769"/>
      <c r="G81" s="770"/>
      <c r="H81" s="259"/>
      <c r="I81" s="34"/>
      <c r="J81" s="817" t="s">
        <v>18</v>
      </c>
      <c r="K81" s="369"/>
      <c r="L81" s="369">
        <f>+L80</f>
        <v>2.7</v>
      </c>
      <c r="M81" s="850">
        <f>+M80</f>
        <v>0</v>
      </c>
      <c r="N81" s="851">
        <f>+N80</f>
        <v>0</v>
      </c>
      <c r="O81" s="909"/>
      <c r="P81" s="783"/>
      <c r="Q81" s="852"/>
      <c r="R81" s="786"/>
      <c r="S81" s="564"/>
    </row>
    <row r="82" spans="1:19" s="101" customFormat="1" ht="17.399999999999999" customHeight="1" x14ac:dyDescent="0.25">
      <c r="A82" s="902" t="s">
        <v>13</v>
      </c>
      <c r="B82" s="904" t="s">
        <v>19</v>
      </c>
      <c r="C82" s="906" t="s">
        <v>81</v>
      </c>
      <c r="D82" s="835"/>
      <c r="E82" s="920" t="s">
        <v>239</v>
      </c>
      <c r="F82" s="836"/>
      <c r="G82" s="853"/>
      <c r="H82" s="241"/>
      <c r="I82" s="616" t="s">
        <v>140</v>
      </c>
      <c r="J82" s="845" t="s">
        <v>17</v>
      </c>
      <c r="K82" s="846"/>
      <c r="L82" s="441">
        <v>510</v>
      </c>
      <c r="M82" s="847"/>
      <c r="N82" s="848"/>
      <c r="O82" s="908" t="s">
        <v>240</v>
      </c>
      <c r="P82" s="788"/>
      <c r="Q82" s="849">
        <v>100</v>
      </c>
      <c r="R82" s="780"/>
      <c r="S82" s="565"/>
    </row>
    <row r="83" spans="1:19" s="101" customFormat="1" ht="15.75" customHeight="1" thickBot="1" x14ac:dyDescent="0.3">
      <c r="A83" s="903"/>
      <c r="B83" s="905"/>
      <c r="C83" s="907"/>
      <c r="D83" s="772"/>
      <c r="E83" s="921"/>
      <c r="F83" s="769"/>
      <c r="G83" s="854"/>
      <c r="H83" s="259"/>
      <c r="I83" s="34"/>
      <c r="J83" s="855" t="s">
        <v>18</v>
      </c>
      <c r="K83" s="369"/>
      <c r="L83" s="369">
        <f>+L82</f>
        <v>510</v>
      </c>
      <c r="M83" s="850">
        <v>0</v>
      </c>
      <c r="N83" s="851">
        <v>0</v>
      </c>
      <c r="O83" s="909"/>
      <c r="P83" s="783"/>
      <c r="Q83" s="852"/>
      <c r="R83" s="786"/>
      <c r="S83" s="564"/>
    </row>
    <row r="84" spans="1:19" s="101" customFormat="1" ht="15" customHeight="1" thickBot="1" x14ac:dyDescent="0.3">
      <c r="A84" s="310" t="s">
        <v>13</v>
      </c>
      <c r="B84" s="311" t="s">
        <v>19</v>
      </c>
      <c r="C84" s="924" t="s">
        <v>22</v>
      </c>
      <c r="D84" s="924"/>
      <c r="E84" s="924"/>
      <c r="F84" s="925"/>
      <c r="G84" s="925"/>
      <c r="H84" s="925"/>
      <c r="I84" s="925"/>
      <c r="J84" s="925"/>
      <c r="K84" s="778">
        <f>+K79+K75+K73+K70+K57</f>
        <v>7168.5999999999985</v>
      </c>
      <c r="L84" s="778">
        <f>+L79+L75+L73+L70+L57+L81+L83</f>
        <v>7225.5999999999995</v>
      </c>
      <c r="M84" s="778">
        <f t="shared" ref="M84:N84" si="7">+M79+M75+M73+M70+M57</f>
        <v>7649.5000000000009</v>
      </c>
      <c r="N84" s="778">
        <f t="shared" si="7"/>
        <v>7682.7000000000007</v>
      </c>
      <c r="O84" s="1119"/>
      <c r="P84" s="1120"/>
      <c r="Q84" s="1120"/>
      <c r="R84" s="1120"/>
      <c r="S84" s="1121"/>
    </row>
    <row r="85" spans="1:19" s="101" customFormat="1" ht="15" customHeight="1" thickBot="1" x14ac:dyDescent="0.3">
      <c r="A85" s="50" t="s">
        <v>13</v>
      </c>
      <c r="B85" s="455" t="s">
        <v>21</v>
      </c>
      <c r="C85" s="1118" t="s">
        <v>151</v>
      </c>
      <c r="D85" s="1004"/>
      <c r="E85" s="1004"/>
      <c r="F85" s="1004"/>
      <c r="G85" s="1004"/>
      <c r="H85" s="1004"/>
      <c r="I85" s="1004"/>
      <c r="J85" s="1004"/>
      <c r="K85" s="1004"/>
      <c r="L85" s="1004"/>
      <c r="M85" s="1004"/>
      <c r="N85" s="1004"/>
      <c r="O85" s="1004"/>
      <c r="P85" s="1004"/>
      <c r="Q85" s="1004"/>
      <c r="R85" s="1004"/>
      <c r="S85" s="1005"/>
    </row>
    <row r="86" spans="1:19" s="101" customFormat="1" ht="19.5" customHeight="1" x14ac:dyDescent="0.25">
      <c r="A86" s="43" t="s">
        <v>13</v>
      </c>
      <c r="B86" s="904" t="s">
        <v>21</v>
      </c>
      <c r="C86" s="913" t="s">
        <v>13</v>
      </c>
      <c r="D86" s="827"/>
      <c r="E86" s="916" t="s">
        <v>92</v>
      </c>
      <c r="F86" s="229"/>
      <c r="G86" s="169"/>
      <c r="H86" s="147">
        <v>2</v>
      </c>
      <c r="I86" s="918" t="s">
        <v>169</v>
      </c>
      <c r="J86" s="155" t="s">
        <v>59</v>
      </c>
      <c r="K86" s="97">
        <v>7.9</v>
      </c>
      <c r="L86" s="376"/>
      <c r="M86" s="537"/>
      <c r="N86" s="542"/>
      <c r="O86" s="104" t="s">
        <v>110</v>
      </c>
      <c r="P86" s="616">
        <v>1</v>
      </c>
      <c r="Q86" s="573"/>
      <c r="R86" s="605"/>
      <c r="S86" s="621"/>
    </row>
    <row r="87" spans="1:19" s="101" customFormat="1" ht="9" customHeight="1" x14ac:dyDescent="0.25">
      <c r="A87" s="44"/>
      <c r="B87" s="942"/>
      <c r="C87" s="913"/>
      <c r="D87" s="827"/>
      <c r="E87" s="916"/>
      <c r="F87" s="229"/>
      <c r="G87" s="169"/>
      <c r="H87" s="147"/>
      <c r="I87" s="918"/>
      <c r="J87" s="160"/>
      <c r="K87" s="453"/>
      <c r="L87" s="524"/>
      <c r="M87" s="538"/>
      <c r="N87" s="528"/>
      <c r="O87" s="29"/>
      <c r="P87" s="802"/>
      <c r="Q87" s="583"/>
      <c r="R87" s="606"/>
      <c r="S87" s="595"/>
    </row>
    <row r="88" spans="1:19" s="101" customFormat="1" ht="16.5" customHeight="1" thickBot="1" x14ac:dyDescent="0.3">
      <c r="A88" s="44"/>
      <c r="B88" s="942"/>
      <c r="C88" s="913"/>
      <c r="D88" s="827"/>
      <c r="E88" s="916"/>
      <c r="F88" s="105"/>
      <c r="G88" s="106"/>
      <c r="H88" s="107"/>
      <c r="I88" s="919"/>
      <c r="J88" s="123" t="s">
        <v>18</v>
      </c>
      <c r="K88" s="77">
        <f>SUM(K86:K87)</f>
        <v>7.9</v>
      </c>
      <c r="L88" s="77">
        <f t="shared" ref="L88:N88" si="8">SUM(L86:L87)</f>
        <v>0</v>
      </c>
      <c r="M88" s="539">
        <f t="shared" si="8"/>
        <v>0</v>
      </c>
      <c r="N88" s="531">
        <f t="shared" si="8"/>
        <v>0</v>
      </c>
      <c r="O88" s="108"/>
      <c r="P88" s="589"/>
      <c r="Q88" s="594"/>
      <c r="R88" s="593"/>
      <c r="S88" s="588"/>
    </row>
    <row r="89" spans="1:19" s="101" customFormat="1" ht="31.95" customHeight="1" x14ac:dyDescent="0.25">
      <c r="A89" s="43" t="s">
        <v>13</v>
      </c>
      <c r="B89" s="910" t="s">
        <v>21</v>
      </c>
      <c r="C89" s="912" t="s">
        <v>13</v>
      </c>
      <c r="D89" s="93"/>
      <c r="E89" s="915" t="s">
        <v>236</v>
      </c>
      <c r="F89" s="229"/>
      <c r="G89" s="169"/>
      <c r="H89" s="147">
        <v>2</v>
      </c>
      <c r="I89" s="918" t="s">
        <v>169</v>
      </c>
      <c r="J89" s="155" t="s">
        <v>17</v>
      </c>
      <c r="K89" s="97"/>
      <c r="L89" s="376"/>
      <c r="M89" s="537">
        <f>11.5+13</f>
        <v>24.5</v>
      </c>
      <c r="N89" s="542"/>
      <c r="O89" s="856" t="s">
        <v>237</v>
      </c>
      <c r="P89" s="857"/>
      <c r="Q89" s="858"/>
      <c r="R89" s="859">
        <v>2</v>
      </c>
      <c r="S89" s="777"/>
    </row>
    <row r="90" spans="1:19" s="101" customFormat="1" ht="16.2" customHeight="1" x14ac:dyDescent="0.25">
      <c r="A90" s="44"/>
      <c r="B90" s="911"/>
      <c r="C90" s="913"/>
      <c r="D90" s="827"/>
      <c r="E90" s="916"/>
      <c r="F90" s="229"/>
      <c r="G90" s="169"/>
      <c r="H90" s="147"/>
      <c r="I90" s="918"/>
      <c r="J90" s="160"/>
      <c r="K90" s="453"/>
      <c r="L90" s="524"/>
      <c r="M90" s="538"/>
      <c r="N90" s="528"/>
      <c r="O90" s="895" t="s">
        <v>238</v>
      </c>
      <c r="P90" s="802"/>
      <c r="Q90" s="583"/>
      <c r="R90" s="606">
        <v>2</v>
      </c>
      <c r="S90" s="595"/>
    </row>
    <row r="91" spans="1:19" s="101" customFormat="1" ht="16.5" customHeight="1" thickBot="1" x14ac:dyDescent="0.3">
      <c r="A91" s="44"/>
      <c r="B91" s="911"/>
      <c r="C91" s="914"/>
      <c r="D91" s="776"/>
      <c r="E91" s="917"/>
      <c r="F91" s="105"/>
      <c r="G91" s="106"/>
      <c r="H91" s="107"/>
      <c r="I91" s="919"/>
      <c r="J91" s="123" t="s">
        <v>18</v>
      </c>
      <c r="K91" s="77"/>
      <c r="L91" s="77"/>
      <c r="M91" s="539">
        <f t="shared" ref="M91" si="9">SUM(M89:M90)</f>
        <v>24.5</v>
      </c>
      <c r="N91" s="531"/>
      <c r="O91" s="917"/>
      <c r="P91" s="589"/>
      <c r="Q91" s="594"/>
      <c r="R91" s="593"/>
      <c r="S91" s="588"/>
    </row>
    <row r="92" spans="1:19" s="101" customFormat="1" ht="15.75" customHeight="1" x14ac:dyDescent="0.25">
      <c r="A92" s="51" t="s">
        <v>13</v>
      </c>
      <c r="B92" s="32" t="s">
        <v>21</v>
      </c>
      <c r="C92" s="9" t="s">
        <v>19</v>
      </c>
      <c r="D92" s="93"/>
      <c r="E92" s="945" t="s">
        <v>158</v>
      </c>
      <c r="F92" s="236"/>
      <c r="G92" s="73"/>
      <c r="H92" s="21"/>
      <c r="I92" s="473"/>
      <c r="J92" s="299"/>
      <c r="K92" s="374"/>
      <c r="L92" s="374"/>
      <c r="M92" s="537"/>
      <c r="N92" s="527"/>
      <c r="O92" s="80"/>
      <c r="P92" s="617"/>
      <c r="Q92" s="80"/>
      <c r="R92" s="607"/>
      <c r="S92" s="596"/>
    </row>
    <row r="93" spans="1:19" s="101" customFormat="1" ht="15.75" customHeight="1" x14ac:dyDescent="0.25">
      <c r="A93" s="52"/>
      <c r="B93" s="144"/>
      <c r="C93" s="239"/>
      <c r="D93" s="827"/>
      <c r="E93" s="959"/>
      <c r="F93" s="25"/>
      <c r="G93" s="74"/>
      <c r="H93" s="40"/>
      <c r="I93" s="474"/>
      <c r="J93" s="300"/>
      <c r="K93" s="524"/>
      <c r="L93" s="524"/>
      <c r="M93" s="538"/>
      <c r="N93" s="528"/>
      <c r="O93" s="81"/>
      <c r="P93" s="444"/>
      <c r="Q93" s="297"/>
      <c r="R93" s="608"/>
      <c r="S93" s="597"/>
    </row>
    <row r="94" spans="1:19" s="101" customFormat="1" ht="29.25" customHeight="1" x14ac:dyDescent="0.25">
      <c r="A94" s="48"/>
      <c r="B94" s="796"/>
      <c r="C94" s="239"/>
      <c r="D94" s="832" t="s">
        <v>13</v>
      </c>
      <c r="E94" s="830" t="s">
        <v>63</v>
      </c>
      <c r="F94" s="829" t="s">
        <v>33</v>
      </c>
      <c r="G94" s="960">
        <v>1101012101</v>
      </c>
      <c r="H94" s="289">
        <v>5</v>
      </c>
      <c r="I94" s="287" t="s">
        <v>175</v>
      </c>
      <c r="J94" s="301"/>
      <c r="K94" s="377"/>
      <c r="L94" s="377"/>
      <c r="M94" s="540"/>
      <c r="N94" s="529"/>
      <c r="O94" s="95"/>
      <c r="P94" s="618"/>
      <c r="Q94" s="674"/>
      <c r="R94" s="609"/>
      <c r="S94" s="598"/>
    </row>
    <row r="95" spans="1:19" s="101" customFormat="1" ht="13.5" customHeight="1" x14ac:dyDescent="0.25">
      <c r="A95" s="48"/>
      <c r="B95" s="796"/>
      <c r="C95" s="239"/>
      <c r="D95" s="827"/>
      <c r="E95" s="315" t="s">
        <v>62</v>
      </c>
      <c r="F95" s="316" t="s">
        <v>131</v>
      </c>
      <c r="G95" s="961"/>
      <c r="H95" s="205"/>
      <c r="I95" s="29"/>
      <c r="J95" s="286" t="s">
        <v>59</v>
      </c>
      <c r="K95" s="377">
        <v>230.1</v>
      </c>
      <c r="L95" s="377">
        <f>105.8+666.4-764.6</f>
        <v>7.5999999999999091</v>
      </c>
      <c r="M95" s="540"/>
      <c r="N95" s="529"/>
      <c r="O95" s="878" t="s">
        <v>35</v>
      </c>
      <c r="P95" s="879">
        <v>80</v>
      </c>
      <c r="Q95" s="287">
        <v>100</v>
      </c>
      <c r="R95" s="610"/>
      <c r="S95" s="599"/>
    </row>
    <row r="96" spans="1:19" s="101" customFormat="1" ht="13.5" customHeight="1" x14ac:dyDescent="0.25">
      <c r="A96" s="48"/>
      <c r="B96" s="796"/>
      <c r="C96" s="239"/>
      <c r="D96" s="827"/>
      <c r="E96" s="288"/>
      <c r="F96" s="285"/>
      <c r="G96" s="825"/>
      <c r="H96" s="205"/>
      <c r="I96" s="29"/>
      <c r="J96" s="287" t="s">
        <v>34</v>
      </c>
      <c r="K96" s="377">
        <v>48.8</v>
      </c>
      <c r="L96" s="377">
        <v>2.8</v>
      </c>
      <c r="M96" s="540"/>
      <c r="N96" s="529"/>
      <c r="O96" s="881"/>
      <c r="P96" s="880"/>
      <c r="Q96" s="476"/>
      <c r="R96" s="606"/>
      <c r="S96" s="595"/>
    </row>
    <row r="97" spans="1:22" s="101" customFormat="1" ht="13.5" customHeight="1" x14ac:dyDescent="0.25">
      <c r="A97" s="48"/>
      <c r="B97" s="796"/>
      <c r="C97" s="239"/>
      <c r="D97" s="827"/>
      <c r="E97" s="288"/>
      <c r="F97" s="285"/>
      <c r="G97" s="825"/>
      <c r="H97" s="205"/>
      <c r="I97" s="29"/>
      <c r="J97" s="287" t="s">
        <v>146</v>
      </c>
      <c r="K97" s="377">
        <v>31.8</v>
      </c>
      <c r="L97" s="377">
        <f>10.7+6.3</f>
        <v>17</v>
      </c>
      <c r="M97" s="540"/>
      <c r="N97" s="529"/>
      <c r="O97" s="881"/>
      <c r="P97" s="880"/>
      <c r="Q97" s="476"/>
      <c r="R97" s="606"/>
      <c r="S97" s="595"/>
    </row>
    <row r="98" spans="1:22" s="101" customFormat="1" ht="13.5" customHeight="1" x14ac:dyDescent="0.25">
      <c r="A98" s="48"/>
      <c r="B98" s="796"/>
      <c r="C98" s="239"/>
      <c r="D98" s="827"/>
      <c r="E98" s="288"/>
      <c r="F98" s="285"/>
      <c r="G98" s="318"/>
      <c r="H98" s="205"/>
      <c r="I98" s="29"/>
      <c r="J98" s="286" t="s">
        <v>61</v>
      </c>
      <c r="K98" s="377">
        <v>553.6</v>
      </c>
      <c r="L98" s="377">
        <f>120.7-88.1</f>
        <v>32.600000000000009</v>
      </c>
      <c r="M98" s="540"/>
      <c r="N98" s="529"/>
      <c r="O98" s="881"/>
      <c r="P98" s="880"/>
      <c r="Q98" s="476"/>
      <c r="R98" s="606"/>
      <c r="S98" s="595"/>
    </row>
    <row r="99" spans="1:22" s="101" customFormat="1" ht="13.5" customHeight="1" x14ac:dyDescent="0.25">
      <c r="A99" s="48"/>
      <c r="B99" s="796"/>
      <c r="C99" s="239"/>
      <c r="D99" s="827"/>
      <c r="E99" s="288"/>
      <c r="F99" s="319"/>
      <c r="G99" s="320"/>
      <c r="H99" s="205"/>
      <c r="I99" s="275"/>
      <c r="J99" s="301" t="s">
        <v>147</v>
      </c>
      <c r="K99" s="377">
        <v>360.7</v>
      </c>
      <c r="L99" s="377">
        <v>191.8</v>
      </c>
      <c r="M99" s="540"/>
      <c r="N99" s="529"/>
      <c r="O99" s="881"/>
      <c r="P99" s="880"/>
      <c r="Q99" s="476"/>
      <c r="R99" s="606"/>
      <c r="S99" s="595"/>
      <c r="U99" s="114"/>
    </row>
    <row r="100" spans="1:22" s="101" customFormat="1" ht="13.5" customHeight="1" x14ac:dyDescent="0.25">
      <c r="A100" s="48"/>
      <c r="B100" s="796"/>
      <c r="C100" s="239"/>
      <c r="D100" s="827"/>
      <c r="E100" s="288"/>
      <c r="F100" s="319"/>
      <c r="G100" s="320"/>
      <c r="H100" s="205"/>
      <c r="I100" s="29"/>
      <c r="J100" s="98" t="s">
        <v>96</v>
      </c>
      <c r="K100" s="524">
        <v>2689.5</v>
      </c>
      <c r="L100" s="524">
        <v>764.6</v>
      </c>
      <c r="M100" s="538"/>
      <c r="N100" s="528"/>
      <c r="O100" s="881"/>
      <c r="P100" s="880"/>
      <c r="Q100" s="476"/>
      <c r="R100" s="606"/>
      <c r="S100" s="595"/>
    </row>
    <row r="101" spans="1:22" s="101" customFormat="1" ht="13.5" customHeight="1" x14ac:dyDescent="0.25">
      <c r="A101" s="48"/>
      <c r="B101" s="796"/>
      <c r="C101" s="239"/>
      <c r="D101" s="827"/>
      <c r="E101" s="315" t="s">
        <v>130</v>
      </c>
      <c r="F101" s="319"/>
      <c r="G101" s="320"/>
      <c r="H101" s="205"/>
      <c r="I101" s="29"/>
      <c r="J101" s="286" t="s">
        <v>96</v>
      </c>
      <c r="K101" s="377">
        <v>556.29999999999995</v>
      </c>
      <c r="L101" s="377">
        <v>441.7</v>
      </c>
      <c r="M101" s="540"/>
      <c r="N101" s="529"/>
      <c r="O101" s="878" t="s">
        <v>35</v>
      </c>
      <c r="P101" s="879">
        <v>90</v>
      </c>
      <c r="Q101" s="287">
        <v>100</v>
      </c>
      <c r="R101" s="610"/>
      <c r="S101" s="599"/>
    </row>
    <row r="102" spans="1:22" s="101" customFormat="1" ht="13.5" customHeight="1" x14ac:dyDescent="0.25">
      <c r="A102" s="48"/>
      <c r="B102" s="796"/>
      <c r="C102" s="239"/>
      <c r="D102" s="827"/>
      <c r="E102" s="288"/>
      <c r="F102" s="322"/>
      <c r="G102" s="320"/>
      <c r="H102" s="205"/>
      <c r="I102" s="29"/>
      <c r="J102" s="286" t="s">
        <v>59</v>
      </c>
      <c r="K102" s="377">
        <v>576.70000000000005</v>
      </c>
      <c r="L102" s="377">
        <f>839.2-441.7</f>
        <v>397.50000000000006</v>
      </c>
      <c r="M102" s="540"/>
      <c r="N102" s="529"/>
      <c r="O102" s="881"/>
      <c r="P102" s="880"/>
      <c r="Q102" s="476"/>
      <c r="R102" s="606"/>
      <c r="S102" s="595"/>
    </row>
    <row r="103" spans="1:22" s="101" customFormat="1" ht="13.5" customHeight="1" x14ac:dyDescent="0.25">
      <c r="A103" s="48"/>
      <c r="B103" s="796"/>
      <c r="C103" s="239"/>
      <c r="D103" s="827"/>
      <c r="E103" s="288"/>
      <c r="F103" s="323"/>
      <c r="G103" s="320"/>
      <c r="H103" s="205"/>
      <c r="I103" s="29"/>
      <c r="J103" s="286" t="s">
        <v>17</v>
      </c>
      <c r="K103" s="524">
        <f>2888.4-556.3-576.7</f>
        <v>1755.4000000000003</v>
      </c>
      <c r="L103" s="524"/>
      <c r="M103" s="538"/>
      <c r="N103" s="528"/>
      <c r="O103" s="881"/>
      <c r="P103" s="880"/>
      <c r="Q103" s="476"/>
      <c r="R103" s="606"/>
      <c r="S103" s="595"/>
    </row>
    <row r="104" spans="1:22" s="101" customFormat="1" ht="22.95" customHeight="1" x14ac:dyDescent="0.25">
      <c r="A104" s="48"/>
      <c r="B104" s="796"/>
      <c r="C104" s="239"/>
      <c r="D104" s="832" t="s">
        <v>19</v>
      </c>
      <c r="E104" s="895" t="s">
        <v>65</v>
      </c>
      <c r="F104" s="254" t="s">
        <v>33</v>
      </c>
      <c r="G104" s="187"/>
      <c r="H104" s="804"/>
      <c r="I104" s="981" t="s">
        <v>171</v>
      </c>
      <c r="J104" s="268" t="s">
        <v>17</v>
      </c>
      <c r="K104" s="78">
        <v>119.8</v>
      </c>
      <c r="L104" s="78"/>
      <c r="M104" s="479"/>
      <c r="N104" s="530"/>
      <c r="O104" s="878" t="s">
        <v>66</v>
      </c>
      <c r="P104" s="879">
        <v>100</v>
      </c>
      <c r="Q104" s="287">
        <v>100</v>
      </c>
      <c r="R104" s="610"/>
      <c r="S104" s="599"/>
    </row>
    <row r="105" spans="1:22" s="101" customFormat="1" ht="22.95" customHeight="1" x14ac:dyDescent="0.25">
      <c r="A105" s="48"/>
      <c r="B105" s="796"/>
      <c r="C105" s="239"/>
      <c r="D105" s="681"/>
      <c r="E105" s="896"/>
      <c r="F105" s="466"/>
      <c r="G105" s="467"/>
      <c r="H105" s="804"/>
      <c r="I105" s="982"/>
      <c r="J105" s="268" t="s">
        <v>59</v>
      </c>
      <c r="K105" s="78"/>
      <c r="L105" s="78">
        <v>60.2</v>
      </c>
      <c r="M105" s="479"/>
      <c r="N105" s="530"/>
      <c r="O105" s="881"/>
      <c r="P105" s="880"/>
      <c r="Q105" s="476"/>
      <c r="R105" s="606"/>
      <c r="S105" s="595"/>
    </row>
    <row r="106" spans="1:22" s="101" customFormat="1" ht="27" customHeight="1" x14ac:dyDescent="0.25">
      <c r="A106" s="48"/>
      <c r="B106" s="796"/>
      <c r="C106" s="239"/>
      <c r="D106" s="888" t="s">
        <v>21</v>
      </c>
      <c r="E106" s="895" t="s">
        <v>179</v>
      </c>
      <c r="F106" s="254"/>
      <c r="G106" s="187"/>
      <c r="H106" s="803"/>
      <c r="I106" s="480" t="s">
        <v>169</v>
      </c>
      <c r="J106" s="268" t="s">
        <v>17</v>
      </c>
      <c r="K106" s="78">
        <v>13.5</v>
      </c>
      <c r="L106" s="78"/>
      <c r="M106" s="479"/>
      <c r="N106" s="530"/>
      <c r="O106" s="895" t="s">
        <v>180</v>
      </c>
      <c r="P106" s="801">
        <v>1</v>
      </c>
      <c r="Q106" s="287">
        <v>1</v>
      </c>
      <c r="R106" s="610"/>
      <c r="S106" s="599"/>
    </row>
    <row r="107" spans="1:22" s="101" customFormat="1" ht="27" customHeight="1" x14ac:dyDescent="0.25">
      <c r="A107" s="48"/>
      <c r="B107" s="868"/>
      <c r="C107" s="239"/>
      <c r="D107" s="681"/>
      <c r="E107" s="896"/>
      <c r="F107" s="466"/>
      <c r="G107" s="467"/>
      <c r="H107" s="870"/>
      <c r="I107" s="871"/>
      <c r="J107" s="872" t="s">
        <v>59</v>
      </c>
      <c r="K107" s="78"/>
      <c r="L107" s="78">
        <v>10.6</v>
      </c>
      <c r="M107" s="479"/>
      <c r="N107" s="530"/>
      <c r="O107" s="916"/>
      <c r="P107" s="869"/>
      <c r="Q107" s="476"/>
      <c r="R107" s="606"/>
      <c r="S107" s="595"/>
      <c r="V107" s="114"/>
    </row>
    <row r="108" spans="1:22" s="101" customFormat="1" ht="15.6" customHeight="1" x14ac:dyDescent="0.25">
      <c r="A108" s="48"/>
      <c r="B108" s="796"/>
      <c r="C108" s="239"/>
      <c r="D108" s="832" t="s">
        <v>32</v>
      </c>
      <c r="E108" s="830" t="s">
        <v>177</v>
      </c>
      <c r="F108" s="254" t="s">
        <v>33</v>
      </c>
      <c r="G108" s="187"/>
      <c r="H108" s="803"/>
      <c r="I108" s="801" t="s">
        <v>175</v>
      </c>
      <c r="J108" s="115" t="s">
        <v>59</v>
      </c>
      <c r="K108" s="515">
        <v>3</v>
      </c>
      <c r="L108" s="882"/>
      <c r="M108" s="484"/>
      <c r="N108" s="550"/>
      <c r="O108" s="895" t="s">
        <v>178</v>
      </c>
      <c r="P108" s="879">
        <v>1</v>
      </c>
      <c r="Q108" s="287"/>
      <c r="R108" s="610"/>
      <c r="S108" s="599"/>
      <c r="T108" s="114"/>
    </row>
    <row r="109" spans="1:22" s="101" customFormat="1" ht="15.6" customHeight="1" x14ac:dyDescent="0.25">
      <c r="A109" s="48"/>
      <c r="B109" s="796"/>
      <c r="C109" s="239"/>
      <c r="D109" s="827"/>
      <c r="E109" s="824"/>
      <c r="F109" s="466"/>
      <c r="G109" s="467"/>
      <c r="H109" s="804"/>
      <c r="I109" s="476"/>
      <c r="J109" s="65" t="s">
        <v>36</v>
      </c>
      <c r="K109" s="673"/>
      <c r="L109" s="78"/>
      <c r="M109" s="479"/>
      <c r="N109" s="530">
        <f>1000-1000+4000-2000</f>
        <v>2000</v>
      </c>
      <c r="O109" s="896"/>
      <c r="P109" s="760"/>
      <c r="Q109" s="300"/>
      <c r="R109" s="623"/>
      <c r="S109" s="622"/>
      <c r="T109" s="114"/>
    </row>
    <row r="110" spans="1:22" s="101" customFormat="1" ht="15.6" customHeight="1" x14ac:dyDescent="0.25">
      <c r="A110" s="48"/>
      <c r="B110" s="873"/>
      <c r="C110" s="239"/>
      <c r="D110" s="876"/>
      <c r="E110" s="875"/>
      <c r="F110" s="466"/>
      <c r="G110" s="467"/>
      <c r="H110" s="874"/>
      <c r="I110" s="476"/>
      <c r="J110" s="23"/>
      <c r="K110" s="514"/>
      <c r="L110" s="79"/>
      <c r="M110" s="477"/>
      <c r="N110" s="549"/>
      <c r="O110" s="95" t="s">
        <v>241</v>
      </c>
      <c r="P110" s="715"/>
      <c r="Q110" s="475"/>
      <c r="R110" s="581"/>
      <c r="S110" s="600">
        <v>35</v>
      </c>
      <c r="T110" s="186"/>
      <c r="U110" s="116"/>
      <c r="V110" s="116"/>
    </row>
    <row r="111" spans="1:22" s="101" customFormat="1" ht="29.25" customHeight="1" x14ac:dyDescent="0.25">
      <c r="A111" s="48"/>
      <c r="B111" s="796"/>
      <c r="C111" s="239"/>
      <c r="D111" s="468" t="s">
        <v>51</v>
      </c>
      <c r="E111" s="469" t="s">
        <v>196</v>
      </c>
      <c r="F111" s="470" t="s">
        <v>33</v>
      </c>
      <c r="G111" s="215"/>
      <c r="H111" s="471"/>
      <c r="I111" s="475" t="s">
        <v>175</v>
      </c>
      <c r="J111" s="301" t="s">
        <v>36</v>
      </c>
      <c r="K111" s="580"/>
      <c r="L111" s="762"/>
      <c r="M111" s="761"/>
      <c r="N111" s="763">
        <v>1834</v>
      </c>
      <c r="O111" s="95" t="s">
        <v>197</v>
      </c>
      <c r="P111" s="618"/>
      <c r="Q111" s="764"/>
      <c r="R111" s="765"/>
      <c r="S111" s="600">
        <v>50</v>
      </c>
    </row>
    <row r="112" spans="1:22" s="101" customFormat="1" ht="43.2" customHeight="1" x14ac:dyDescent="0.25">
      <c r="A112" s="48"/>
      <c r="B112" s="796"/>
      <c r="C112" s="239"/>
      <c r="D112" s="468" t="s">
        <v>80</v>
      </c>
      <c r="E112" s="469" t="s">
        <v>217</v>
      </c>
      <c r="F112" s="470" t="s">
        <v>33</v>
      </c>
      <c r="G112" s="215"/>
      <c r="H112" s="471"/>
      <c r="I112" s="475" t="s">
        <v>175</v>
      </c>
      <c r="J112" s="301" t="s">
        <v>17</v>
      </c>
      <c r="K112" s="379"/>
      <c r="L112" s="379"/>
      <c r="M112" s="676"/>
      <c r="N112" s="549">
        <v>821</v>
      </c>
      <c r="O112" s="95" t="s">
        <v>218</v>
      </c>
      <c r="P112" s="618"/>
      <c r="Q112" s="301"/>
      <c r="R112" s="716"/>
      <c r="S112" s="600">
        <v>1</v>
      </c>
    </row>
    <row r="113" spans="1:19" s="101" customFormat="1" ht="22.95" customHeight="1" x14ac:dyDescent="0.25">
      <c r="A113" s="48"/>
      <c r="B113" s="796"/>
      <c r="C113" s="270"/>
      <c r="D113" s="814" t="s">
        <v>81</v>
      </c>
      <c r="E113" s="922" t="s">
        <v>220</v>
      </c>
      <c r="F113" s="927" t="s">
        <v>33</v>
      </c>
      <c r="G113" s="88"/>
      <c r="H113" s="109"/>
      <c r="I113" s="790" t="s">
        <v>175</v>
      </c>
      <c r="J113" s="156" t="s">
        <v>17</v>
      </c>
      <c r="K113" s="665"/>
      <c r="L113" s="717"/>
      <c r="M113" s="718"/>
      <c r="N113" s="719">
        <v>50</v>
      </c>
      <c r="O113" s="929" t="s">
        <v>216</v>
      </c>
      <c r="P113" s="720"/>
      <c r="Q113" s="721"/>
      <c r="R113" s="610"/>
      <c r="S113" s="599">
        <v>1</v>
      </c>
    </row>
    <row r="114" spans="1:19" s="101" customFormat="1" ht="22.95" customHeight="1" x14ac:dyDescent="0.25">
      <c r="A114" s="48"/>
      <c r="B114" s="796"/>
      <c r="C114" s="270"/>
      <c r="D114" s="815"/>
      <c r="E114" s="926"/>
      <c r="F114" s="928"/>
      <c r="G114" s="89"/>
      <c r="H114" s="110"/>
      <c r="I114" s="789"/>
      <c r="J114" s="666"/>
      <c r="K114" s="682"/>
      <c r="L114" s="722"/>
      <c r="M114" s="723"/>
      <c r="N114" s="682"/>
      <c r="O114" s="930"/>
      <c r="P114" s="300"/>
      <c r="Q114" s="724"/>
      <c r="R114" s="623"/>
      <c r="S114" s="622"/>
    </row>
    <row r="115" spans="1:19" s="101" customFormat="1" ht="29.25" customHeight="1" x14ac:dyDescent="0.25">
      <c r="A115" s="48"/>
      <c r="B115" s="796"/>
      <c r="C115" s="239"/>
      <c r="D115" s="827"/>
      <c r="E115" s="824" t="s">
        <v>144</v>
      </c>
      <c r="F115" s="677"/>
      <c r="G115" s="467"/>
      <c r="H115" s="804"/>
      <c r="I115" s="715" t="s">
        <v>175</v>
      </c>
      <c r="J115" s="98" t="s">
        <v>59</v>
      </c>
      <c r="K115" s="678">
        <v>17.899999999999999</v>
      </c>
      <c r="L115" s="678"/>
      <c r="M115" s="679"/>
      <c r="N115" s="680"/>
      <c r="O115" s="819" t="s">
        <v>145</v>
      </c>
      <c r="P115" s="802">
        <v>100</v>
      </c>
      <c r="Q115" s="476"/>
      <c r="R115" s="606"/>
      <c r="S115" s="595"/>
    </row>
    <row r="116" spans="1:19" s="101" customFormat="1" ht="16.2" customHeight="1" x14ac:dyDescent="0.25">
      <c r="A116" s="48"/>
      <c r="B116" s="796"/>
      <c r="C116" s="239"/>
      <c r="D116" s="883"/>
      <c r="E116" s="931" t="s">
        <v>125</v>
      </c>
      <c r="F116" s="884" t="s">
        <v>33</v>
      </c>
      <c r="G116" s="215">
        <v>11010116</v>
      </c>
      <c r="H116" s="886">
        <v>5</v>
      </c>
      <c r="I116" s="715" t="s">
        <v>175</v>
      </c>
      <c r="J116" s="301" t="s">
        <v>59</v>
      </c>
      <c r="K116" s="580">
        <v>51.1</v>
      </c>
      <c r="L116" s="580"/>
      <c r="M116" s="892"/>
      <c r="N116" s="893"/>
      <c r="O116" s="885" t="s">
        <v>37</v>
      </c>
      <c r="P116" s="801">
        <v>100</v>
      </c>
      <c r="Q116" s="287"/>
      <c r="R116" s="610"/>
      <c r="S116" s="599"/>
    </row>
    <row r="117" spans="1:19" s="101" customFormat="1" ht="13.5" customHeight="1" thickBot="1" x14ac:dyDescent="0.3">
      <c r="A117" s="53"/>
      <c r="B117" s="31"/>
      <c r="C117" s="17"/>
      <c r="D117" s="17"/>
      <c r="E117" s="932"/>
      <c r="F117" s="218"/>
      <c r="G117" s="219"/>
      <c r="H117" s="220"/>
      <c r="I117" s="1058" t="s">
        <v>38</v>
      </c>
      <c r="J117" s="1059"/>
      <c r="K117" s="371">
        <f>SUM(K95:K116)</f>
        <v>7008.2000000000007</v>
      </c>
      <c r="L117" s="371">
        <f>SUM(L95:L116)</f>
        <v>1926.3999999999999</v>
      </c>
      <c r="M117" s="890">
        <f>SUM(M95:M116)</f>
        <v>0</v>
      </c>
      <c r="N117" s="891">
        <f>SUM(N95:N116)</f>
        <v>4705</v>
      </c>
      <c r="O117" s="793"/>
      <c r="P117" s="619"/>
      <c r="Q117" s="675"/>
      <c r="R117" s="611"/>
      <c r="S117" s="601"/>
    </row>
    <row r="118" spans="1:19" s="101" customFormat="1" ht="41.25" customHeight="1" x14ac:dyDescent="0.25">
      <c r="A118" s="51" t="s">
        <v>13</v>
      </c>
      <c r="B118" s="32" t="s">
        <v>21</v>
      </c>
      <c r="C118" s="9" t="s">
        <v>21</v>
      </c>
      <c r="D118" s="93"/>
      <c r="E118" s="33" t="s">
        <v>176</v>
      </c>
      <c r="F118" s="64"/>
      <c r="G118" s="67"/>
      <c r="H118" s="124"/>
      <c r="I118" s="214"/>
      <c r="J118" s="209"/>
      <c r="K118" s="380"/>
      <c r="L118" s="658"/>
      <c r="M118" s="659"/>
      <c r="N118" s="660"/>
      <c r="O118" s="130" t="s">
        <v>102</v>
      </c>
      <c r="P118" s="643">
        <v>3</v>
      </c>
      <c r="Q118" s="643"/>
      <c r="R118" s="780"/>
      <c r="S118" s="565"/>
    </row>
    <row r="119" spans="1:19" s="101" customFormat="1" ht="41.25" customHeight="1" x14ac:dyDescent="0.25">
      <c r="A119" s="52"/>
      <c r="B119" s="144"/>
      <c r="C119" s="239"/>
      <c r="D119" s="832" t="s">
        <v>13</v>
      </c>
      <c r="E119" s="819" t="s">
        <v>56</v>
      </c>
      <c r="F119" s="35"/>
      <c r="G119" s="657"/>
      <c r="H119" s="147"/>
      <c r="I119" s="790" t="s">
        <v>169</v>
      </c>
      <c r="J119" s="586" t="s">
        <v>17</v>
      </c>
      <c r="K119" s="661"/>
      <c r="L119" s="661">
        <v>33</v>
      </c>
      <c r="M119" s="725"/>
      <c r="N119" s="726"/>
      <c r="O119" s="127" t="s">
        <v>209</v>
      </c>
      <c r="P119" s="634"/>
      <c r="Q119" s="700">
        <v>100</v>
      </c>
      <c r="R119" s="582"/>
      <c r="S119" s="587"/>
    </row>
    <row r="120" spans="1:19" s="101" customFormat="1" ht="45" customHeight="1" x14ac:dyDescent="0.25">
      <c r="A120" s="52"/>
      <c r="B120" s="144"/>
      <c r="C120" s="239"/>
      <c r="D120" s="827"/>
      <c r="E120" s="226"/>
      <c r="F120" s="35"/>
      <c r="G120" s="807"/>
      <c r="H120" s="147"/>
      <c r="I120" s="37"/>
      <c r="J120" s="211" t="s">
        <v>17</v>
      </c>
      <c r="K120" s="368"/>
      <c r="L120" s="78">
        <f>32.9+5.5</f>
        <v>38.4</v>
      </c>
      <c r="M120" s="479"/>
      <c r="N120" s="368"/>
      <c r="O120" s="8" t="s">
        <v>228</v>
      </c>
      <c r="P120" s="746"/>
      <c r="Q120" s="700">
        <v>100</v>
      </c>
      <c r="R120" s="582"/>
      <c r="S120" s="663"/>
    </row>
    <row r="121" spans="1:19" s="101" customFormat="1" ht="31.5" customHeight="1" x14ac:dyDescent="0.25">
      <c r="A121" s="52"/>
      <c r="B121" s="144"/>
      <c r="C121" s="239"/>
      <c r="D121" s="827"/>
      <c r="E121" s="226"/>
      <c r="F121" s="35"/>
      <c r="G121" s="807"/>
      <c r="H121" s="147"/>
      <c r="I121" s="37"/>
      <c r="J121" s="159" t="s">
        <v>17</v>
      </c>
      <c r="K121" s="368"/>
      <c r="L121" s="78">
        <v>2.2000000000000002</v>
      </c>
      <c r="M121" s="479"/>
      <c r="N121" s="368"/>
      <c r="O121" s="698" t="s">
        <v>222</v>
      </c>
      <c r="P121" s="746"/>
      <c r="Q121" s="700">
        <v>2</v>
      </c>
      <c r="R121" s="582"/>
      <c r="S121" s="663"/>
    </row>
    <row r="122" spans="1:19" s="101" customFormat="1" ht="32.4" customHeight="1" x14ac:dyDescent="0.25">
      <c r="A122" s="52"/>
      <c r="B122" s="144"/>
      <c r="C122" s="239"/>
      <c r="D122" s="827"/>
      <c r="E122" s="819"/>
      <c r="F122" s="35"/>
      <c r="G122" s="657"/>
      <c r="H122" s="147"/>
      <c r="I122" s="782"/>
      <c r="J122" s="586" t="s">
        <v>17</v>
      </c>
      <c r="K122" s="661"/>
      <c r="L122" s="377"/>
      <c r="M122" s="540">
        <v>18.7</v>
      </c>
      <c r="N122" s="529"/>
      <c r="O122" s="128" t="s">
        <v>210</v>
      </c>
      <c r="P122" s="475"/>
      <c r="Q122" s="475"/>
      <c r="R122" s="581">
        <v>100</v>
      </c>
      <c r="S122" s="600"/>
    </row>
    <row r="123" spans="1:19" s="101" customFormat="1" ht="32.4" customHeight="1" x14ac:dyDescent="0.25">
      <c r="A123" s="52"/>
      <c r="B123" s="144"/>
      <c r="C123" s="239"/>
      <c r="D123" s="827"/>
      <c r="E123" s="819"/>
      <c r="F123" s="35"/>
      <c r="G123" s="657"/>
      <c r="H123" s="147"/>
      <c r="I123" s="782"/>
      <c r="J123" s="586" t="s">
        <v>17</v>
      </c>
      <c r="K123" s="662"/>
      <c r="L123" s="78"/>
      <c r="M123" s="484">
        <v>20.5</v>
      </c>
      <c r="N123" s="530"/>
      <c r="O123" s="8" t="s">
        <v>198</v>
      </c>
      <c r="P123" s="475"/>
      <c r="Q123" s="734"/>
      <c r="R123" s="581">
        <v>100</v>
      </c>
      <c r="S123" s="600"/>
    </row>
    <row r="124" spans="1:19" s="101" customFormat="1" ht="39.75" customHeight="1" x14ac:dyDescent="0.25">
      <c r="A124" s="52"/>
      <c r="B124" s="144"/>
      <c r="C124" s="239"/>
      <c r="D124" s="827"/>
      <c r="E124" s="226"/>
      <c r="F124" s="35"/>
      <c r="G124" s="807"/>
      <c r="H124" s="147"/>
      <c r="I124" s="37"/>
      <c r="J124" s="159" t="s">
        <v>17</v>
      </c>
      <c r="K124" s="368"/>
      <c r="L124" s="78"/>
      <c r="M124" s="479">
        <v>24.9</v>
      </c>
      <c r="N124" s="368"/>
      <c r="O124" s="8" t="s">
        <v>223</v>
      </c>
      <c r="P124" s="759"/>
      <c r="Q124" s="734"/>
      <c r="R124" s="581">
        <v>100</v>
      </c>
      <c r="S124" s="735"/>
    </row>
    <row r="125" spans="1:19" s="101" customFormat="1" ht="44.4" customHeight="1" x14ac:dyDescent="0.25">
      <c r="A125" s="52"/>
      <c r="B125" s="144"/>
      <c r="C125" s="239"/>
      <c r="D125" s="827"/>
      <c r="E125" s="819"/>
      <c r="F125" s="35"/>
      <c r="G125" s="657"/>
      <c r="H125" s="147"/>
      <c r="I125" s="782"/>
      <c r="J125" s="586" t="s">
        <v>17</v>
      </c>
      <c r="K125" s="662"/>
      <c r="L125" s="78"/>
      <c r="M125" s="479">
        <v>225</v>
      </c>
      <c r="N125" s="530"/>
      <c r="O125" s="701" t="s">
        <v>211</v>
      </c>
      <c r="P125" s="644"/>
      <c r="Q125" s="812"/>
      <c r="R125" s="781">
        <v>100</v>
      </c>
      <c r="S125" s="727"/>
    </row>
    <row r="126" spans="1:19" s="101" customFormat="1" ht="41.25" customHeight="1" x14ac:dyDescent="0.25">
      <c r="A126" s="52"/>
      <c r="B126" s="144"/>
      <c r="C126" s="239"/>
      <c r="D126" s="827"/>
      <c r="E126" s="226"/>
      <c r="F126" s="35"/>
      <c r="G126" s="807"/>
      <c r="H126" s="147"/>
      <c r="I126" s="37"/>
      <c r="J126" s="211" t="s">
        <v>17</v>
      </c>
      <c r="K126" s="368"/>
      <c r="L126" s="78"/>
      <c r="M126" s="479">
        <v>9.5</v>
      </c>
      <c r="N126" s="530"/>
      <c r="O126" s="768" t="s">
        <v>212</v>
      </c>
      <c r="P126" s="644"/>
      <c r="Q126" s="812"/>
      <c r="R126" s="582">
        <v>100</v>
      </c>
      <c r="S126" s="663"/>
    </row>
    <row r="127" spans="1:19" s="101" customFormat="1" ht="41.25" customHeight="1" x14ac:dyDescent="0.25">
      <c r="A127" s="52"/>
      <c r="B127" s="144"/>
      <c r="C127" s="239"/>
      <c r="D127" s="827"/>
      <c r="E127" s="226"/>
      <c r="F127" s="35"/>
      <c r="G127" s="807"/>
      <c r="H127" s="147"/>
      <c r="I127" s="37"/>
      <c r="J127" s="211" t="s">
        <v>17</v>
      </c>
      <c r="K127" s="368"/>
      <c r="L127" s="78"/>
      <c r="M127" s="479">
        <v>7</v>
      </c>
      <c r="N127" s="530"/>
      <c r="O127" s="768" t="s">
        <v>213</v>
      </c>
      <c r="P127" s="644"/>
      <c r="Q127" s="812"/>
      <c r="R127" s="582">
        <v>100</v>
      </c>
      <c r="S127" s="663"/>
    </row>
    <row r="128" spans="1:19" s="101" customFormat="1" ht="39" customHeight="1" x14ac:dyDescent="0.25">
      <c r="A128" s="52"/>
      <c r="B128" s="144"/>
      <c r="C128" s="239"/>
      <c r="D128" s="827"/>
      <c r="E128" s="226"/>
      <c r="F128" s="35"/>
      <c r="G128" s="807"/>
      <c r="H128" s="147"/>
      <c r="I128" s="37"/>
      <c r="J128" s="211" t="s">
        <v>17</v>
      </c>
      <c r="K128" s="368"/>
      <c r="L128" s="78"/>
      <c r="M128" s="479">
        <v>3</v>
      </c>
      <c r="N128" s="530"/>
      <c r="O128" s="728" t="s">
        <v>224</v>
      </c>
      <c r="P128" s="634"/>
      <c r="Q128" s="700"/>
      <c r="R128" s="582">
        <v>100</v>
      </c>
      <c r="S128" s="663"/>
    </row>
    <row r="129" spans="1:19" s="101" customFormat="1" ht="30.6" customHeight="1" x14ac:dyDescent="0.25">
      <c r="A129" s="52"/>
      <c r="B129" s="144"/>
      <c r="C129" s="239"/>
      <c r="D129" s="827"/>
      <c r="E129" s="226"/>
      <c r="F129" s="35"/>
      <c r="G129" s="807"/>
      <c r="H129" s="147"/>
      <c r="I129" s="37"/>
      <c r="J129" s="211" t="s">
        <v>17</v>
      </c>
      <c r="K129" s="368"/>
      <c r="L129" s="78"/>
      <c r="M129" s="479">
        <v>9</v>
      </c>
      <c r="N129" s="530"/>
      <c r="O129" s="768" t="s">
        <v>214</v>
      </c>
      <c r="P129" s="634"/>
      <c r="Q129" s="812"/>
      <c r="R129" s="582">
        <v>100</v>
      </c>
      <c r="S129" s="574"/>
    </row>
    <row r="130" spans="1:19" s="101" customFormat="1" ht="45" customHeight="1" x14ac:dyDescent="0.25">
      <c r="A130" s="52"/>
      <c r="B130" s="144"/>
      <c r="C130" s="239"/>
      <c r="D130" s="827"/>
      <c r="E130" s="819"/>
      <c r="F130" s="35"/>
      <c r="G130" s="657"/>
      <c r="H130" s="147"/>
      <c r="I130" s="782"/>
      <c r="J130" s="794" t="s">
        <v>17</v>
      </c>
      <c r="K130" s="662"/>
      <c r="L130" s="78"/>
      <c r="M130" s="479"/>
      <c r="N130" s="530">
        <v>44.5</v>
      </c>
      <c r="O130" s="701" t="s">
        <v>221</v>
      </c>
      <c r="P130" s="634"/>
      <c r="Q130" s="700"/>
      <c r="R130" s="582"/>
      <c r="S130" s="600">
        <v>100</v>
      </c>
    </row>
    <row r="131" spans="1:19" s="101" customFormat="1" ht="28.5" customHeight="1" x14ac:dyDescent="0.25">
      <c r="A131" s="52"/>
      <c r="B131" s="144"/>
      <c r="C131" s="239"/>
      <c r="D131" s="827"/>
      <c r="E131" s="898"/>
      <c r="F131" s="35"/>
      <c r="G131" s="269">
        <v>11010130</v>
      </c>
      <c r="H131" s="125">
        <v>2</v>
      </c>
      <c r="I131" s="782"/>
      <c r="J131" s="159" t="s">
        <v>17</v>
      </c>
      <c r="K131" s="368">
        <v>58.2</v>
      </c>
      <c r="L131" s="78"/>
      <c r="M131" s="479"/>
      <c r="N131" s="530"/>
      <c r="O131" s="127" t="s">
        <v>115</v>
      </c>
      <c r="P131" s="628">
        <v>100</v>
      </c>
      <c r="Q131" s="628"/>
      <c r="R131" s="785"/>
      <c r="S131" s="566"/>
    </row>
    <row r="132" spans="1:19" s="101" customFormat="1" ht="27.75" customHeight="1" x14ac:dyDescent="0.25">
      <c r="A132" s="52"/>
      <c r="B132" s="144"/>
      <c r="C132" s="239"/>
      <c r="D132" s="827"/>
      <c r="E132" s="898"/>
      <c r="F132" s="35"/>
      <c r="G132" s="807"/>
      <c r="H132" s="147"/>
      <c r="I132" s="37"/>
      <c r="J132" s="211" t="s">
        <v>17</v>
      </c>
      <c r="K132" s="368">
        <v>20</v>
      </c>
      <c r="L132" s="78"/>
      <c r="M132" s="479"/>
      <c r="N132" s="530"/>
      <c r="O132" s="128" t="s">
        <v>128</v>
      </c>
      <c r="P132" s="634">
        <v>1</v>
      </c>
      <c r="Q132" s="634"/>
      <c r="R132" s="582"/>
      <c r="S132" s="587"/>
    </row>
    <row r="133" spans="1:19" s="101" customFormat="1" ht="16.95" customHeight="1" x14ac:dyDescent="0.25">
      <c r="A133" s="52"/>
      <c r="B133" s="144"/>
      <c r="C133" s="239"/>
      <c r="D133" s="827"/>
      <c r="E133" s="226"/>
      <c r="F133" s="35"/>
      <c r="G133" s="807"/>
      <c r="H133" s="147"/>
      <c r="I133" s="37"/>
      <c r="J133" s="159" t="s">
        <v>17</v>
      </c>
      <c r="K133" s="368">
        <v>40</v>
      </c>
      <c r="L133" s="78"/>
      <c r="M133" s="479"/>
      <c r="N133" s="530"/>
      <c r="O133" s="128" t="s">
        <v>129</v>
      </c>
      <c r="P133" s="634">
        <v>4</v>
      </c>
      <c r="Q133" s="634"/>
      <c r="R133" s="582"/>
      <c r="S133" s="587"/>
    </row>
    <row r="134" spans="1:19" s="101" customFormat="1" ht="15" customHeight="1" x14ac:dyDescent="0.25">
      <c r="A134" s="52"/>
      <c r="B134" s="144"/>
      <c r="C134" s="239"/>
      <c r="D134" s="827"/>
      <c r="E134" s="226"/>
      <c r="F134" s="35"/>
      <c r="G134" s="807"/>
      <c r="H134" s="147"/>
      <c r="I134" s="37"/>
      <c r="J134" s="211" t="s">
        <v>36</v>
      </c>
      <c r="K134" s="368">
        <v>120.6</v>
      </c>
      <c r="L134" s="78"/>
      <c r="M134" s="479"/>
      <c r="N134" s="530"/>
      <c r="O134" s="1048" t="s">
        <v>143</v>
      </c>
      <c r="P134" s="287">
        <v>100</v>
      </c>
      <c r="Q134" s="287"/>
      <c r="R134" s="610"/>
      <c r="S134" s="599"/>
    </row>
    <row r="135" spans="1:19" s="101" customFormat="1" ht="15" customHeight="1" x14ac:dyDescent="0.25">
      <c r="A135" s="52"/>
      <c r="B135" s="144"/>
      <c r="C135" s="239"/>
      <c r="D135" s="827"/>
      <c r="E135" s="226"/>
      <c r="F135" s="35"/>
      <c r="G135" s="807"/>
      <c r="H135" s="147"/>
      <c r="I135" s="37"/>
      <c r="J135" s="211" t="s">
        <v>17</v>
      </c>
      <c r="K135" s="368">
        <v>13.4</v>
      </c>
      <c r="L135" s="78"/>
      <c r="M135" s="479"/>
      <c r="N135" s="530"/>
      <c r="O135" s="1049"/>
      <c r="P135" s="476"/>
      <c r="Q135" s="476"/>
      <c r="R135" s="606"/>
      <c r="S135" s="595"/>
    </row>
    <row r="136" spans="1:19" s="101" customFormat="1" ht="15" customHeight="1" x14ac:dyDescent="0.25">
      <c r="A136" s="44"/>
      <c r="B136" s="796"/>
      <c r="C136" s="797"/>
      <c r="D136" s="815"/>
      <c r="E136" s="227"/>
      <c r="F136" s="140"/>
      <c r="G136" s="89"/>
      <c r="H136" s="231"/>
      <c r="I136" s="789"/>
      <c r="J136" s="212" t="s">
        <v>18</v>
      </c>
      <c r="K136" s="90">
        <f>SUM(K119:K135)</f>
        <v>252.20000000000002</v>
      </c>
      <c r="L136" s="532">
        <f>SUM(L119:L135)</f>
        <v>73.600000000000009</v>
      </c>
      <c r="M136" s="443">
        <f>SUM(M119:M135)</f>
        <v>317.60000000000002</v>
      </c>
      <c r="N136" s="533">
        <f>SUM(N119:N135)</f>
        <v>44.5</v>
      </c>
      <c r="O136" s="271"/>
      <c r="P136" s="644"/>
      <c r="Q136" s="644"/>
      <c r="R136" s="781"/>
      <c r="S136" s="664"/>
    </row>
    <row r="137" spans="1:19" s="101" customFormat="1" ht="27" customHeight="1" x14ac:dyDescent="0.25">
      <c r="A137" s="48"/>
      <c r="B137" s="796"/>
      <c r="C137" s="270"/>
      <c r="D137" s="861" t="s">
        <v>19</v>
      </c>
      <c r="E137" s="897" t="s">
        <v>199</v>
      </c>
      <c r="F137" s="207"/>
      <c r="G137" s="88"/>
      <c r="H137" s="109" t="s">
        <v>16</v>
      </c>
      <c r="I137" s="863" t="s">
        <v>169</v>
      </c>
      <c r="J137" s="210" t="s">
        <v>17</v>
      </c>
      <c r="K137" s="525"/>
      <c r="L137" s="256">
        <v>14.9</v>
      </c>
      <c r="M137" s="478"/>
      <c r="N137" s="502"/>
      <c r="O137" s="729" t="s">
        <v>225</v>
      </c>
      <c r="P137" s="583"/>
      <c r="Q137" s="721">
        <v>100</v>
      </c>
      <c r="R137" s="730"/>
      <c r="S137" s="731"/>
    </row>
    <row r="138" spans="1:19" s="101" customFormat="1" ht="30" customHeight="1" x14ac:dyDescent="0.25">
      <c r="A138" s="48"/>
      <c r="B138" s="796"/>
      <c r="C138" s="270"/>
      <c r="D138" s="206"/>
      <c r="E138" s="898"/>
      <c r="F138" s="240"/>
      <c r="G138" s="75"/>
      <c r="H138" s="96"/>
      <c r="I138" s="37"/>
      <c r="J138" s="210" t="s">
        <v>17</v>
      </c>
      <c r="K138" s="525"/>
      <c r="L138" s="256"/>
      <c r="M138" s="478">
        <v>14.2</v>
      </c>
      <c r="N138" s="502"/>
      <c r="O138" s="732" t="s">
        <v>201</v>
      </c>
      <c r="P138" s="733"/>
      <c r="Q138" s="734"/>
      <c r="R138" s="581">
        <v>100</v>
      </c>
      <c r="S138" s="735"/>
    </row>
    <row r="139" spans="1:19" s="101" customFormat="1" ht="32.4" customHeight="1" x14ac:dyDescent="0.25">
      <c r="A139" s="48"/>
      <c r="B139" s="796"/>
      <c r="C139" s="270"/>
      <c r="D139" s="206"/>
      <c r="E139" s="226"/>
      <c r="F139" s="240"/>
      <c r="G139" s="75"/>
      <c r="H139" s="96"/>
      <c r="I139" s="37"/>
      <c r="J139" s="210" t="s">
        <v>17</v>
      </c>
      <c r="K139" s="525"/>
      <c r="L139" s="256"/>
      <c r="M139" s="478">
        <v>3.5</v>
      </c>
      <c r="N139" s="502"/>
      <c r="O139" s="826" t="s">
        <v>226</v>
      </c>
      <c r="P139" s="736"/>
      <c r="Q139" s="737"/>
      <c r="R139" s="623">
        <v>100</v>
      </c>
      <c r="S139" s="798"/>
    </row>
    <row r="140" spans="1:19" s="101" customFormat="1" ht="29.4" customHeight="1" x14ac:dyDescent="0.25">
      <c r="A140" s="48"/>
      <c r="B140" s="796"/>
      <c r="C140" s="270"/>
      <c r="D140" s="206"/>
      <c r="E140" s="226"/>
      <c r="F140" s="240"/>
      <c r="G140" s="75"/>
      <c r="H140" s="96"/>
      <c r="I140" s="37"/>
      <c r="J140" s="156" t="s">
        <v>17</v>
      </c>
      <c r="K140" s="368"/>
      <c r="L140" s="78"/>
      <c r="M140" s="479">
        <v>36.299999999999997</v>
      </c>
      <c r="N140" s="530"/>
      <c r="O140" s="860" t="s">
        <v>200</v>
      </c>
      <c r="P140" s="739"/>
      <c r="Q140" s="721"/>
      <c r="R140" s="610">
        <v>100</v>
      </c>
      <c r="S140" s="740"/>
    </row>
    <row r="141" spans="1:19" s="101" customFormat="1" ht="28.95" customHeight="1" x14ac:dyDescent="0.25">
      <c r="A141" s="48"/>
      <c r="B141" s="796"/>
      <c r="C141" s="270"/>
      <c r="D141" s="206"/>
      <c r="E141" s="226"/>
      <c r="F141" s="240"/>
      <c r="G141" s="75"/>
      <c r="H141" s="96"/>
      <c r="I141" s="37"/>
      <c r="J141" s="159" t="s">
        <v>17</v>
      </c>
      <c r="K141" s="629"/>
      <c r="L141" s="840"/>
      <c r="M141" s="484"/>
      <c r="N141" s="550">
        <v>10.3</v>
      </c>
      <c r="O141" s="900" t="s">
        <v>219</v>
      </c>
      <c r="P141" s="738"/>
      <c r="Q141" s="721"/>
      <c r="R141" s="610"/>
      <c r="S141" s="599">
        <v>100</v>
      </c>
    </row>
    <row r="142" spans="1:19" s="101" customFormat="1" ht="15.75" customHeight="1" x14ac:dyDescent="0.25">
      <c r="A142" s="48"/>
      <c r="B142" s="796"/>
      <c r="C142" s="270"/>
      <c r="D142" s="862"/>
      <c r="E142" s="227"/>
      <c r="F142" s="208"/>
      <c r="G142" s="89"/>
      <c r="H142" s="110"/>
      <c r="I142" s="864"/>
      <c r="J142" s="234" t="s">
        <v>18</v>
      </c>
      <c r="K142" s="90">
        <f>SUM(K137:K137)</f>
        <v>0</v>
      </c>
      <c r="L142" s="532">
        <f>SUM(L137:L141)</f>
        <v>14.9</v>
      </c>
      <c r="M142" s="443">
        <f>SUM(M137:M141)</f>
        <v>54</v>
      </c>
      <c r="N142" s="533">
        <f>SUM(N137:N141)</f>
        <v>10.3</v>
      </c>
      <c r="O142" s="901"/>
      <c r="P142" s="741"/>
      <c r="Q142" s="742"/>
      <c r="R142" s="615"/>
      <c r="S142" s="743"/>
    </row>
    <row r="143" spans="1:19" s="101" customFormat="1" ht="15.75" customHeight="1" x14ac:dyDescent="0.25">
      <c r="A143" s="48"/>
      <c r="B143" s="796"/>
      <c r="C143" s="239"/>
      <c r="D143" s="814" t="s">
        <v>21</v>
      </c>
      <c r="E143" s="922" t="s">
        <v>152</v>
      </c>
      <c r="F143" s="671"/>
      <c r="G143" s="1110">
        <v>11010100</v>
      </c>
      <c r="H143" s="99">
        <v>6</v>
      </c>
      <c r="I143" s="977" t="s">
        <v>172</v>
      </c>
      <c r="J143" s="672" t="s">
        <v>17</v>
      </c>
      <c r="K143" s="649">
        <v>137.4</v>
      </c>
      <c r="L143" s="377">
        <v>155.6</v>
      </c>
      <c r="M143" s="540">
        <v>176.9</v>
      </c>
      <c r="N143" s="529">
        <v>176.9</v>
      </c>
      <c r="O143" s="273" t="s">
        <v>215</v>
      </c>
      <c r="P143" s="65">
        <v>6</v>
      </c>
      <c r="Q143" s="65">
        <v>6</v>
      </c>
      <c r="R143" s="613">
        <v>6</v>
      </c>
      <c r="S143" s="603">
        <v>6</v>
      </c>
    </row>
    <row r="144" spans="1:19" s="101" customFormat="1" ht="15.75" customHeight="1" x14ac:dyDescent="0.25">
      <c r="A144" s="48"/>
      <c r="B144" s="796"/>
      <c r="C144" s="239"/>
      <c r="D144" s="206"/>
      <c r="E144" s="923"/>
      <c r="F144" s="22"/>
      <c r="G144" s="1111"/>
      <c r="H144" s="142"/>
      <c r="I144" s="918"/>
      <c r="J144" s="24" t="s">
        <v>59</v>
      </c>
      <c r="K144" s="453">
        <v>25</v>
      </c>
      <c r="L144" s="524">
        <v>21.3</v>
      </c>
      <c r="M144" s="538"/>
      <c r="N144" s="528"/>
      <c r="O144" s="233"/>
      <c r="P144" s="23"/>
      <c r="Q144" s="23"/>
      <c r="R144" s="614"/>
      <c r="S144" s="604"/>
    </row>
    <row r="145" spans="1:19" s="101" customFormat="1" ht="15.75" customHeight="1" x14ac:dyDescent="0.25">
      <c r="A145" s="48"/>
      <c r="B145" s="796"/>
      <c r="C145" s="239"/>
      <c r="D145" s="206"/>
      <c r="E145" s="226"/>
      <c r="F145" s="669"/>
      <c r="G145" s="1112"/>
      <c r="H145" s="670"/>
      <c r="I145" s="958"/>
      <c r="J145" s="234" t="s">
        <v>18</v>
      </c>
      <c r="K145" s="526">
        <f>SUM(K143:K144)</f>
        <v>162.4</v>
      </c>
      <c r="L145" s="534">
        <f t="shared" ref="L145:N145" si="10">SUM(L143:L144)</f>
        <v>176.9</v>
      </c>
      <c r="M145" s="541">
        <f t="shared" si="10"/>
        <v>176.9</v>
      </c>
      <c r="N145" s="535">
        <f t="shared" si="10"/>
        <v>176.9</v>
      </c>
      <c r="O145" s="272"/>
      <c r="P145" s="626"/>
      <c r="Q145" s="626"/>
      <c r="R145" s="592"/>
      <c r="S145" s="586"/>
    </row>
    <row r="146" spans="1:19" s="101" customFormat="1" ht="15.75" customHeight="1" x14ac:dyDescent="0.25">
      <c r="A146" s="48"/>
      <c r="B146" s="796"/>
      <c r="C146" s="270"/>
      <c r="D146" s="967"/>
      <c r="E146" s="897" t="s">
        <v>78</v>
      </c>
      <c r="F146" s="240"/>
      <c r="G146" s="75"/>
      <c r="H146" s="96" t="s">
        <v>16</v>
      </c>
      <c r="I146" s="918" t="s">
        <v>169</v>
      </c>
      <c r="J146" s="155" t="s">
        <v>17</v>
      </c>
      <c r="K146" s="85">
        <v>160</v>
      </c>
      <c r="L146" s="79"/>
      <c r="M146" s="477"/>
      <c r="N146" s="549"/>
      <c r="O146" s="1113" t="s">
        <v>79</v>
      </c>
      <c r="P146" s="476">
        <v>100</v>
      </c>
      <c r="Q146" s="476"/>
      <c r="R146" s="606"/>
      <c r="S146" s="595"/>
    </row>
    <row r="147" spans="1:19" s="101" customFormat="1" ht="12.75" customHeight="1" x14ac:dyDescent="0.25">
      <c r="A147" s="48"/>
      <c r="B147" s="796"/>
      <c r="C147" s="270"/>
      <c r="D147" s="968"/>
      <c r="E147" s="898"/>
      <c r="F147" s="240"/>
      <c r="G147" s="75"/>
      <c r="H147" s="96"/>
      <c r="I147" s="918"/>
      <c r="J147" s="210"/>
      <c r="K147" s="525"/>
      <c r="L147" s="256"/>
      <c r="M147" s="478"/>
      <c r="N147" s="502"/>
      <c r="O147" s="1113"/>
      <c r="P147" s="476"/>
      <c r="Q147" s="476"/>
      <c r="R147" s="606"/>
      <c r="S147" s="595"/>
    </row>
    <row r="148" spans="1:19" s="101" customFormat="1" ht="14.25" customHeight="1" x14ac:dyDescent="0.25">
      <c r="A148" s="48"/>
      <c r="B148" s="796"/>
      <c r="C148" s="270"/>
      <c r="D148" s="968"/>
      <c r="E148" s="899"/>
      <c r="F148" s="208"/>
      <c r="G148" s="89"/>
      <c r="H148" s="110"/>
      <c r="I148" s="958"/>
      <c r="J148" s="213" t="s">
        <v>18</v>
      </c>
      <c r="K148" s="90">
        <f>SUM(K146:K147)</f>
        <v>160</v>
      </c>
      <c r="L148" s="532">
        <f t="shared" ref="L148:N148" si="11">SUM(L146:L147)</f>
        <v>0</v>
      </c>
      <c r="M148" s="443">
        <f t="shared" si="11"/>
        <v>0</v>
      </c>
      <c r="N148" s="533">
        <f t="shared" si="11"/>
        <v>0</v>
      </c>
      <c r="O148" s="1113"/>
      <c r="P148" s="476"/>
      <c r="Q148" s="476"/>
      <c r="R148" s="606"/>
      <c r="S148" s="595"/>
    </row>
    <row r="149" spans="1:19" s="101" customFormat="1" ht="18" customHeight="1" x14ac:dyDescent="0.25">
      <c r="A149" s="48"/>
      <c r="B149" s="796"/>
      <c r="C149" s="270"/>
      <c r="D149" s="968"/>
      <c r="E149" s="897" t="s">
        <v>157</v>
      </c>
      <c r="F149" s="207"/>
      <c r="G149" s="88"/>
      <c r="H149" s="109" t="s">
        <v>16</v>
      </c>
      <c r="I149" s="977" t="s">
        <v>169</v>
      </c>
      <c r="J149" s="159" t="s">
        <v>154</v>
      </c>
      <c r="K149" s="368">
        <v>21.5</v>
      </c>
      <c r="L149" s="78"/>
      <c r="M149" s="479"/>
      <c r="N149" s="530"/>
      <c r="O149" s="895" t="s">
        <v>156</v>
      </c>
      <c r="P149" s="287">
        <v>2</v>
      </c>
      <c r="Q149" s="287"/>
      <c r="R149" s="610"/>
      <c r="S149" s="599"/>
    </row>
    <row r="150" spans="1:19" s="101" customFormat="1" ht="15.6" customHeight="1" x14ac:dyDescent="0.25">
      <c r="A150" s="48"/>
      <c r="B150" s="796"/>
      <c r="C150" s="270"/>
      <c r="D150" s="968"/>
      <c r="E150" s="898"/>
      <c r="F150" s="208"/>
      <c r="G150" s="89"/>
      <c r="H150" s="110"/>
      <c r="I150" s="958"/>
      <c r="J150" s="213" t="s">
        <v>18</v>
      </c>
      <c r="K150" s="90">
        <f>SUM(K149:K149)</f>
        <v>21.5</v>
      </c>
      <c r="L150" s="532">
        <f>SUM(L149:L149)</f>
        <v>0</v>
      </c>
      <c r="M150" s="443">
        <f>SUM(M149:M149)</f>
        <v>0</v>
      </c>
      <c r="N150" s="533">
        <f>SUM(N149:N149)</f>
        <v>0</v>
      </c>
      <c r="O150" s="916"/>
      <c r="P150" s="29"/>
      <c r="Q150" s="29"/>
      <c r="R150" s="612"/>
      <c r="S150" s="602"/>
    </row>
    <row r="151" spans="1:19" s="101" customFormat="1" ht="15.6" customHeight="1" x14ac:dyDescent="0.25">
      <c r="A151" s="44"/>
      <c r="B151" s="796"/>
      <c r="C151" s="270"/>
      <c r="D151" s="206"/>
      <c r="E151" s="226"/>
      <c r="F151" s="1050" t="s">
        <v>38</v>
      </c>
      <c r="G151" s="1051"/>
      <c r="H151" s="1051"/>
      <c r="I151" s="1051"/>
      <c r="J151" s="1052"/>
      <c r="K151" s="266">
        <f>+K136+K148+K145+K150</f>
        <v>596.1</v>
      </c>
      <c r="L151" s="536">
        <f>+L136+L148+L145+L150+L142</f>
        <v>265.39999999999998</v>
      </c>
      <c r="M151" s="714">
        <f>+M136+M148+M145+M150+M142</f>
        <v>548.5</v>
      </c>
      <c r="N151" s="683">
        <f>+N136+N148+N145+N150+N142</f>
        <v>231.70000000000002</v>
      </c>
      <c r="O151" s="896"/>
      <c r="P151" s="294"/>
      <c r="Q151" s="294"/>
      <c r="R151" s="615"/>
      <c r="S151" s="579"/>
    </row>
    <row r="152" spans="1:19" s="101" customFormat="1" ht="15.6" customHeight="1" thickBot="1" x14ac:dyDescent="0.3">
      <c r="A152" s="310" t="s">
        <v>13</v>
      </c>
      <c r="B152" s="311" t="s">
        <v>21</v>
      </c>
      <c r="C152" s="972" t="s">
        <v>22</v>
      </c>
      <c r="D152" s="924"/>
      <c r="E152" s="924"/>
      <c r="F152" s="924"/>
      <c r="G152" s="924"/>
      <c r="H152" s="924"/>
      <c r="I152" s="924"/>
      <c r="J152" s="973"/>
      <c r="K152" s="276">
        <f>+K88+K151+K117</f>
        <v>7612.2000000000007</v>
      </c>
      <c r="L152" s="276">
        <f>+L88+L151+L117+L91</f>
        <v>2191.7999999999997</v>
      </c>
      <c r="M152" s="866">
        <f>+M88+M151+M117+M91</f>
        <v>573</v>
      </c>
      <c r="N152" s="865">
        <f>+N88+N151+N117+N91</f>
        <v>4936.7</v>
      </c>
      <c r="O152" s="1053"/>
      <c r="P152" s="1054"/>
      <c r="Q152" s="1054"/>
      <c r="R152" s="1054"/>
      <c r="S152" s="1055"/>
    </row>
    <row r="153" spans="1:19" s="101" customFormat="1" ht="14.25" customHeight="1" thickBot="1" x14ac:dyDescent="0.3">
      <c r="A153" s="54" t="s">
        <v>13</v>
      </c>
      <c r="B153" s="10" t="s">
        <v>32</v>
      </c>
      <c r="C153" s="974" t="s">
        <v>40</v>
      </c>
      <c r="D153" s="975"/>
      <c r="E153" s="975"/>
      <c r="F153" s="975"/>
      <c r="G153" s="975"/>
      <c r="H153" s="975"/>
      <c r="I153" s="975"/>
      <c r="J153" s="975"/>
      <c r="K153" s="975"/>
      <c r="L153" s="975"/>
      <c r="M153" s="975"/>
      <c r="N153" s="975"/>
      <c r="O153" s="976"/>
      <c r="P153" s="979"/>
      <c r="Q153" s="979"/>
      <c r="R153" s="979"/>
      <c r="S153" s="980"/>
    </row>
    <row r="154" spans="1:19" s="101" customFormat="1" ht="29.25" customHeight="1" x14ac:dyDescent="0.25">
      <c r="A154" s="43" t="s">
        <v>13</v>
      </c>
      <c r="B154" s="795" t="s">
        <v>32</v>
      </c>
      <c r="C154" s="3" t="s">
        <v>13</v>
      </c>
      <c r="D154" s="835"/>
      <c r="E154" s="915" t="s">
        <v>93</v>
      </c>
      <c r="F154" s="188"/>
      <c r="G154" s="283">
        <v>11030607</v>
      </c>
      <c r="H154" s="189" t="s">
        <v>16</v>
      </c>
      <c r="I154" s="939" t="s">
        <v>169</v>
      </c>
      <c r="J154" s="38" t="s">
        <v>17</v>
      </c>
      <c r="K154" s="154">
        <f>756+393.8</f>
        <v>1149.8</v>
      </c>
      <c r="L154" s="667">
        <v>756</v>
      </c>
      <c r="M154" s="494">
        <v>756</v>
      </c>
      <c r="N154" s="668">
        <v>756</v>
      </c>
      <c r="O154" s="1021" t="s">
        <v>69</v>
      </c>
      <c r="P154" s="1108">
        <v>5</v>
      </c>
      <c r="Q154" s="299">
        <v>4</v>
      </c>
      <c r="R154" s="605">
        <v>4</v>
      </c>
      <c r="S154" s="621">
        <v>4</v>
      </c>
    </row>
    <row r="155" spans="1:19" s="101" customFormat="1" ht="15" customHeight="1" thickBot="1" x14ac:dyDescent="0.3">
      <c r="A155" s="46"/>
      <c r="B155" s="818"/>
      <c r="C155" s="5"/>
      <c r="D155" s="772"/>
      <c r="E155" s="917"/>
      <c r="F155" s="190"/>
      <c r="G155" s="284"/>
      <c r="H155" s="60"/>
      <c r="I155" s="919"/>
      <c r="J155" s="39" t="s">
        <v>18</v>
      </c>
      <c r="K155" s="149">
        <f>SUM(K154:K154)</f>
        <v>1149.8</v>
      </c>
      <c r="L155" s="438">
        <f t="shared" ref="L155:N155" si="12">SUM(L154:L154)</f>
        <v>756</v>
      </c>
      <c r="M155" s="495">
        <f t="shared" si="12"/>
        <v>756</v>
      </c>
      <c r="N155" s="490">
        <f t="shared" si="12"/>
        <v>756</v>
      </c>
      <c r="O155" s="1064"/>
      <c r="P155" s="1109"/>
      <c r="Q155" s="831"/>
      <c r="R155" s="623"/>
      <c r="S155" s="622"/>
    </row>
    <row r="156" spans="1:19" s="101" customFormat="1" ht="30" customHeight="1" x14ac:dyDescent="0.25">
      <c r="A156" s="43" t="s">
        <v>13</v>
      </c>
      <c r="B156" s="904" t="s">
        <v>32</v>
      </c>
      <c r="C156" s="1102" t="s">
        <v>19</v>
      </c>
      <c r="D156" s="1104"/>
      <c r="E156" s="965" t="s">
        <v>94</v>
      </c>
      <c r="F156" s="1106"/>
      <c r="G156" s="806">
        <v>11030701</v>
      </c>
      <c r="H156" s="1044" t="s">
        <v>16</v>
      </c>
      <c r="I156" s="939" t="s">
        <v>169</v>
      </c>
      <c r="J156" s="19" t="s">
        <v>17</v>
      </c>
      <c r="K156" s="154">
        <v>33.700000000000003</v>
      </c>
      <c r="L156" s="667">
        <v>33.700000000000003</v>
      </c>
      <c r="M156" s="494">
        <v>55</v>
      </c>
      <c r="N156" s="668">
        <v>55</v>
      </c>
      <c r="O156" s="1022" t="s">
        <v>41</v>
      </c>
      <c r="P156" s="63">
        <v>10</v>
      </c>
      <c r="Q156" s="476">
        <v>11</v>
      </c>
      <c r="R156" s="416">
        <v>15</v>
      </c>
      <c r="S156" s="63">
        <v>18</v>
      </c>
    </row>
    <row r="157" spans="1:19" s="101" customFormat="1" ht="15.75" customHeight="1" thickBot="1" x14ac:dyDescent="0.3">
      <c r="A157" s="46"/>
      <c r="B157" s="905"/>
      <c r="C157" s="1103"/>
      <c r="D157" s="1105"/>
      <c r="E157" s="966"/>
      <c r="F157" s="1107"/>
      <c r="G157" s="808"/>
      <c r="H157" s="1045"/>
      <c r="I157" s="919"/>
      <c r="J157" s="18" t="s">
        <v>18</v>
      </c>
      <c r="K157" s="149">
        <f t="shared" ref="K157:N157" si="13">SUM(K156:K156)</f>
        <v>33.700000000000003</v>
      </c>
      <c r="L157" s="438">
        <f t="shared" si="13"/>
        <v>33.700000000000003</v>
      </c>
      <c r="M157" s="495">
        <f t="shared" si="13"/>
        <v>55</v>
      </c>
      <c r="N157" s="490">
        <f t="shared" si="13"/>
        <v>55</v>
      </c>
      <c r="O157" s="1023"/>
      <c r="P157" s="91"/>
      <c r="Q157" s="414"/>
      <c r="R157" s="593"/>
      <c r="S157" s="588"/>
    </row>
    <row r="158" spans="1:19" s="101" customFormat="1" ht="13.8" thickBot="1" x14ac:dyDescent="0.3">
      <c r="A158" s="42" t="s">
        <v>13</v>
      </c>
      <c r="B158" s="10" t="s">
        <v>32</v>
      </c>
      <c r="C158" s="964" t="s">
        <v>22</v>
      </c>
      <c r="D158" s="964"/>
      <c r="E158" s="964"/>
      <c r="F158" s="964"/>
      <c r="G158" s="964"/>
      <c r="H158" s="964"/>
      <c r="I158" s="964"/>
      <c r="J158" s="964"/>
      <c r="K158" s="172">
        <f t="shared" ref="K158:N158" si="14">K157+K155</f>
        <v>1183.5</v>
      </c>
      <c r="L158" s="384">
        <f t="shared" si="14"/>
        <v>789.7</v>
      </c>
      <c r="M158" s="496">
        <f t="shared" si="14"/>
        <v>811</v>
      </c>
      <c r="N158" s="491">
        <f t="shared" si="14"/>
        <v>811</v>
      </c>
      <c r="O158" s="1095"/>
      <c r="P158" s="1096"/>
      <c r="Q158" s="1096"/>
      <c r="R158" s="1096"/>
      <c r="S158" s="1097"/>
    </row>
    <row r="159" spans="1:19" s="116" customFormat="1" ht="15.75" customHeight="1" thickBot="1" x14ac:dyDescent="0.3">
      <c r="A159" s="42" t="s">
        <v>13</v>
      </c>
      <c r="B159" s="1098" t="s">
        <v>42</v>
      </c>
      <c r="C159" s="1099"/>
      <c r="D159" s="1099"/>
      <c r="E159" s="1099"/>
      <c r="F159" s="1099"/>
      <c r="G159" s="1099"/>
      <c r="H159" s="1099"/>
      <c r="I159" s="1099"/>
      <c r="J159" s="1099"/>
      <c r="K159" s="216">
        <f>K152+K84+K26+K158</f>
        <v>16151.5</v>
      </c>
      <c r="L159" s="216">
        <f>L152+L84+L26+L158</f>
        <v>10431.200000000001</v>
      </c>
      <c r="M159" s="497">
        <f>M152+M84+M26+M158</f>
        <v>9173.2000000000007</v>
      </c>
      <c r="N159" s="492">
        <f>N152+N84+N26+N158</f>
        <v>13551.500000000002</v>
      </c>
      <c r="O159" s="55"/>
      <c r="P159" s="1060"/>
      <c r="Q159" s="1060"/>
      <c r="R159" s="1060"/>
      <c r="S159" s="1061"/>
    </row>
    <row r="160" spans="1:19" s="116" customFormat="1" ht="15.75" customHeight="1" thickBot="1" x14ac:dyDescent="0.3">
      <c r="A160" s="481" t="s">
        <v>43</v>
      </c>
      <c r="B160" s="482" t="s">
        <v>44</v>
      </c>
      <c r="C160" s="483"/>
      <c r="D160" s="483"/>
      <c r="E160" s="483"/>
      <c r="F160" s="483"/>
      <c r="G160" s="483"/>
      <c r="H160" s="483"/>
      <c r="I160" s="483"/>
      <c r="J160" s="483"/>
      <c r="K160" s="217">
        <f t="shared" ref="K160:N160" si="15">K159</f>
        <v>16151.5</v>
      </c>
      <c r="L160" s="217">
        <f t="shared" si="15"/>
        <v>10431.200000000001</v>
      </c>
      <c r="M160" s="498">
        <f t="shared" si="15"/>
        <v>9173.2000000000007</v>
      </c>
      <c r="N160" s="493">
        <f t="shared" si="15"/>
        <v>13551.500000000002</v>
      </c>
      <c r="O160" s="57"/>
      <c r="P160" s="1062"/>
      <c r="Q160" s="1062"/>
      <c r="R160" s="1062"/>
      <c r="S160" s="1063"/>
    </row>
    <row r="161" spans="1:22" s="116" customFormat="1" ht="14.4" customHeight="1" x14ac:dyDescent="0.25">
      <c r="A161" s="978" t="s">
        <v>227</v>
      </c>
      <c r="B161" s="978"/>
      <c r="C161" s="978"/>
      <c r="D161" s="978"/>
      <c r="E161" s="978"/>
      <c r="F161" s="978"/>
      <c r="G161" s="978"/>
      <c r="H161" s="978"/>
      <c r="I161" s="978"/>
      <c r="J161" s="978"/>
      <c r="K161" s="978"/>
      <c r="L161" s="978"/>
      <c r="M161" s="978"/>
      <c r="N161" s="978"/>
      <c r="O161" s="978"/>
      <c r="P161" s="978"/>
      <c r="Q161" s="978"/>
      <c r="R161" s="978"/>
      <c r="S161" s="978"/>
    </row>
    <row r="162" spans="1:22" s="101" customFormat="1" ht="18.75" customHeight="1" thickBot="1" x14ac:dyDescent="0.3">
      <c r="A162" s="11"/>
      <c r="B162" s="1046" t="s">
        <v>45</v>
      </c>
      <c r="C162" s="1046"/>
      <c r="D162" s="1046"/>
      <c r="E162" s="1046"/>
      <c r="F162" s="1046"/>
      <c r="G162" s="1046"/>
      <c r="H162" s="1046"/>
      <c r="I162" s="1046"/>
      <c r="J162" s="1046"/>
      <c r="K162" s="1046"/>
      <c r="L162" s="1047"/>
      <c r="M162" s="1047"/>
      <c r="N162" s="1047"/>
      <c r="O162" s="13"/>
      <c r="P162" s="141"/>
      <c r="Q162" s="141"/>
      <c r="R162" s="141"/>
      <c r="S162" s="141"/>
    </row>
    <row r="163" spans="1:22" s="101" customFormat="1" ht="51" customHeight="1" x14ac:dyDescent="0.25">
      <c r="A163" s="12"/>
      <c r="B163" s="1093" t="s">
        <v>46</v>
      </c>
      <c r="C163" s="1094"/>
      <c r="D163" s="1094"/>
      <c r="E163" s="1094"/>
      <c r="F163" s="1094"/>
      <c r="G163" s="1094"/>
      <c r="H163" s="1094"/>
      <c r="I163" s="1094"/>
      <c r="J163" s="1094"/>
      <c r="K163" s="313" t="s">
        <v>184</v>
      </c>
      <c r="L163" s="508" t="s">
        <v>183</v>
      </c>
      <c r="M163" s="523" t="s">
        <v>188</v>
      </c>
      <c r="N163" s="499" t="s">
        <v>189</v>
      </c>
      <c r="O163" s="14"/>
      <c r="P163" s="59"/>
      <c r="Q163" s="59"/>
      <c r="R163" s="59"/>
      <c r="S163" s="59"/>
    </row>
    <row r="164" spans="1:22" s="101" customFormat="1" x14ac:dyDescent="0.25">
      <c r="A164" s="12"/>
      <c r="B164" s="952" t="s">
        <v>47</v>
      </c>
      <c r="C164" s="953"/>
      <c r="D164" s="953"/>
      <c r="E164" s="953"/>
      <c r="F164" s="953"/>
      <c r="G164" s="953"/>
      <c r="H164" s="953"/>
      <c r="I164" s="953"/>
      <c r="J164" s="953"/>
      <c r="K164" s="193">
        <f t="shared" ref="K164:N164" si="16">+K165+K171+K172+K173+K174</f>
        <v>15990.8</v>
      </c>
      <c r="L164" s="509">
        <f t="shared" si="16"/>
        <v>10431.199999999997</v>
      </c>
      <c r="M164" s="516">
        <f t="shared" si="16"/>
        <v>9173.1999999999971</v>
      </c>
      <c r="N164" s="500">
        <f t="shared" si="16"/>
        <v>9717.4999999999982</v>
      </c>
      <c r="O164" s="15"/>
      <c r="P164" s="58"/>
      <c r="Q164" s="58"/>
      <c r="R164" s="58"/>
      <c r="S164" s="58"/>
    </row>
    <row r="165" spans="1:22" s="101" customFormat="1" x14ac:dyDescent="0.25">
      <c r="A165" s="12"/>
      <c r="B165" s="1041" t="s">
        <v>150</v>
      </c>
      <c r="C165" s="1042"/>
      <c r="D165" s="1042"/>
      <c r="E165" s="1042"/>
      <c r="F165" s="1042"/>
      <c r="G165" s="1042"/>
      <c r="H165" s="1042"/>
      <c r="I165" s="1042"/>
      <c r="J165" s="1043"/>
      <c r="K165" s="258">
        <f>SUM(K166:K170)</f>
        <v>14542.399999999998</v>
      </c>
      <c r="L165" s="510">
        <f t="shared" ref="L165:N165" si="17">SUM(L166:L170)</f>
        <v>9715.1999999999971</v>
      </c>
      <c r="M165" s="517">
        <f t="shared" si="17"/>
        <v>9173.1999999999971</v>
      </c>
      <c r="N165" s="501">
        <f t="shared" si="17"/>
        <v>9717.4999999999982</v>
      </c>
      <c r="O165" s="15"/>
      <c r="P165" s="58"/>
      <c r="Q165" s="58"/>
      <c r="R165" s="58"/>
      <c r="S165" s="58"/>
    </row>
    <row r="166" spans="1:22" s="101" customFormat="1" ht="12.75" customHeight="1" x14ac:dyDescent="0.25">
      <c r="A166" s="12"/>
      <c r="B166" s="1091" t="s">
        <v>126</v>
      </c>
      <c r="C166" s="1092"/>
      <c r="D166" s="1092"/>
      <c r="E166" s="1092"/>
      <c r="F166" s="1092"/>
      <c r="G166" s="1092"/>
      <c r="H166" s="1092"/>
      <c r="I166" s="1092"/>
      <c r="J166" s="1092"/>
      <c r="K166" s="223">
        <f>SUMIF(J13:J156,"sb",K13:K156)</f>
        <v>10363.399999999998</v>
      </c>
      <c r="L166" s="256">
        <f>SUMIF(J13:J156,"sb",L13:L156)</f>
        <v>8173.3999999999978</v>
      </c>
      <c r="M166" s="478">
        <f>SUMIF(J13:J156,"sb",M13:M156)</f>
        <v>8842.7999999999975</v>
      </c>
      <c r="N166" s="502">
        <f>SUMIF(J13:J156,"sb",N13:N156)</f>
        <v>9387.0999999999985</v>
      </c>
      <c r="O166" s="66"/>
      <c r="P166" s="86"/>
      <c r="Q166" s="86"/>
      <c r="R166" s="86"/>
      <c r="S166" s="86"/>
    </row>
    <row r="167" spans="1:22" s="101" customFormat="1" ht="14.25" customHeight="1" x14ac:dyDescent="0.25">
      <c r="A167" s="12"/>
      <c r="B167" s="969" t="s">
        <v>111</v>
      </c>
      <c r="C167" s="970"/>
      <c r="D167" s="970"/>
      <c r="E167" s="970"/>
      <c r="F167" s="970"/>
      <c r="G167" s="970"/>
      <c r="H167" s="970"/>
      <c r="I167" s="970"/>
      <c r="J167" s="971"/>
      <c r="K167" s="223">
        <f>SUMIF(J13:J156,"sb(es)",K13:K156)</f>
        <v>553.6</v>
      </c>
      <c r="L167" s="256">
        <f>SUMIF(J13:J156,"sb(es)",L13:L156)</f>
        <v>32.600000000000009</v>
      </c>
      <c r="M167" s="478">
        <f>SUMIF(J13:J156,"sb(es)",M13:M156)</f>
        <v>0</v>
      </c>
      <c r="N167" s="502">
        <f>SUMIF(J13:J156,"sb(es)",N13:N156)</f>
        <v>0</v>
      </c>
      <c r="O167" s="66"/>
      <c r="P167" s="86"/>
      <c r="Q167" s="86"/>
      <c r="R167" s="86"/>
      <c r="S167" s="86"/>
    </row>
    <row r="168" spans="1:22" s="101" customFormat="1" ht="15.75" customHeight="1" x14ac:dyDescent="0.25">
      <c r="A168" s="12"/>
      <c r="B168" s="969" t="s">
        <v>112</v>
      </c>
      <c r="C168" s="970"/>
      <c r="D168" s="970"/>
      <c r="E168" s="970"/>
      <c r="F168" s="970"/>
      <c r="G168" s="970"/>
      <c r="H168" s="970"/>
      <c r="I168" s="970"/>
      <c r="J168" s="971"/>
      <c r="K168" s="223">
        <f>SUMIF(J13:J156,"sb(vb)",K13:K156)</f>
        <v>48.8</v>
      </c>
      <c r="L168" s="256">
        <f>SUMIF(J13:J156,"sb(vb)",L13:L156)</f>
        <v>2.8</v>
      </c>
      <c r="M168" s="478">
        <f>SUMIF(J13:J156,"sb(vb)",M13:M156)</f>
        <v>0</v>
      </c>
      <c r="N168" s="502">
        <f>SUMIF(J13:J156,"sb(vb)",N13:N156)</f>
        <v>0</v>
      </c>
      <c r="O168" s="66"/>
      <c r="P168" s="201"/>
      <c r="Q168" s="201"/>
      <c r="R168" s="201"/>
      <c r="S168" s="201"/>
    </row>
    <row r="169" spans="1:22" s="101" customFormat="1" ht="12.75" customHeight="1" x14ac:dyDescent="0.25">
      <c r="A169" s="12"/>
      <c r="B169" s="1100" t="s">
        <v>97</v>
      </c>
      <c r="C169" s="1101"/>
      <c r="D169" s="1101"/>
      <c r="E169" s="1101"/>
      <c r="F169" s="1101"/>
      <c r="G169" s="1101"/>
      <c r="H169" s="1101"/>
      <c r="I169" s="1101"/>
      <c r="J169" s="1101"/>
      <c r="K169" s="223">
        <f>SUMIF(J16:J157,"sb(p)",K16:K157)</f>
        <v>3245.8</v>
      </c>
      <c r="L169" s="256">
        <f>SUMIF(J16:J157,"sb(p)",L16:L157)</f>
        <v>1206.3</v>
      </c>
      <c r="M169" s="478">
        <f>SUMIF(J16:J157,"sb(p)",M16:M157)</f>
        <v>0</v>
      </c>
      <c r="N169" s="502">
        <f>SUMIF(J16:J157,"sb(p)",N16:N157)</f>
        <v>0</v>
      </c>
      <c r="O169" s="66"/>
      <c r="P169" s="201"/>
      <c r="Q169" s="201"/>
      <c r="R169" s="201"/>
      <c r="S169" s="201"/>
    </row>
    <row r="170" spans="1:22" s="101" customFormat="1" ht="15" customHeight="1" x14ac:dyDescent="0.25">
      <c r="A170" s="12"/>
      <c r="B170" s="969" t="s">
        <v>127</v>
      </c>
      <c r="C170" s="970"/>
      <c r="D170" s="970"/>
      <c r="E170" s="970"/>
      <c r="F170" s="970"/>
      <c r="G170" s="970"/>
      <c r="H170" s="970"/>
      <c r="I170" s="970"/>
      <c r="J170" s="970"/>
      <c r="K170" s="173">
        <f>SUMIF(J13:J156,"sb(sp)",K13:K156)</f>
        <v>330.8</v>
      </c>
      <c r="L170" s="511">
        <f>SUMIF(J13:J156,"sb(sp)",L13:L156)</f>
        <v>300.10000000000002</v>
      </c>
      <c r="M170" s="518">
        <f>SUMIF(J13:J156,"sb(sp)",M13:M156)</f>
        <v>330.4</v>
      </c>
      <c r="N170" s="503">
        <f>SUMIF(J13:J156,"sb(sp)",N13:N156)</f>
        <v>330.4</v>
      </c>
      <c r="O170" s="66"/>
      <c r="P170" s="201"/>
      <c r="Q170" s="201"/>
      <c r="R170" s="201"/>
      <c r="S170" s="201"/>
    </row>
    <row r="171" spans="1:22" s="101" customFormat="1" ht="14.25" customHeight="1" x14ac:dyDescent="0.25">
      <c r="A171" s="12"/>
      <c r="B171" s="955" t="s">
        <v>148</v>
      </c>
      <c r="C171" s="956"/>
      <c r="D171" s="956"/>
      <c r="E171" s="956"/>
      <c r="F171" s="956"/>
      <c r="G171" s="956"/>
      <c r="H171" s="956"/>
      <c r="I171" s="956"/>
      <c r="J171" s="957"/>
      <c r="K171" s="257">
        <f>SUMIF(J16:J157,"sb(esl)",K16:K157)</f>
        <v>360.7</v>
      </c>
      <c r="L171" s="512">
        <f>SUMIF(J16:J157,"sb(esl)",L16:L157)</f>
        <v>191.8</v>
      </c>
      <c r="M171" s="519">
        <f>SUMIF(J16:J157,"sb(esl)",M16:M157)</f>
        <v>0</v>
      </c>
      <c r="N171" s="504">
        <f>SUMIF(J16:J157,"sb(esl)",N16:N157)</f>
        <v>0</v>
      </c>
      <c r="O171" s="66"/>
      <c r="P171" s="86"/>
      <c r="Q171" s="86"/>
      <c r="R171" s="86"/>
      <c r="S171" s="86"/>
    </row>
    <row r="172" spans="1:22" s="101" customFormat="1" ht="15.75" customHeight="1" x14ac:dyDescent="0.25">
      <c r="A172" s="12"/>
      <c r="B172" s="955" t="s">
        <v>149</v>
      </c>
      <c r="C172" s="956"/>
      <c r="D172" s="956"/>
      <c r="E172" s="956"/>
      <c r="F172" s="956"/>
      <c r="G172" s="956"/>
      <c r="H172" s="956"/>
      <c r="I172" s="956"/>
      <c r="J172" s="957"/>
      <c r="K172" s="257">
        <f>SUMIF(J16:J157,"sb(vbl)",K16:K157)</f>
        <v>31.8</v>
      </c>
      <c r="L172" s="512">
        <f>SUMIF(J16:J157,"sb(vbl)",L16:L157)</f>
        <v>17</v>
      </c>
      <c r="M172" s="519">
        <f>SUMIF(J16:J157,"sb(vbl)",M16:M157)</f>
        <v>0</v>
      </c>
      <c r="N172" s="504">
        <f>SUMIF(J16:J157,"sb(vbl)",N16:N157)</f>
        <v>0</v>
      </c>
      <c r="O172" s="66"/>
      <c r="P172" s="201"/>
      <c r="Q172" s="201"/>
      <c r="R172" s="201"/>
      <c r="S172" s="201"/>
    </row>
    <row r="173" spans="1:22" s="101" customFormat="1" ht="12.75" customHeight="1" x14ac:dyDescent="0.25">
      <c r="A173" s="12"/>
      <c r="B173" s="962" t="s">
        <v>60</v>
      </c>
      <c r="C173" s="963"/>
      <c r="D173" s="963"/>
      <c r="E173" s="963"/>
      <c r="F173" s="963"/>
      <c r="G173" s="963"/>
      <c r="H173" s="963"/>
      <c r="I173" s="963"/>
      <c r="J173" s="963"/>
      <c r="K173" s="257">
        <f>SUMIF(J13:J156,"sb(l)",K13:K156)</f>
        <v>931.7</v>
      </c>
      <c r="L173" s="512">
        <f>SUMIF(J13:J156,"sb(l)",L13:L156)</f>
        <v>507.2</v>
      </c>
      <c r="M173" s="519">
        <f>SUMIF(J13:J156,"sb(l)",M13:M156)</f>
        <v>0</v>
      </c>
      <c r="N173" s="504">
        <f>SUMIF(J13:J156,"sb(l)",N13:N156)</f>
        <v>0</v>
      </c>
      <c r="O173" s="66"/>
      <c r="P173" s="201"/>
      <c r="Q173" s="201"/>
      <c r="R173" s="201"/>
      <c r="S173" s="201"/>
    </row>
    <row r="174" spans="1:22" s="101" customFormat="1" ht="15" customHeight="1" x14ac:dyDescent="0.25">
      <c r="A174" s="12"/>
      <c r="B174" s="955" t="s">
        <v>58</v>
      </c>
      <c r="C174" s="956"/>
      <c r="D174" s="956"/>
      <c r="E174" s="956"/>
      <c r="F174" s="956"/>
      <c r="G174" s="956"/>
      <c r="H174" s="956"/>
      <c r="I174" s="956"/>
      <c r="J174" s="957"/>
      <c r="K174" s="257">
        <f>SUMIF(J13:J156,"sb(spl)",K13:K156)</f>
        <v>124.2</v>
      </c>
      <c r="L174" s="512">
        <f>SUMIF(J13:J156,"sb(spl)",L13:L156)</f>
        <v>0</v>
      </c>
      <c r="M174" s="519">
        <f>SUMIF(J13:J156,"sb(spl)",M13:M156)</f>
        <v>0</v>
      </c>
      <c r="N174" s="504">
        <f>SUMIF(J13:J156,"sb(spl)",N13:N156)</f>
        <v>0</v>
      </c>
      <c r="O174" s="66"/>
      <c r="P174" s="201"/>
      <c r="Q174" s="201"/>
      <c r="R174" s="201"/>
      <c r="S174" s="201"/>
    </row>
    <row r="175" spans="1:22" s="101" customFormat="1" x14ac:dyDescent="0.25">
      <c r="A175" s="12"/>
      <c r="B175" s="952" t="s">
        <v>48</v>
      </c>
      <c r="C175" s="953"/>
      <c r="D175" s="953"/>
      <c r="E175" s="953"/>
      <c r="F175" s="953"/>
      <c r="G175" s="953"/>
      <c r="H175" s="953"/>
      <c r="I175" s="953"/>
      <c r="J175" s="954"/>
      <c r="K175" s="194">
        <f>SUM(K176:K177)</f>
        <v>160.69999999999999</v>
      </c>
      <c r="L175" s="513">
        <f t="shared" ref="L175:N175" si="18">SUM(L176:L177)</f>
        <v>0</v>
      </c>
      <c r="M175" s="520">
        <f t="shared" si="18"/>
        <v>0</v>
      </c>
      <c r="N175" s="505">
        <f t="shared" si="18"/>
        <v>3834</v>
      </c>
      <c r="O175" s="66"/>
      <c r="P175" s="202"/>
      <c r="Q175" s="202"/>
      <c r="R175" s="202"/>
      <c r="S175" s="202"/>
    </row>
    <row r="176" spans="1:22" s="101" customFormat="1" x14ac:dyDescent="0.25">
      <c r="A176" s="12"/>
      <c r="B176" s="1091" t="s">
        <v>49</v>
      </c>
      <c r="C176" s="1092"/>
      <c r="D176" s="1092"/>
      <c r="E176" s="1092"/>
      <c r="F176" s="1092"/>
      <c r="G176" s="1092"/>
      <c r="H176" s="1092"/>
      <c r="I176" s="1092"/>
      <c r="J176" s="1092"/>
      <c r="K176" s="261">
        <f>SUMIF(J13:J156,"lrvb",K13:K156)</f>
        <v>139.19999999999999</v>
      </c>
      <c r="L176" s="514">
        <f>SUMIF(J13:J156,"lrvb",L13:L156)</f>
        <v>0</v>
      </c>
      <c r="M176" s="521">
        <f>SUMIF(J13:J156,"lrvb",M13:M156)</f>
        <v>0</v>
      </c>
      <c r="N176" s="506">
        <f>SUMIF(J13:J156,"lrvb",N13:N156)</f>
        <v>3834</v>
      </c>
      <c r="O176" s="66"/>
      <c r="P176" s="204"/>
      <c r="Q176" s="204"/>
      <c r="R176" s="204"/>
      <c r="S176" s="204"/>
      <c r="V176" s="114"/>
    </row>
    <row r="177" spans="1:22" s="101" customFormat="1" x14ac:dyDescent="0.25">
      <c r="A177" s="12"/>
      <c r="B177" s="1088" t="s">
        <v>155</v>
      </c>
      <c r="C177" s="1089"/>
      <c r="D177" s="1089"/>
      <c r="E177" s="1089"/>
      <c r="F177" s="1089"/>
      <c r="G177" s="1089"/>
      <c r="H177" s="1089"/>
      <c r="I177" s="1089"/>
      <c r="J177" s="1090"/>
      <c r="K177" s="262">
        <f>SUMIF(J16:J157,"Kt",K16:K157)</f>
        <v>21.5</v>
      </c>
      <c r="L177" s="515">
        <f>SUMIF(J16:J157,"Kt",L16:L157)</f>
        <v>0</v>
      </c>
      <c r="M177" s="522">
        <f>SUMIF(J16:J157,"Kt",M16:M157)</f>
        <v>0</v>
      </c>
      <c r="N177" s="507">
        <f>SUMIF(J16:J157,"Kt",N16:N157)</f>
        <v>0</v>
      </c>
      <c r="O177" s="66"/>
      <c r="P177" s="204"/>
      <c r="Q177" s="204"/>
      <c r="R177" s="204"/>
      <c r="S177" s="204"/>
      <c r="V177" s="114"/>
    </row>
    <row r="178" spans="1:22" ht="13.8" thickBot="1" x14ac:dyDescent="0.3">
      <c r="A178" s="16"/>
      <c r="B178" s="949" t="s">
        <v>18</v>
      </c>
      <c r="C178" s="950"/>
      <c r="D178" s="950"/>
      <c r="E178" s="950"/>
      <c r="F178" s="950"/>
      <c r="G178" s="950"/>
      <c r="H178" s="950"/>
      <c r="I178" s="950"/>
      <c r="J178" s="951"/>
      <c r="K178" s="149">
        <f>K175+K164</f>
        <v>16151.5</v>
      </c>
      <c r="L178" s="438">
        <f t="shared" ref="L178:N178" si="19">L175+L164</f>
        <v>10431.199999999997</v>
      </c>
      <c r="M178" s="495">
        <f t="shared" si="19"/>
        <v>9173.1999999999971</v>
      </c>
      <c r="N178" s="490">
        <f t="shared" si="19"/>
        <v>13551.499999999998</v>
      </c>
      <c r="O178" s="66"/>
      <c r="P178" s="203"/>
      <c r="Q178" s="203"/>
      <c r="R178" s="203"/>
      <c r="S178" s="203"/>
    </row>
    <row r="179" spans="1:22" x14ac:dyDescent="0.25">
      <c r="F179" s="197" t="s">
        <v>74</v>
      </c>
      <c r="G179" s="197"/>
      <c r="H179" s="197"/>
      <c r="I179" s="197"/>
      <c r="J179" s="197"/>
    </row>
    <row r="180" spans="1:22" x14ac:dyDescent="0.25">
      <c r="K180" s="894">
        <f>+K178-K160</f>
        <v>0</v>
      </c>
      <c r="L180" s="894">
        <f t="shared" ref="L180:N180" si="20">+L178-L160</f>
        <v>0</v>
      </c>
      <c r="M180" s="894">
        <f t="shared" si="20"/>
        <v>0</v>
      </c>
      <c r="N180" s="894">
        <f t="shared" si="20"/>
        <v>0</v>
      </c>
    </row>
    <row r="181" spans="1:22" x14ac:dyDescent="0.25">
      <c r="J181" s="250"/>
      <c r="K181" s="487"/>
      <c r="L181" s="487"/>
      <c r="M181" s="487"/>
      <c r="N181" s="487"/>
      <c r="O181" s="250"/>
    </row>
    <row r="182" spans="1:22" x14ac:dyDescent="0.25">
      <c r="J182" s="250"/>
      <c r="K182" s="488"/>
      <c r="L182" s="488"/>
      <c r="M182" s="488"/>
      <c r="N182" s="488"/>
      <c r="O182" s="250"/>
    </row>
    <row r="183" spans="1:22" x14ac:dyDescent="0.25">
      <c r="J183" s="251"/>
      <c r="K183" s="489"/>
      <c r="L183" s="489"/>
      <c r="M183" s="489"/>
      <c r="N183" s="489"/>
      <c r="O183" s="250"/>
    </row>
    <row r="184" spans="1:22" x14ac:dyDescent="0.25">
      <c r="J184" s="251"/>
      <c r="K184" s="489"/>
      <c r="L184" s="489"/>
      <c r="M184" s="489"/>
      <c r="N184" s="489"/>
      <c r="O184" s="250"/>
    </row>
    <row r="185" spans="1:22" x14ac:dyDescent="0.25">
      <c r="J185" s="250"/>
      <c r="K185" s="488"/>
      <c r="L185" s="488"/>
      <c r="M185" s="488"/>
      <c r="N185" s="488"/>
      <c r="O185" s="250"/>
    </row>
  </sheetData>
  <mergeCells count="193">
    <mergeCell ref="S56:S57"/>
    <mergeCell ref="R58:R59"/>
    <mergeCell ref="O108:O109"/>
    <mergeCell ref="O80:O81"/>
    <mergeCell ref="I86:I88"/>
    <mergeCell ref="E86:E88"/>
    <mergeCell ref="C85:S85"/>
    <mergeCell ref="O84:S84"/>
    <mergeCell ref="Q69:Q70"/>
    <mergeCell ref="E80:E81"/>
    <mergeCell ref="K55:K56"/>
    <mergeCell ref="Q56:Q57"/>
    <mergeCell ref="R56:R57"/>
    <mergeCell ref="R69:R70"/>
    <mergeCell ref="D55:D56"/>
    <mergeCell ref="E76:E79"/>
    <mergeCell ref="I76:I77"/>
    <mergeCell ref="I72:I73"/>
    <mergeCell ref="E55:E57"/>
    <mergeCell ref="G74:G75"/>
    <mergeCell ref="O74:O75"/>
    <mergeCell ref="O56:O57"/>
    <mergeCell ref="I58:I59"/>
    <mergeCell ref="S58:S59"/>
    <mergeCell ref="B177:J177"/>
    <mergeCell ref="B176:J176"/>
    <mergeCell ref="B163:J163"/>
    <mergeCell ref="B86:B88"/>
    <mergeCell ref="C86:C88"/>
    <mergeCell ref="B170:J170"/>
    <mergeCell ref="O158:S158"/>
    <mergeCell ref="B159:J159"/>
    <mergeCell ref="B169:J169"/>
    <mergeCell ref="B166:J166"/>
    <mergeCell ref="B167:J167"/>
    <mergeCell ref="C156:C157"/>
    <mergeCell ref="D156:D157"/>
    <mergeCell ref="E154:E155"/>
    <mergeCell ref="I154:I155"/>
    <mergeCell ref="F156:F157"/>
    <mergeCell ref="P154:P155"/>
    <mergeCell ref="G143:G145"/>
    <mergeCell ref="I149:I150"/>
    <mergeCell ref="E131:E132"/>
    <mergeCell ref="O146:O148"/>
    <mergeCell ref="I1:S1"/>
    <mergeCell ref="E43:E45"/>
    <mergeCell ref="H20:H22"/>
    <mergeCell ref="C12:S12"/>
    <mergeCell ref="E13:E16"/>
    <mergeCell ref="F13:F16"/>
    <mergeCell ref="G13:G16"/>
    <mergeCell ref="S69:S70"/>
    <mergeCell ref="O7:O8"/>
    <mergeCell ref="G6:G8"/>
    <mergeCell ref="H6:H8"/>
    <mergeCell ref="J6:J8"/>
    <mergeCell ref="K6:K8"/>
    <mergeCell ref="L6:L8"/>
    <mergeCell ref="M6:M8"/>
    <mergeCell ref="N6:N8"/>
    <mergeCell ref="H13:H16"/>
    <mergeCell ref="C26:J26"/>
    <mergeCell ref="C17:C19"/>
    <mergeCell ref="H17:H19"/>
    <mergeCell ref="I17:I19"/>
    <mergeCell ref="F50:F54"/>
    <mergeCell ref="E40:E42"/>
    <mergeCell ref="J55:J56"/>
    <mergeCell ref="Q58:Q59"/>
    <mergeCell ref="A2:S2"/>
    <mergeCell ref="A20:A22"/>
    <mergeCell ref="B165:J165"/>
    <mergeCell ref="H156:H157"/>
    <mergeCell ref="C71:C73"/>
    <mergeCell ref="E71:E73"/>
    <mergeCell ref="F71:F73"/>
    <mergeCell ref="B162:N162"/>
    <mergeCell ref="B164:J164"/>
    <mergeCell ref="O134:O135"/>
    <mergeCell ref="F151:J151"/>
    <mergeCell ref="O152:S152"/>
    <mergeCell ref="O149:O151"/>
    <mergeCell ref="O76:O77"/>
    <mergeCell ref="G71:G73"/>
    <mergeCell ref="O72:O73"/>
    <mergeCell ref="I117:J117"/>
    <mergeCell ref="B156:B157"/>
    <mergeCell ref="P159:S159"/>
    <mergeCell ref="P160:S160"/>
    <mergeCell ref="O156:O157"/>
    <mergeCell ref="E149:E150"/>
    <mergeCell ref="O154:O155"/>
    <mergeCell ref="A3:S3"/>
    <mergeCell ref="A17:A19"/>
    <mergeCell ref="E17:E19"/>
    <mergeCell ref="F17:F19"/>
    <mergeCell ref="B11:S11"/>
    <mergeCell ref="O18:O19"/>
    <mergeCell ref="P21:P22"/>
    <mergeCell ref="A23:A25"/>
    <mergeCell ref="B23:B25"/>
    <mergeCell ref="C23:C25"/>
    <mergeCell ref="E23:E25"/>
    <mergeCell ref="O23:O25"/>
    <mergeCell ref="B17:B19"/>
    <mergeCell ref="R18:R19"/>
    <mergeCell ref="G20:G22"/>
    <mergeCell ref="G17:G19"/>
    <mergeCell ref="O15:O16"/>
    <mergeCell ref="O21:O22"/>
    <mergeCell ref="P5:S5"/>
    <mergeCell ref="A4:S4"/>
    <mergeCell ref="A6:A8"/>
    <mergeCell ref="B6:B8"/>
    <mergeCell ref="P7:S7"/>
    <mergeCell ref="C6:C8"/>
    <mergeCell ref="E6:E8"/>
    <mergeCell ref="F6:F8"/>
    <mergeCell ref="O6:S6"/>
    <mergeCell ref="E28:E29"/>
    <mergeCell ref="E30:E32"/>
    <mergeCell ref="A9:S9"/>
    <mergeCell ref="A10:S10"/>
    <mergeCell ref="I6:I8"/>
    <mergeCell ref="I28:I30"/>
    <mergeCell ref="O26:S26"/>
    <mergeCell ref="C27:S27"/>
    <mergeCell ref="B20:B22"/>
    <mergeCell ref="C20:C22"/>
    <mergeCell ref="E20:E22"/>
    <mergeCell ref="F20:F22"/>
    <mergeCell ref="F23:F25"/>
    <mergeCell ref="G23:G25"/>
    <mergeCell ref="A80:A81"/>
    <mergeCell ref="B80:B81"/>
    <mergeCell ref="C80:C81"/>
    <mergeCell ref="B178:J178"/>
    <mergeCell ref="B175:J175"/>
    <mergeCell ref="B174:J174"/>
    <mergeCell ref="I146:I148"/>
    <mergeCell ref="E92:E93"/>
    <mergeCell ref="G94:G95"/>
    <mergeCell ref="B173:J173"/>
    <mergeCell ref="C158:J158"/>
    <mergeCell ref="E156:E157"/>
    <mergeCell ref="I156:I157"/>
    <mergeCell ref="D146:D148"/>
    <mergeCell ref="D149:D150"/>
    <mergeCell ref="B171:J171"/>
    <mergeCell ref="B172:J172"/>
    <mergeCell ref="B168:J168"/>
    <mergeCell ref="C152:J152"/>
    <mergeCell ref="C153:O153"/>
    <mergeCell ref="I143:I145"/>
    <mergeCell ref="A161:S161"/>
    <mergeCell ref="P153:S153"/>
    <mergeCell ref="I104:I105"/>
    <mergeCell ref="A71:A73"/>
    <mergeCell ref="E74:E75"/>
    <mergeCell ref="H23:H25"/>
    <mergeCell ref="I23:I25"/>
    <mergeCell ref="E36:E38"/>
    <mergeCell ref="E46:E47"/>
    <mergeCell ref="B71:B73"/>
    <mergeCell ref="I74:I75"/>
    <mergeCell ref="E50:E54"/>
    <mergeCell ref="E69:E70"/>
    <mergeCell ref="E58:E59"/>
    <mergeCell ref="D43:D45"/>
    <mergeCell ref="I31:I35"/>
    <mergeCell ref="E106:E107"/>
    <mergeCell ref="E137:E138"/>
    <mergeCell ref="E146:E148"/>
    <mergeCell ref="O141:O142"/>
    <mergeCell ref="A82:A83"/>
    <mergeCell ref="B82:B83"/>
    <mergeCell ref="C82:C83"/>
    <mergeCell ref="O82:O83"/>
    <mergeCell ref="B89:B91"/>
    <mergeCell ref="C89:C91"/>
    <mergeCell ref="E89:E91"/>
    <mergeCell ref="I89:I91"/>
    <mergeCell ref="E82:E83"/>
    <mergeCell ref="O90:O91"/>
    <mergeCell ref="E143:E144"/>
    <mergeCell ref="E104:E105"/>
    <mergeCell ref="C84:J84"/>
    <mergeCell ref="E113:E114"/>
    <mergeCell ref="F113:F114"/>
    <mergeCell ref="O113:O114"/>
    <mergeCell ref="E116:E117"/>
    <mergeCell ref="O106:O107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61" orientation="portrait" r:id="rId1"/>
  <rowBreaks count="1" manualBreakCount="1">
    <brk id="52" max="1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44"/>
  <sheetViews>
    <sheetView topLeftCell="A47" zoomScaleNormal="100" zoomScaleSheetLayoutView="50" workbookViewId="0">
      <selection activeCell="V59" sqref="V59"/>
    </sheetView>
  </sheetViews>
  <sheetFormatPr defaultColWidth="9.109375" defaultRowHeight="13.2" x14ac:dyDescent="0.25"/>
  <cols>
    <col min="1" max="1" width="3.109375" style="195" customWidth="1"/>
    <col min="2" max="4" width="3.109375" style="196" customWidth="1"/>
    <col min="5" max="5" width="28.33203125" style="195" customWidth="1"/>
    <col min="6" max="6" width="3" style="198" customWidth="1"/>
    <col min="7" max="7" width="3" style="199" hidden="1" customWidth="1"/>
    <col min="8" max="8" width="3" style="196" hidden="1" customWidth="1"/>
    <col min="9" max="9" width="16" style="196" customWidth="1"/>
    <col min="10" max="10" width="7.109375" style="195" customWidth="1"/>
    <col min="11" max="13" width="7.5546875" style="195" customWidth="1"/>
    <col min="14" max="14" width="24.6640625" style="195" customWidth="1"/>
    <col min="15" max="15" width="5.6640625" style="196" customWidth="1"/>
    <col min="16" max="16" width="29.88671875" style="195" customWidth="1"/>
    <col min="17" max="16384" width="9.109375" style="195"/>
  </cols>
  <sheetData>
    <row r="1" spans="1:22" ht="15.6" x14ac:dyDescent="0.3">
      <c r="N1" s="452" t="s">
        <v>165</v>
      </c>
    </row>
    <row r="2" spans="1:22" s="28" customFormat="1" ht="57.75" customHeight="1" x14ac:dyDescent="0.3">
      <c r="A2" s="26"/>
      <c r="B2" s="27"/>
      <c r="C2" s="27"/>
      <c r="D2" s="27"/>
      <c r="E2" s="26"/>
      <c r="F2" s="133"/>
      <c r="G2" s="68"/>
      <c r="H2" s="41"/>
      <c r="I2" s="1143" t="s">
        <v>162</v>
      </c>
      <c r="J2" s="1143"/>
      <c r="K2" s="1143"/>
      <c r="L2" s="1143"/>
      <c r="M2" s="1143"/>
      <c r="N2" s="1143"/>
      <c r="O2" s="1143"/>
    </row>
    <row r="3" spans="1:22" s="101" customFormat="1" ht="14.25" customHeight="1" x14ac:dyDescent="0.25">
      <c r="A3" s="1040" t="s">
        <v>161</v>
      </c>
      <c r="B3" s="1040"/>
      <c r="C3" s="1040"/>
      <c r="D3" s="1040"/>
      <c r="E3" s="1040"/>
      <c r="F3" s="1040"/>
      <c r="G3" s="1040"/>
      <c r="H3" s="1040"/>
      <c r="I3" s="1040"/>
      <c r="J3" s="1040"/>
      <c r="K3" s="1040"/>
      <c r="L3" s="1040"/>
      <c r="M3" s="1040"/>
      <c r="N3" s="1040"/>
      <c r="O3" s="1040"/>
      <c r="P3" s="101" t="s">
        <v>54</v>
      </c>
    </row>
    <row r="4" spans="1:22" s="101" customFormat="1" ht="14.25" customHeight="1" x14ac:dyDescent="0.25">
      <c r="A4" s="1014" t="s">
        <v>0</v>
      </c>
      <c r="B4" s="1014"/>
      <c r="C4" s="1014"/>
      <c r="D4" s="1014"/>
      <c r="E4" s="1014"/>
      <c r="F4" s="1014"/>
      <c r="G4" s="1014"/>
      <c r="H4" s="1014"/>
      <c r="I4" s="1014"/>
      <c r="J4" s="1014"/>
      <c r="K4" s="1014"/>
      <c r="L4" s="1014"/>
      <c r="M4" s="1014"/>
      <c r="N4" s="1014"/>
      <c r="O4" s="1014"/>
    </row>
    <row r="5" spans="1:22" s="101" customFormat="1" ht="14.25" customHeight="1" x14ac:dyDescent="0.25">
      <c r="A5" s="1028" t="s">
        <v>1</v>
      </c>
      <c r="B5" s="1028"/>
      <c r="C5" s="1028"/>
      <c r="D5" s="1028"/>
      <c r="E5" s="1028"/>
      <c r="F5" s="1028"/>
      <c r="G5" s="1028"/>
      <c r="H5" s="1028"/>
      <c r="I5" s="1028"/>
      <c r="J5" s="1028"/>
      <c r="K5" s="1028"/>
      <c r="L5" s="1028"/>
      <c r="M5" s="1028"/>
      <c r="N5" s="1028"/>
      <c r="O5" s="1028"/>
    </row>
    <row r="6" spans="1:22" s="101" customFormat="1" ht="21.75" customHeight="1" thickBot="1" x14ac:dyDescent="0.3">
      <c r="A6" s="1"/>
      <c r="B6" s="1"/>
      <c r="C6" s="1"/>
      <c r="D6" s="1"/>
      <c r="E6" s="143"/>
      <c r="F6" s="134"/>
      <c r="G6" s="69"/>
      <c r="H6" s="143"/>
      <c r="I6" s="143"/>
      <c r="J6" s="143"/>
      <c r="K6" s="2"/>
      <c r="L6" s="2"/>
      <c r="M6" s="2"/>
      <c r="N6" s="307"/>
      <c r="O6" s="308" t="s">
        <v>114</v>
      </c>
    </row>
    <row r="7" spans="1:22" s="101" customFormat="1" ht="22.5" customHeight="1" x14ac:dyDescent="0.25">
      <c r="A7" s="1029" t="s">
        <v>2</v>
      </c>
      <c r="B7" s="1032" t="s">
        <v>3</v>
      </c>
      <c r="C7" s="1032" t="s">
        <v>4</v>
      </c>
      <c r="D7" s="83"/>
      <c r="E7" s="983" t="s">
        <v>5</v>
      </c>
      <c r="F7" s="985" t="s">
        <v>6</v>
      </c>
      <c r="G7" s="1073" t="s">
        <v>72</v>
      </c>
      <c r="H7" s="1076" t="s">
        <v>7</v>
      </c>
      <c r="I7" s="999" t="s">
        <v>116</v>
      </c>
      <c r="J7" s="1078" t="s">
        <v>8</v>
      </c>
      <c r="K7" s="1081" t="s">
        <v>75</v>
      </c>
      <c r="L7" s="1140" t="s">
        <v>168</v>
      </c>
      <c r="M7" s="1148" t="s">
        <v>163</v>
      </c>
      <c r="N7" s="987" t="s">
        <v>9</v>
      </c>
      <c r="O7" s="988"/>
      <c r="P7" s="1190" t="s">
        <v>164</v>
      </c>
    </row>
    <row r="8" spans="1:22" s="101" customFormat="1" ht="16.5" customHeight="1" x14ac:dyDescent="0.25">
      <c r="A8" s="1030"/>
      <c r="B8" s="1033"/>
      <c r="C8" s="1033"/>
      <c r="D8" s="84"/>
      <c r="E8" s="984"/>
      <c r="F8" s="986"/>
      <c r="G8" s="1074"/>
      <c r="H8" s="1077"/>
      <c r="I8" s="1000"/>
      <c r="J8" s="1079"/>
      <c r="K8" s="1082"/>
      <c r="L8" s="1141"/>
      <c r="M8" s="1149"/>
      <c r="N8" s="1072" t="s">
        <v>5</v>
      </c>
      <c r="O8" s="391" t="s">
        <v>10</v>
      </c>
      <c r="P8" s="1191"/>
    </row>
    <row r="9" spans="1:22" s="101" customFormat="1" ht="82.5" customHeight="1" thickBot="1" x14ac:dyDescent="0.3">
      <c r="A9" s="1144"/>
      <c r="B9" s="1145"/>
      <c r="C9" s="1145"/>
      <c r="D9" s="448"/>
      <c r="E9" s="1146"/>
      <c r="F9" s="1147"/>
      <c r="G9" s="1075"/>
      <c r="H9" s="1138"/>
      <c r="I9" s="1001"/>
      <c r="J9" s="1080"/>
      <c r="K9" s="1083"/>
      <c r="L9" s="1142"/>
      <c r="M9" s="1150"/>
      <c r="N9" s="1139"/>
      <c r="O9" s="392" t="s">
        <v>76</v>
      </c>
      <c r="P9" s="1191"/>
    </row>
    <row r="10" spans="1:22" s="101" customFormat="1" ht="15.75" customHeight="1" x14ac:dyDescent="0.25">
      <c r="A10" s="1151" t="s">
        <v>11</v>
      </c>
      <c r="B10" s="994"/>
      <c r="C10" s="994"/>
      <c r="D10" s="994"/>
      <c r="E10" s="994"/>
      <c r="F10" s="994"/>
      <c r="G10" s="994"/>
      <c r="H10" s="994"/>
      <c r="I10" s="994"/>
      <c r="J10" s="994"/>
      <c r="K10" s="994"/>
      <c r="L10" s="994"/>
      <c r="M10" s="994"/>
      <c r="N10" s="994"/>
      <c r="O10" s="994"/>
      <c r="P10" s="444"/>
    </row>
    <row r="11" spans="1:22" s="101" customFormat="1" ht="15.75" customHeight="1" x14ac:dyDescent="0.25">
      <c r="A11" s="996" t="s">
        <v>12</v>
      </c>
      <c r="B11" s="997"/>
      <c r="C11" s="997"/>
      <c r="D11" s="997"/>
      <c r="E11" s="997"/>
      <c r="F11" s="997"/>
      <c r="G11" s="997"/>
      <c r="H11" s="997"/>
      <c r="I11" s="997"/>
      <c r="J11" s="997"/>
      <c r="K11" s="997"/>
      <c r="L11" s="997"/>
      <c r="M11" s="997"/>
      <c r="N11" s="997"/>
      <c r="O11" s="997"/>
      <c r="P11" s="431"/>
    </row>
    <row r="12" spans="1:22" s="101" customFormat="1" ht="15.75" customHeight="1" x14ac:dyDescent="0.25">
      <c r="A12" s="132" t="s">
        <v>13</v>
      </c>
      <c r="B12" s="1015" t="s">
        <v>14</v>
      </c>
      <c r="C12" s="1015"/>
      <c r="D12" s="1015"/>
      <c r="E12" s="1015"/>
      <c r="F12" s="1015"/>
      <c r="G12" s="1015"/>
      <c r="H12" s="1015"/>
      <c r="I12" s="1015"/>
      <c r="J12" s="1015"/>
      <c r="K12" s="1016"/>
      <c r="L12" s="1016"/>
      <c r="M12" s="1016"/>
      <c r="N12" s="1016"/>
      <c r="O12" s="1016"/>
      <c r="P12" s="432"/>
      <c r="Q12" s="116"/>
      <c r="R12" s="116"/>
      <c r="S12" s="116"/>
      <c r="T12" s="116"/>
      <c r="U12" s="116"/>
      <c r="V12" s="116"/>
    </row>
    <row r="13" spans="1:22" s="101" customFormat="1" ht="15.75" customHeight="1" thickBot="1" x14ac:dyDescent="0.3">
      <c r="A13" s="345" t="s">
        <v>13</v>
      </c>
      <c r="B13" s="131" t="s">
        <v>13</v>
      </c>
      <c r="C13" s="1067" t="s">
        <v>15</v>
      </c>
      <c r="D13" s="1068"/>
      <c r="E13" s="1068"/>
      <c r="F13" s="1068"/>
      <c r="G13" s="1068"/>
      <c r="H13" s="1068"/>
      <c r="I13" s="1068"/>
      <c r="J13" s="1068"/>
      <c r="K13" s="1068"/>
      <c r="L13" s="1068"/>
      <c r="M13" s="1152"/>
      <c r="N13" s="1068"/>
      <c r="O13" s="1068"/>
      <c r="P13" s="432"/>
      <c r="Q13" s="116"/>
      <c r="R13" s="116"/>
      <c r="S13" s="116"/>
      <c r="T13" s="116"/>
      <c r="U13" s="116"/>
      <c r="V13" s="116"/>
    </row>
    <row r="14" spans="1:22" s="101" customFormat="1" ht="42" customHeight="1" x14ac:dyDescent="0.25">
      <c r="A14" s="47" t="s">
        <v>13</v>
      </c>
      <c r="B14" s="117" t="s">
        <v>13</v>
      </c>
      <c r="C14" s="120" t="s">
        <v>13</v>
      </c>
      <c r="D14" s="338"/>
      <c r="E14" s="908" t="s">
        <v>124</v>
      </c>
      <c r="F14" s="1009" t="s">
        <v>53</v>
      </c>
      <c r="G14" s="1012">
        <v>11020306</v>
      </c>
      <c r="H14" s="936" t="s">
        <v>16</v>
      </c>
      <c r="I14" s="347" t="s">
        <v>137</v>
      </c>
      <c r="J14" s="65" t="s">
        <v>17</v>
      </c>
      <c r="K14" s="148">
        <f>149.8+202.5-149.8</f>
        <v>202.5</v>
      </c>
      <c r="L14" s="76">
        <f>149.8+202.5-149.8</f>
        <v>202.5</v>
      </c>
      <c r="M14" s="154"/>
      <c r="N14" s="94" t="s">
        <v>120</v>
      </c>
      <c r="O14" s="393">
        <v>1</v>
      </c>
      <c r="P14" s="431"/>
    </row>
    <row r="15" spans="1:22" s="101" customFormat="1" ht="29.25" customHeight="1" x14ac:dyDescent="0.25">
      <c r="A15" s="48"/>
      <c r="B15" s="118"/>
      <c r="C15" s="121"/>
      <c r="D15" s="339"/>
      <c r="E15" s="944"/>
      <c r="F15" s="1010"/>
      <c r="G15" s="1013"/>
      <c r="H15" s="937"/>
      <c r="I15" s="170"/>
      <c r="J15" s="65" t="s">
        <v>17</v>
      </c>
      <c r="K15" s="200">
        <f>120</f>
        <v>120</v>
      </c>
      <c r="L15" s="328">
        <f>120</f>
        <v>120</v>
      </c>
      <c r="M15" s="200"/>
      <c r="N15" s="290" t="s">
        <v>77</v>
      </c>
      <c r="O15" s="394">
        <v>1</v>
      </c>
      <c r="P15" s="431"/>
      <c r="Q15" s="114"/>
      <c r="S15" s="114"/>
      <c r="U15" s="114"/>
    </row>
    <row r="16" spans="1:22" s="101" customFormat="1" ht="16.5" customHeight="1" x14ac:dyDescent="0.25">
      <c r="A16" s="48"/>
      <c r="B16" s="118"/>
      <c r="C16" s="121"/>
      <c r="D16" s="339"/>
      <c r="E16" s="331"/>
      <c r="F16" s="1010"/>
      <c r="G16" s="1013"/>
      <c r="H16" s="937"/>
      <c r="I16" s="170"/>
      <c r="J16" s="65" t="s">
        <v>17</v>
      </c>
      <c r="K16" s="166">
        <v>18.600000000000001</v>
      </c>
      <c r="L16" s="78">
        <v>18.600000000000001</v>
      </c>
      <c r="M16" s="200"/>
      <c r="N16" s="1153" t="s">
        <v>142</v>
      </c>
      <c r="O16" s="394">
        <v>1</v>
      </c>
      <c r="P16" s="431"/>
      <c r="Q16" s="114"/>
      <c r="S16" s="114"/>
      <c r="U16" s="114"/>
    </row>
    <row r="17" spans="1:22" s="101" customFormat="1" ht="16.5" customHeight="1" thickBot="1" x14ac:dyDescent="0.3">
      <c r="A17" s="49"/>
      <c r="B17" s="119"/>
      <c r="C17" s="122"/>
      <c r="D17" s="281"/>
      <c r="E17" s="34"/>
      <c r="F17" s="1011"/>
      <c r="G17" s="1026"/>
      <c r="H17" s="1066"/>
      <c r="I17" s="171"/>
      <c r="J17" s="351" t="s">
        <v>18</v>
      </c>
      <c r="K17" s="149">
        <f>SUM(K14:K16)</f>
        <v>341.1</v>
      </c>
      <c r="L17" s="438">
        <f>SUM(L14:L16)</f>
        <v>341.1</v>
      </c>
      <c r="M17" s="309"/>
      <c r="N17" s="1154"/>
      <c r="O17" s="395"/>
      <c r="P17" s="431"/>
      <c r="R17" s="114"/>
    </row>
    <row r="18" spans="1:22" s="101" customFormat="1" ht="30" customHeight="1" x14ac:dyDescent="0.25">
      <c r="A18" s="933" t="s">
        <v>13</v>
      </c>
      <c r="B18" s="904" t="s">
        <v>13</v>
      </c>
      <c r="C18" s="1006" t="s">
        <v>19</v>
      </c>
      <c r="D18" s="338"/>
      <c r="E18" s="908" t="s">
        <v>52</v>
      </c>
      <c r="F18" s="1009"/>
      <c r="G18" s="1012">
        <v>11020307</v>
      </c>
      <c r="H18" s="936" t="s">
        <v>16</v>
      </c>
      <c r="I18" s="939" t="s">
        <v>137</v>
      </c>
      <c r="J18" s="6" t="s">
        <v>17</v>
      </c>
      <c r="K18" s="153">
        <v>13</v>
      </c>
      <c r="L18" s="439">
        <v>13</v>
      </c>
      <c r="M18" s="153"/>
      <c r="N18" s="335" t="s">
        <v>20</v>
      </c>
      <c r="O18" s="396">
        <v>20</v>
      </c>
      <c r="P18" s="431"/>
      <c r="S18" s="114"/>
    </row>
    <row r="19" spans="1:22" s="101" customFormat="1" ht="15" customHeight="1" x14ac:dyDescent="0.25">
      <c r="A19" s="934"/>
      <c r="B19" s="942"/>
      <c r="C19" s="1007"/>
      <c r="D19" s="339"/>
      <c r="E19" s="944"/>
      <c r="F19" s="1010"/>
      <c r="G19" s="1013"/>
      <c r="H19" s="937"/>
      <c r="I19" s="918"/>
      <c r="J19" s="23"/>
      <c r="K19" s="298"/>
      <c r="L19" s="440"/>
      <c r="M19" s="449"/>
      <c r="N19" s="1018" t="s">
        <v>107</v>
      </c>
      <c r="O19" s="397">
        <v>500</v>
      </c>
      <c r="P19" s="431"/>
      <c r="Q19" s="114"/>
    </row>
    <row r="20" spans="1:22" s="101" customFormat="1" ht="15" customHeight="1" thickBot="1" x14ac:dyDescent="0.3">
      <c r="A20" s="934"/>
      <c r="B20" s="942"/>
      <c r="C20" s="1007"/>
      <c r="D20" s="339"/>
      <c r="E20" s="944"/>
      <c r="F20" s="1010"/>
      <c r="G20" s="1013"/>
      <c r="H20" s="938"/>
      <c r="I20" s="919"/>
      <c r="J20" s="341" t="s">
        <v>18</v>
      </c>
      <c r="K20" s="149">
        <f>+K18</f>
        <v>13</v>
      </c>
      <c r="L20" s="438">
        <f>+L18</f>
        <v>13</v>
      </c>
      <c r="M20" s="451"/>
      <c r="N20" s="1019"/>
      <c r="O20" s="398"/>
      <c r="P20" s="431"/>
      <c r="Q20" s="114"/>
    </row>
    <row r="21" spans="1:22" s="101" customFormat="1" ht="30" customHeight="1" x14ac:dyDescent="0.25">
      <c r="A21" s="933" t="s">
        <v>13</v>
      </c>
      <c r="B21" s="904" t="s">
        <v>13</v>
      </c>
      <c r="C21" s="1006" t="s">
        <v>21</v>
      </c>
      <c r="D21" s="338"/>
      <c r="E21" s="908" t="s">
        <v>82</v>
      </c>
      <c r="F21" s="1009"/>
      <c r="G21" s="1012">
        <v>11020310</v>
      </c>
      <c r="H21" s="936" t="s">
        <v>16</v>
      </c>
      <c r="I21" s="347" t="s">
        <v>137</v>
      </c>
      <c r="J21" s="6" t="s">
        <v>17</v>
      </c>
      <c r="K21" s="153">
        <v>66.099999999999994</v>
      </c>
      <c r="L21" s="439">
        <v>66.099999999999994</v>
      </c>
      <c r="M21" s="450"/>
      <c r="N21" s="291" t="s">
        <v>64</v>
      </c>
      <c r="O21" s="399">
        <v>1300</v>
      </c>
      <c r="P21" s="431"/>
    </row>
    <row r="22" spans="1:22" s="101" customFormat="1" ht="38.25" customHeight="1" x14ac:dyDescent="0.25">
      <c r="A22" s="934"/>
      <c r="B22" s="942"/>
      <c r="C22" s="1007"/>
      <c r="D22" s="339"/>
      <c r="E22" s="944"/>
      <c r="F22" s="1010"/>
      <c r="G22" s="1013"/>
      <c r="H22" s="937"/>
      <c r="I22" s="348"/>
      <c r="J22" s="115" t="s">
        <v>17</v>
      </c>
      <c r="K22" s="200">
        <v>23.7</v>
      </c>
      <c r="L22" s="328">
        <v>23.7</v>
      </c>
      <c r="M22" s="200"/>
      <c r="N22" s="1018" t="s">
        <v>83</v>
      </c>
      <c r="O22" s="1163">
        <v>21</v>
      </c>
      <c r="P22" s="431"/>
      <c r="S22" s="114"/>
    </row>
    <row r="23" spans="1:22" s="101" customFormat="1" ht="18" customHeight="1" thickBot="1" x14ac:dyDescent="0.3">
      <c r="A23" s="935"/>
      <c r="B23" s="905"/>
      <c r="C23" s="1008"/>
      <c r="D23" s="281"/>
      <c r="E23" s="909"/>
      <c r="F23" s="1011"/>
      <c r="G23" s="1026"/>
      <c r="H23" s="1066"/>
      <c r="I23" s="349"/>
      <c r="J23" s="341" t="s">
        <v>18</v>
      </c>
      <c r="K23" s="149">
        <f>SUM(K21:K22)</f>
        <v>89.8</v>
      </c>
      <c r="L23" s="438">
        <f>SUM(L21:L22)</f>
        <v>89.8</v>
      </c>
      <c r="M23" s="149"/>
      <c r="N23" s="1019"/>
      <c r="O23" s="1164"/>
      <c r="P23" s="431"/>
      <c r="T23" s="114"/>
    </row>
    <row r="24" spans="1:22" s="101" customFormat="1" ht="28.5" customHeight="1" x14ac:dyDescent="0.25">
      <c r="A24" s="933" t="s">
        <v>13</v>
      </c>
      <c r="B24" s="904" t="s">
        <v>13</v>
      </c>
      <c r="C24" s="1006" t="s">
        <v>32</v>
      </c>
      <c r="D24" s="338"/>
      <c r="E24" s="908" t="s">
        <v>99</v>
      </c>
      <c r="F24" s="1009"/>
      <c r="G24" s="1155">
        <v>11020310</v>
      </c>
      <c r="H24" s="1157" t="s">
        <v>16</v>
      </c>
      <c r="I24" s="347" t="s">
        <v>137</v>
      </c>
      <c r="J24" s="103" t="s">
        <v>17</v>
      </c>
      <c r="K24" s="154">
        <v>14</v>
      </c>
      <c r="L24" s="441">
        <v>14</v>
      </c>
      <c r="M24" s="223"/>
      <c r="N24" s="1159" t="s">
        <v>67</v>
      </c>
      <c r="O24" s="1160">
        <v>1</v>
      </c>
      <c r="P24" s="431"/>
      <c r="S24" s="114"/>
    </row>
    <row r="25" spans="1:22" s="101" customFormat="1" ht="15.75" customHeight="1" thickBot="1" x14ac:dyDescent="0.3">
      <c r="A25" s="935"/>
      <c r="B25" s="905"/>
      <c r="C25" s="1007"/>
      <c r="D25" s="281"/>
      <c r="E25" s="944"/>
      <c r="F25" s="1010"/>
      <c r="G25" s="1156"/>
      <c r="H25" s="1158"/>
      <c r="I25" s="171"/>
      <c r="J25" s="341" t="s">
        <v>18</v>
      </c>
      <c r="K25" s="149">
        <f>SUM(K24:K24)</f>
        <v>14</v>
      </c>
      <c r="L25" s="438">
        <f>SUM(L24:L24)</f>
        <v>14</v>
      </c>
      <c r="M25" s="149"/>
      <c r="N25" s="1019"/>
      <c r="O25" s="1161"/>
      <c r="P25" s="431"/>
    </row>
    <row r="26" spans="1:22" s="101" customFormat="1" ht="15.75" customHeight="1" thickBot="1" x14ac:dyDescent="0.3">
      <c r="A26" s="42" t="s">
        <v>13</v>
      </c>
      <c r="B26" s="10" t="s">
        <v>13</v>
      </c>
      <c r="C26" s="964" t="s">
        <v>22</v>
      </c>
      <c r="D26" s="964"/>
      <c r="E26" s="964"/>
      <c r="F26" s="964"/>
      <c r="G26" s="964"/>
      <c r="H26" s="964"/>
      <c r="I26" s="964"/>
      <c r="J26" s="964"/>
      <c r="K26" s="172">
        <f>+K25+K23+K20+K17</f>
        <v>457.90000000000003</v>
      </c>
      <c r="L26" s="172">
        <f>+L25+L23+L20+L17</f>
        <v>457.90000000000003</v>
      </c>
      <c r="M26" s="442"/>
      <c r="N26" s="1002"/>
      <c r="O26" s="1002"/>
      <c r="P26" s="431"/>
    </row>
    <row r="27" spans="1:22" s="101" customFormat="1" ht="16.5" customHeight="1" thickBot="1" x14ac:dyDescent="0.3">
      <c r="A27" s="42" t="s">
        <v>13</v>
      </c>
      <c r="B27" s="10" t="s">
        <v>19</v>
      </c>
      <c r="C27" s="1004" t="s">
        <v>23</v>
      </c>
      <c r="D27" s="1004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P27" s="431"/>
      <c r="S27" s="114"/>
      <c r="T27" s="114"/>
    </row>
    <row r="28" spans="1:22" s="101" customFormat="1" ht="14.25" customHeight="1" x14ac:dyDescent="0.25">
      <c r="A28" s="336" t="s">
        <v>13</v>
      </c>
      <c r="B28" s="324" t="s">
        <v>19</v>
      </c>
      <c r="C28" s="4" t="s">
        <v>13</v>
      </c>
      <c r="D28" s="338"/>
      <c r="E28" s="990" t="s">
        <v>24</v>
      </c>
      <c r="F28" s="135"/>
      <c r="G28" s="70"/>
      <c r="H28" s="241">
        <v>2</v>
      </c>
      <c r="I28" s="939" t="s">
        <v>137</v>
      </c>
      <c r="J28" s="167" t="s">
        <v>25</v>
      </c>
      <c r="K28" s="76">
        <f>330.8</f>
        <v>330.8</v>
      </c>
      <c r="L28" s="76">
        <f>330.8</f>
        <v>330.8</v>
      </c>
      <c r="M28" s="76"/>
      <c r="N28" s="1134"/>
      <c r="O28" s="400"/>
      <c r="P28" s="431"/>
    </row>
    <row r="29" spans="1:22" s="101" customFormat="1" ht="14.25" customHeight="1" x14ac:dyDescent="0.25">
      <c r="A29" s="337"/>
      <c r="B29" s="325"/>
      <c r="C29" s="4"/>
      <c r="D29" s="339"/>
      <c r="E29" s="991"/>
      <c r="F29" s="135"/>
      <c r="G29" s="71"/>
      <c r="H29" s="244"/>
      <c r="I29" s="918"/>
      <c r="J29" s="157" t="s">
        <v>50</v>
      </c>
      <c r="K29" s="78">
        <v>124.2</v>
      </c>
      <c r="L29" s="78">
        <v>124.2</v>
      </c>
      <c r="M29" s="79"/>
      <c r="N29" s="1162"/>
      <c r="O29" s="401"/>
      <c r="P29" s="431"/>
    </row>
    <row r="30" spans="1:22" s="101" customFormat="1" ht="16.5" customHeight="1" x14ac:dyDescent="0.25">
      <c r="A30" s="337"/>
      <c r="B30" s="325"/>
      <c r="C30" s="4"/>
      <c r="D30" s="363" t="s">
        <v>13</v>
      </c>
      <c r="E30" s="940" t="s">
        <v>26</v>
      </c>
      <c r="F30" s="135"/>
      <c r="G30" s="92">
        <v>11030201</v>
      </c>
      <c r="H30" s="244"/>
      <c r="I30" s="246"/>
      <c r="J30" s="156" t="s">
        <v>17</v>
      </c>
      <c r="K30" s="78">
        <v>1669.5</v>
      </c>
      <c r="L30" s="78">
        <v>1669.5</v>
      </c>
      <c r="M30" s="78"/>
      <c r="N30" s="127" t="s">
        <v>98</v>
      </c>
      <c r="O30" s="402">
        <v>891</v>
      </c>
      <c r="P30" s="200"/>
      <c r="Q30" s="100"/>
      <c r="S30" s="145"/>
      <c r="T30" s="87"/>
      <c r="U30" s="87"/>
      <c r="V30" s="114"/>
    </row>
    <row r="31" spans="1:22" s="101" customFormat="1" ht="30" customHeight="1" x14ac:dyDescent="0.25">
      <c r="A31" s="337"/>
      <c r="B31" s="325"/>
      <c r="C31" s="4"/>
      <c r="D31" s="339"/>
      <c r="E31" s="941"/>
      <c r="F31" s="135"/>
      <c r="G31" s="71"/>
      <c r="H31" s="244"/>
      <c r="I31" s="246"/>
      <c r="J31" s="155"/>
      <c r="K31" s="79"/>
      <c r="L31" s="79"/>
      <c r="M31" s="79"/>
      <c r="N31" s="127" t="s">
        <v>113</v>
      </c>
      <c r="O31" s="402">
        <v>19</v>
      </c>
      <c r="P31" s="200"/>
      <c r="S31" s="145"/>
      <c r="T31" s="87"/>
      <c r="U31" s="87"/>
      <c r="V31" s="114"/>
    </row>
    <row r="32" spans="1:22" s="101" customFormat="1" ht="16.5" customHeight="1" x14ac:dyDescent="0.25">
      <c r="A32" s="337"/>
      <c r="B32" s="325"/>
      <c r="C32" s="4"/>
      <c r="D32" s="339"/>
      <c r="E32" s="941"/>
      <c r="F32" s="135"/>
      <c r="G32" s="71"/>
      <c r="H32" s="244"/>
      <c r="I32" s="246"/>
      <c r="J32" s="155"/>
      <c r="K32" s="79"/>
      <c r="L32" s="79"/>
      <c r="M32" s="79"/>
      <c r="N32" s="95" t="s">
        <v>108</v>
      </c>
      <c r="O32" s="402">
        <v>12</v>
      </c>
      <c r="P32" s="200"/>
    </row>
    <row r="33" spans="1:22" s="101" customFormat="1" ht="30" customHeight="1" x14ac:dyDescent="0.25">
      <c r="A33" s="337"/>
      <c r="B33" s="325"/>
      <c r="C33" s="4"/>
      <c r="D33" s="339"/>
      <c r="E33" s="352"/>
      <c r="F33" s="135"/>
      <c r="G33" s="71"/>
      <c r="H33" s="244"/>
      <c r="I33" s="246"/>
      <c r="J33" s="155"/>
      <c r="K33" s="79"/>
      <c r="L33" s="79"/>
      <c r="M33" s="79"/>
      <c r="N33" s="356" t="s">
        <v>85</v>
      </c>
      <c r="O33" s="402">
        <v>11626</v>
      </c>
      <c r="P33" s="431"/>
      <c r="R33" s="114"/>
      <c r="S33" s="114"/>
      <c r="U33" s="114"/>
    </row>
    <row r="34" spans="1:22" s="101" customFormat="1" ht="28.5" customHeight="1" x14ac:dyDescent="0.25">
      <c r="A34" s="337"/>
      <c r="B34" s="325"/>
      <c r="C34" s="4"/>
      <c r="D34" s="339" t="s">
        <v>19</v>
      </c>
      <c r="E34" s="941" t="s">
        <v>27</v>
      </c>
      <c r="F34" s="135"/>
      <c r="G34" s="71">
        <v>11030301</v>
      </c>
      <c r="H34" s="244"/>
      <c r="I34" s="246"/>
      <c r="J34" s="156" t="s">
        <v>17</v>
      </c>
      <c r="K34" s="78">
        <v>730.2</v>
      </c>
      <c r="L34" s="78">
        <v>730.2</v>
      </c>
      <c r="M34" s="78"/>
      <c r="N34" s="95" t="s">
        <v>98</v>
      </c>
      <c r="O34" s="403">
        <v>575</v>
      </c>
      <c r="P34" s="431"/>
      <c r="Q34" s="114"/>
    </row>
    <row r="35" spans="1:22" s="101" customFormat="1" ht="28.5" customHeight="1" x14ac:dyDescent="0.25">
      <c r="A35" s="337"/>
      <c r="B35" s="325"/>
      <c r="C35" s="4"/>
      <c r="D35" s="339"/>
      <c r="E35" s="941"/>
      <c r="F35" s="135"/>
      <c r="G35" s="71"/>
      <c r="H35" s="244"/>
      <c r="I35" s="246"/>
      <c r="J35" s="155"/>
      <c r="K35" s="79"/>
      <c r="L35" s="79"/>
      <c r="M35" s="79"/>
      <c r="N35" s="127" t="s">
        <v>113</v>
      </c>
      <c r="O35" s="404">
        <v>12</v>
      </c>
      <c r="P35" s="431"/>
      <c r="Q35" s="114"/>
    </row>
    <row r="36" spans="1:22" s="101" customFormat="1" ht="15" customHeight="1" x14ac:dyDescent="0.25">
      <c r="A36" s="337"/>
      <c r="B36" s="325"/>
      <c r="C36" s="340"/>
      <c r="D36" s="339"/>
      <c r="E36" s="941"/>
      <c r="F36" s="135"/>
      <c r="G36" s="71"/>
      <c r="H36" s="244"/>
      <c r="I36" s="246"/>
      <c r="J36" s="155"/>
      <c r="K36" s="79"/>
      <c r="L36" s="79"/>
      <c r="M36" s="79"/>
      <c r="N36" s="294" t="s">
        <v>109</v>
      </c>
      <c r="O36" s="403">
        <v>1</v>
      </c>
      <c r="P36" s="431"/>
      <c r="Q36" s="114"/>
    </row>
    <row r="37" spans="1:22" s="101" customFormat="1" ht="30" customHeight="1" x14ac:dyDescent="0.25">
      <c r="A37" s="337"/>
      <c r="B37" s="325"/>
      <c r="C37" s="4"/>
      <c r="D37" s="339"/>
      <c r="E37" s="352"/>
      <c r="F37" s="135"/>
      <c r="G37" s="71"/>
      <c r="H37" s="244"/>
      <c r="I37" s="246"/>
      <c r="J37" s="155"/>
      <c r="K37" s="79"/>
      <c r="L37" s="79"/>
      <c r="M37" s="79"/>
      <c r="N37" s="95" t="s">
        <v>85</v>
      </c>
      <c r="O37" s="405">
        <v>80</v>
      </c>
      <c r="P37" s="431"/>
      <c r="Q37" s="114"/>
    </row>
    <row r="38" spans="1:22" s="101" customFormat="1" ht="29.25" customHeight="1" x14ac:dyDescent="0.25">
      <c r="A38" s="337"/>
      <c r="B38" s="325"/>
      <c r="C38" s="4"/>
      <c r="D38" s="363" t="s">
        <v>21</v>
      </c>
      <c r="E38" s="940" t="s">
        <v>28</v>
      </c>
      <c r="F38" s="135"/>
      <c r="G38" s="72">
        <v>11030401</v>
      </c>
      <c r="H38" s="244"/>
      <c r="I38" s="246"/>
      <c r="J38" s="156" t="s">
        <v>17</v>
      </c>
      <c r="K38" s="78">
        <v>507.5</v>
      </c>
      <c r="L38" s="78">
        <v>507.5</v>
      </c>
      <c r="M38" s="78"/>
      <c r="N38" s="95" t="s">
        <v>98</v>
      </c>
      <c r="O38" s="403">
        <v>596</v>
      </c>
      <c r="P38" s="431"/>
      <c r="R38" s="114"/>
      <c r="S38" s="114"/>
    </row>
    <row r="39" spans="1:22" s="101" customFormat="1" ht="29.25" customHeight="1" x14ac:dyDescent="0.25">
      <c r="A39" s="337"/>
      <c r="B39" s="325"/>
      <c r="C39" s="4"/>
      <c r="D39" s="339"/>
      <c r="E39" s="941"/>
      <c r="F39" s="135"/>
      <c r="G39" s="72"/>
      <c r="H39" s="244"/>
      <c r="I39" s="246"/>
      <c r="J39" s="155"/>
      <c r="K39" s="79"/>
      <c r="L39" s="79"/>
      <c r="M39" s="79"/>
      <c r="N39" s="127" t="s">
        <v>113</v>
      </c>
      <c r="O39" s="403">
        <v>8</v>
      </c>
      <c r="P39" s="431"/>
      <c r="R39" s="114"/>
      <c r="S39" s="114"/>
    </row>
    <row r="40" spans="1:22" s="101" customFormat="1" ht="24.75" customHeight="1" x14ac:dyDescent="0.25">
      <c r="A40" s="337"/>
      <c r="B40" s="325"/>
      <c r="C40" s="340"/>
      <c r="D40" s="282"/>
      <c r="E40" s="1085"/>
      <c r="F40" s="135"/>
      <c r="G40" s="92"/>
      <c r="H40" s="244"/>
      <c r="I40" s="246"/>
      <c r="J40" s="160"/>
      <c r="K40" s="256"/>
      <c r="L40" s="256"/>
      <c r="M40" s="256"/>
      <c r="N40" s="295" t="s">
        <v>84</v>
      </c>
      <c r="O40" s="403">
        <v>6782</v>
      </c>
      <c r="P40" s="431"/>
      <c r="R40" s="114"/>
      <c r="S40" s="114"/>
    </row>
    <row r="41" spans="1:22" s="101" customFormat="1" ht="29.25" customHeight="1" x14ac:dyDescent="0.25">
      <c r="A41" s="337"/>
      <c r="B41" s="325"/>
      <c r="C41" s="4"/>
      <c r="D41" s="947" t="s">
        <v>32</v>
      </c>
      <c r="E41" s="941" t="s">
        <v>29</v>
      </c>
      <c r="F41" s="135"/>
      <c r="G41" s="277">
        <v>11030501</v>
      </c>
      <c r="H41" s="244"/>
      <c r="I41" s="246"/>
      <c r="J41" s="155" t="s">
        <v>17</v>
      </c>
      <c r="K41" s="79">
        <v>573.20000000000005</v>
      </c>
      <c r="L41" s="79">
        <v>573.20000000000005</v>
      </c>
      <c r="M41" s="79"/>
      <c r="N41" s="360" t="s">
        <v>98</v>
      </c>
      <c r="O41" s="405">
        <v>690</v>
      </c>
      <c r="P41" s="431"/>
      <c r="T41" s="114"/>
      <c r="V41" s="114"/>
    </row>
    <row r="42" spans="1:22" s="101" customFormat="1" ht="29.25" customHeight="1" x14ac:dyDescent="0.25">
      <c r="A42" s="337"/>
      <c r="B42" s="325"/>
      <c r="C42" s="4"/>
      <c r="D42" s="947"/>
      <c r="E42" s="941"/>
      <c r="F42" s="135"/>
      <c r="G42" s="72"/>
      <c r="H42" s="244"/>
      <c r="I42" s="246"/>
      <c r="J42" s="155"/>
      <c r="K42" s="79"/>
      <c r="L42" s="79"/>
      <c r="M42" s="79"/>
      <c r="N42" s="126" t="s">
        <v>113</v>
      </c>
      <c r="O42" s="405">
        <v>10</v>
      </c>
      <c r="P42" s="431"/>
      <c r="R42" s="114"/>
      <c r="T42" s="114"/>
      <c r="V42" s="114"/>
    </row>
    <row r="43" spans="1:22" s="101" customFormat="1" ht="29.25" customHeight="1" x14ac:dyDescent="0.25">
      <c r="A43" s="337"/>
      <c r="B43" s="325"/>
      <c r="C43" s="4"/>
      <c r="D43" s="947"/>
      <c r="E43" s="941"/>
      <c r="F43" s="135"/>
      <c r="G43" s="72"/>
      <c r="H43" s="244"/>
      <c r="I43" s="246"/>
      <c r="J43" s="155"/>
      <c r="K43" s="79"/>
      <c r="L43" s="79"/>
      <c r="M43" s="79"/>
      <c r="N43" s="295" t="s">
        <v>84</v>
      </c>
      <c r="O43" s="405">
        <v>6395</v>
      </c>
      <c r="P43" s="431"/>
      <c r="T43" s="114"/>
      <c r="V43" s="114"/>
    </row>
    <row r="44" spans="1:22" s="101" customFormat="1" ht="15.75" customHeight="1" x14ac:dyDescent="0.25">
      <c r="A44" s="337"/>
      <c r="B44" s="325"/>
      <c r="C44" s="4"/>
      <c r="D44" s="363" t="s">
        <v>51</v>
      </c>
      <c r="E44" s="940" t="s">
        <v>57</v>
      </c>
      <c r="F44" s="136"/>
      <c r="G44" s="72">
        <v>11030801</v>
      </c>
      <c r="H44" s="244"/>
      <c r="I44" s="246"/>
      <c r="J44" s="156" t="s">
        <v>17</v>
      </c>
      <c r="K44" s="78">
        <f>805.1</f>
        <v>805.1</v>
      </c>
      <c r="L44" s="78">
        <f>805.1</f>
        <v>805.1</v>
      </c>
      <c r="M44" s="78"/>
      <c r="N44" s="95" t="s">
        <v>98</v>
      </c>
      <c r="O44" s="406">
        <v>320</v>
      </c>
      <c r="P44" s="431"/>
      <c r="R44" s="114"/>
    </row>
    <row r="45" spans="1:22" s="101" customFormat="1" ht="29.25" customHeight="1" x14ac:dyDescent="0.25">
      <c r="A45" s="337"/>
      <c r="B45" s="325"/>
      <c r="C45" s="4"/>
      <c r="D45" s="339"/>
      <c r="E45" s="941"/>
      <c r="F45" s="135"/>
      <c r="G45" s="92"/>
      <c r="H45" s="244"/>
      <c r="I45" s="246"/>
      <c r="J45" s="156" t="s">
        <v>59</v>
      </c>
      <c r="K45" s="78">
        <v>20</v>
      </c>
      <c r="L45" s="78">
        <v>20</v>
      </c>
      <c r="M45" s="78"/>
      <c r="N45" s="127" t="s">
        <v>113</v>
      </c>
      <c r="O45" s="407">
        <v>10</v>
      </c>
      <c r="P45" s="431"/>
      <c r="R45" s="114"/>
    </row>
    <row r="46" spans="1:22" s="101" customFormat="1" ht="30" customHeight="1" x14ac:dyDescent="0.25">
      <c r="A46" s="337"/>
      <c r="B46" s="325"/>
      <c r="C46" s="4"/>
      <c r="D46" s="339"/>
      <c r="E46" s="352"/>
      <c r="F46" s="135"/>
      <c r="G46" s="92"/>
      <c r="H46" s="244"/>
      <c r="I46" s="246"/>
      <c r="J46" s="155"/>
      <c r="K46" s="79"/>
      <c r="L46" s="79"/>
      <c r="M46" s="79"/>
      <c r="N46" s="36" t="s">
        <v>159</v>
      </c>
      <c r="O46" s="408">
        <v>1</v>
      </c>
      <c r="P46" s="431"/>
    </row>
    <row r="47" spans="1:22" s="101" customFormat="1" ht="15" customHeight="1" x14ac:dyDescent="0.25">
      <c r="A47" s="337"/>
      <c r="B47" s="325"/>
      <c r="C47" s="4"/>
      <c r="D47" s="339"/>
      <c r="E47" s="352"/>
      <c r="F47" s="135"/>
      <c r="G47" s="92"/>
      <c r="H47" s="244"/>
      <c r="I47" s="246"/>
      <c r="J47" s="155"/>
      <c r="K47" s="79"/>
      <c r="L47" s="79"/>
      <c r="M47" s="79"/>
      <c r="N47" s="36" t="s">
        <v>121</v>
      </c>
      <c r="O47" s="408">
        <v>1</v>
      </c>
      <c r="P47" s="431"/>
    </row>
    <row r="48" spans="1:22" s="101" customFormat="1" ht="16.5" customHeight="1" x14ac:dyDescent="0.25">
      <c r="A48" s="337"/>
      <c r="B48" s="325"/>
      <c r="C48" s="4"/>
      <c r="D48" s="363" t="s">
        <v>80</v>
      </c>
      <c r="E48" s="943" t="s">
        <v>55</v>
      </c>
      <c r="F48" s="1084" t="s">
        <v>106</v>
      </c>
      <c r="G48" s="342">
        <v>11020101</v>
      </c>
      <c r="H48" s="244"/>
      <c r="I48" s="246"/>
      <c r="J48" s="156" t="s">
        <v>17</v>
      </c>
      <c r="K48" s="78">
        <v>766.2</v>
      </c>
      <c r="L48" s="78">
        <v>766.2</v>
      </c>
      <c r="M48" s="78"/>
      <c r="N48" s="127" t="s">
        <v>103</v>
      </c>
      <c r="O48" s="403">
        <v>15</v>
      </c>
      <c r="P48" s="431"/>
      <c r="Q48" s="114"/>
      <c r="R48" s="114"/>
    </row>
    <row r="49" spans="1:20" s="101" customFormat="1" ht="15.75" customHeight="1" x14ac:dyDescent="0.25">
      <c r="A49" s="337"/>
      <c r="B49" s="325"/>
      <c r="C49" s="4"/>
      <c r="D49" s="339"/>
      <c r="E49" s="944"/>
      <c r="F49" s="1084"/>
      <c r="G49" s="343"/>
      <c r="H49" s="244"/>
      <c r="I49" s="246"/>
      <c r="J49" s="155"/>
      <c r="K49" s="79"/>
      <c r="L49" s="79"/>
      <c r="M49" s="79"/>
      <c r="N49" s="296" t="s">
        <v>109</v>
      </c>
      <c r="O49" s="403">
        <v>1</v>
      </c>
      <c r="P49" s="431"/>
      <c r="Q49" s="114"/>
    </row>
    <row r="50" spans="1:20" s="101" customFormat="1" ht="29.25" customHeight="1" x14ac:dyDescent="0.25">
      <c r="A50" s="337"/>
      <c r="B50" s="325"/>
      <c r="C50" s="4"/>
      <c r="D50" s="1130" t="s">
        <v>81</v>
      </c>
      <c r="E50" s="895" t="s">
        <v>70</v>
      </c>
      <c r="F50" s="135"/>
      <c r="G50" s="71">
        <v>11020102</v>
      </c>
      <c r="H50" s="244"/>
      <c r="I50" s="247"/>
      <c r="J50" s="1086" t="s">
        <v>17</v>
      </c>
      <c r="K50" s="1165">
        <v>224.2</v>
      </c>
      <c r="L50" s="1165">
        <v>224.2</v>
      </c>
      <c r="M50" s="328"/>
      <c r="N50" s="126" t="s">
        <v>104</v>
      </c>
      <c r="O50" s="403">
        <v>4</v>
      </c>
      <c r="P50" s="431"/>
      <c r="Q50" s="114"/>
    </row>
    <row r="51" spans="1:20" s="101" customFormat="1" ht="27" customHeight="1" x14ac:dyDescent="0.25">
      <c r="A51" s="337"/>
      <c r="B51" s="325"/>
      <c r="C51" s="4"/>
      <c r="D51" s="1131"/>
      <c r="E51" s="916"/>
      <c r="F51" s="135"/>
      <c r="G51" s="71"/>
      <c r="H51" s="244"/>
      <c r="I51" s="247"/>
      <c r="J51" s="1087"/>
      <c r="K51" s="1166"/>
      <c r="L51" s="1166"/>
      <c r="M51" s="370"/>
      <c r="N51" s="1056" t="s">
        <v>123</v>
      </c>
      <c r="O51" s="402">
        <v>20378</v>
      </c>
      <c r="P51" s="431"/>
      <c r="Q51" s="114"/>
    </row>
    <row r="52" spans="1:20" s="101" customFormat="1" ht="15.75" customHeight="1" thickBot="1" x14ac:dyDescent="0.3">
      <c r="A52" s="280"/>
      <c r="B52" s="329"/>
      <c r="C52" s="5"/>
      <c r="D52" s="281"/>
      <c r="E52" s="917"/>
      <c r="F52" s="137"/>
      <c r="G52" s="260"/>
      <c r="H52" s="259"/>
      <c r="I52" s="248"/>
      <c r="J52" s="168" t="s">
        <v>18</v>
      </c>
      <c r="K52" s="77">
        <f>SUM(K28:K51)</f>
        <v>5750.9</v>
      </c>
      <c r="L52" s="77">
        <f>SUM(L28:L51)</f>
        <v>5750.9</v>
      </c>
      <c r="M52" s="371"/>
      <c r="N52" s="1057"/>
      <c r="O52" s="395"/>
      <c r="P52" s="431"/>
    </row>
    <row r="53" spans="1:20" s="101" customFormat="1" ht="17.25" customHeight="1" x14ac:dyDescent="0.25">
      <c r="A53" s="43" t="s">
        <v>13</v>
      </c>
      <c r="B53" s="324" t="s">
        <v>19</v>
      </c>
      <c r="C53" s="3" t="s">
        <v>19</v>
      </c>
      <c r="D53" s="338"/>
      <c r="E53" s="945" t="s">
        <v>100</v>
      </c>
      <c r="F53" s="174"/>
      <c r="G53" s="175"/>
      <c r="H53" s="241" t="s">
        <v>16</v>
      </c>
      <c r="I53" s="939" t="s">
        <v>137</v>
      </c>
      <c r="J53" s="6"/>
      <c r="K53" s="292"/>
      <c r="L53" s="292"/>
      <c r="M53" s="372"/>
      <c r="N53" s="327" t="s">
        <v>101</v>
      </c>
      <c r="O53" s="396">
        <v>100</v>
      </c>
      <c r="P53" s="431"/>
      <c r="Q53" s="114"/>
      <c r="R53" s="114"/>
    </row>
    <row r="54" spans="1:20" s="101" customFormat="1" ht="12.75" customHeight="1" x14ac:dyDescent="0.25">
      <c r="A54" s="44"/>
      <c r="B54" s="325"/>
      <c r="C54" s="4"/>
      <c r="D54" s="339"/>
      <c r="E54" s="946"/>
      <c r="F54" s="176"/>
      <c r="G54" s="177"/>
      <c r="H54" s="244"/>
      <c r="I54" s="918"/>
      <c r="J54" s="23"/>
      <c r="K54" s="224"/>
      <c r="L54" s="224"/>
      <c r="M54" s="79"/>
      <c r="N54" s="271"/>
      <c r="O54" s="409"/>
      <c r="P54" s="431"/>
    </row>
    <row r="55" spans="1:20" s="101" customFormat="1" ht="30.75" customHeight="1" x14ac:dyDescent="0.25">
      <c r="A55" s="45"/>
      <c r="B55" s="30"/>
      <c r="C55" s="7"/>
      <c r="D55" s="339"/>
      <c r="E55" s="274" t="s">
        <v>30</v>
      </c>
      <c r="F55" s="176"/>
      <c r="G55" s="178">
        <v>11030608</v>
      </c>
      <c r="H55" s="62"/>
      <c r="I55" s="158"/>
      <c r="J55" s="115" t="s">
        <v>17</v>
      </c>
      <c r="K55" s="200">
        <f>458.4+10</f>
        <v>468.4</v>
      </c>
      <c r="L55" s="200">
        <f>458.4+10</f>
        <v>468.4</v>
      </c>
      <c r="M55" s="328"/>
      <c r="N55" s="126" t="s">
        <v>68</v>
      </c>
      <c r="O55" s="397">
        <v>215</v>
      </c>
      <c r="P55" s="431"/>
      <c r="R55" s="114"/>
      <c r="T55" s="114"/>
    </row>
    <row r="56" spans="1:20" s="101" customFormat="1" ht="30" customHeight="1" x14ac:dyDescent="0.25">
      <c r="A56" s="44"/>
      <c r="B56" s="325"/>
      <c r="C56" s="4"/>
      <c r="D56" s="339"/>
      <c r="E56" s="8" t="s">
        <v>86</v>
      </c>
      <c r="F56" s="176"/>
      <c r="G56" s="179">
        <v>1102020101</v>
      </c>
      <c r="H56" s="244"/>
      <c r="I56" s="246"/>
      <c r="J56" s="23" t="s">
        <v>17</v>
      </c>
      <c r="K56" s="200">
        <v>88</v>
      </c>
      <c r="L56" s="200">
        <v>88</v>
      </c>
      <c r="M56" s="256"/>
      <c r="N56" s="272" t="s">
        <v>67</v>
      </c>
      <c r="O56" s="410">
        <v>30</v>
      </c>
      <c r="P56" s="431"/>
      <c r="Q56" s="114" t="s">
        <v>54</v>
      </c>
      <c r="R56" s="114"/>
    </row>
    <row r="57" spans="1:20" s="101" customFormat="1" ht="30" customHeight="1" x14ac:dyDescent="0.25">
      <c r="A57" s="44"/>
      <c r="B57" s="325"/>
      <c r="C57" s="4"/>
      <c r="D57" s="339"/>
      <c r="E57" s="274" t="s">
        <v>87</v>
      </c>
      <c r="F57" s="176"/>
      <c r="G57" s="180"/>
      <c r="H57" s="244"/>
      <c r="I57" s="246"/>
      <c r="J57" s="65" t="s">
        <v>17</v>
      </c>
      <c r="K57" s="200">
        <v>46</v>
      </c>
      <c r="L57" s="200">
        <v>46</v>
      </c>
      <c r="M57" s="256"/>
      <c r="N57" s="272" t="s">
        <v>67</v>
      </c>
      <c r="O57" s="397">
        <v>30</v>
      </c>
      <c r="P57" s="431"/>
      <c r="Q57" s="114"/>
      <c r="R57" s="114"/>
      <c r="S57" s="114"/>
    </row>
    <row r="58" spans="1:20" s="101" customFormat="1" ht="75.75" customHeight="1" x14ac:dyDescent="0.25">
      <c r="A58" s="44"/>
      <c r="B58" s="325"/>
      <c r="C58" s="4"/>
      <c r="D58" s="339"/>
      <c r="E58" s="274" t="s">
        <v>88</v>
      </c>
      <c r="F58" s="181"/>
      <c r="G58" s="178">
        <v>11020204</v>
      </c>
      <c r="H58" s="244"/>
      <c r="I58" s="246"/>
      <c r="J58" s="65" t="s">
        <v>17</v>
      </c>
      <c r="K58" s="200">
        <v>76</v>
      </c>
      <c r="L58" s="445">
        <f>76-14</f>
        <v>62</v>
      </c>
      <c r="M58" s="446">
        <f>+L58-K58</f>
        <v>-14</v>
      </c>
      <c r="N58" s="344" t="s">
        <v>105</v>
      </c>
      <c r="O58" s="447" t="s">
        <v>166</v>
      </c>
      <c r="P58" s="464" t="s">
        <v>167</v>
      </c>
      <c r="Q58" s="114"/>
      <c r="S58" s="114"/>
    </row>
    <row r="59" spans="1:20" s="101" customFormat="1" ht="27.75" customHeight="1" x14ac:dyDescent="0.25">
      <c r="A59" s="44"/>
      <c r="B59" s="325"/>
      <c r="C59" s="4"/>
      <c r="D59" s="339"/>
      <c r="E59" s="274" t="s">
        <v>31</v>
      </c>
      <c r="F59" s="181"/>
      <c r="G59" s="182">
        <v>11020202</v>
      </c>
      <c r="H59" s="244"/>
      <c r="I59" s="246"/>
      <c r="J59" s="65" t="s">
        <v>17</v>
      </c>
      <c r="K59" s="166">
        <v>35</v>
      </c>
      <c r="L59" s="166">
        <v>35</v>
      </c>
      <c r="M59" s="78"/>
      <c r="N59" s="225" t="s">
        <v>117</v>
      </c>
      <c r="O59" s="397">
        <v>320</v>
      </c>
      <c r="P59" s="465"/>
      <c r="Q59" s="114"/>
    </row>
    <row r="60" spans="1:20" s="101" customFormat="1" ht="27.75" customHeight="1" x14ac:dyDescent="0.25">
      <c r="A60" s="44"/>
      <c r="B60" s="325"/>
      <c r="C60" s="4"/>
      <c r="D60" s="339"/>
      <c r="E60" s="275"/>
      <c r="F60" s="181"/>
      <c r="G60" s="183"/>
      <c r="H60" s="244"/>
      <c r="I60" s="246"/>
      <c r="J60" s="115" t="s">
        <v>36</v>
      </c>
      <c r="K60" s="200">
        <v>18.600000000000001</v>
      </c>
      <c r="L60" s="200">
        <v>18.600000000000001</v>
      </c>
      <c r="M60" s="78"/>
      <c r="N60" s="225" t="s">
        <v>118</v>
      </c>
      <c r="O60" s="397">
        <v>14</v>
      </c>
      <c r="P60" s="465"/>
      <c r="Q60" s="114"/>
    </row>
    <row r="61" spans="1:20" s="101" customFormat="1" ht="71.25" customHeight="1" x14ac:dyDescent="0.25">
      <c r="A61" s="44"/>
      <c r="B61" s="325"/>
      <c r="C61" s="4"/>
      <c r="D61" s="339"/>
      <c r="E61" s="274" t="s">
        <v>135</v>
      </c>
      <c r="F61" s="181"/>
      <c r="G61" s="183"/>
      <c r="H61" s="244"/>
      <c r="I61" s="246"/>
      <c r="J61" s="65" t="s">
        <v>17</v>
      </c>
      <c r="K61" s="245">
        <v>582</v>
      </c>
      <c r="L61" s="463">
        <f>582+14</f>
        <v>596</v>
      </c>
      <c r="M61" s="463">
        <f>+L61-K61</f>
        <v>14</v>
      </c>
      <c r="N61" s="225" t="s">
        <v>95</v>
      </c>
      <c r="O61" s="411">
        <v>2.9</v>
      </c>
      <c r="P61" s="464" t="s">
        <v>167</v>
      </c>
      <c r="Q61" s="114"/>
    </row>
    <row r="62" spans="1:20" s="101" customFormat="1" ht="15.75" customHeight="1" x14ac:dyDescent="0.25">
      <c r="A62" s="44"/>
      <c r="B62" s="325"/>
      <c r="C62" s="4"/>
      <c r="D62" s="339"/>
      <c r="E62" s="895" t="s">
        <v>136</v>
      </c>
      <c r="F62" s="181"/>
      <c r="G62" s="183"/>
      <c r="H62" s="244"/>
      <c r="I62" s="246"/>
      <c r="J62" s="115" t="s">
        <v>17</v>
      </c>
      <c r="K62" s="230">
        <v>3.3</v>
      </c>
      <c r="L62" s="230">
        <v>3.3</v>
      </c>
      <c r="M62" s="230"/>
      <c r="N62" s="225" t="s">
        <v>91</v>
      </c>
      <c r="O62" s="397">
        <v>116</v>
      </c>
      <c r="P62" s="431"/>
      <c r="Q62" s="114"/>
    </row>
    <row r="63" spans="1:20" s="101" customFormat="1" ht="15" customHeight="1" thickBot="1" x14ac:dyDescent="0.3">
      <c r="A63" s="46"/>
      <c r="B63" s="329"/>
      <c r="C63" s="5"/>
      <c r="D63" s="281"/>
      <c r="E63" s="917"/>
      <c r="F63" s="184"/>
      <c r="G63" s="232"/>
      <c r="H63" s="259"/>
      <c r="I63" s="249"/>
      <c r="J63" s="341" t="s">
        <v>18</v>
      </c>
      <c r="K63" s="149">
        <f>SUM(K55:K62)</f>
        <v>1317.3</v>
      </c>
      <c r="L63" s="149">
        <f>SUM(L55:L62)</f>
        <v>1317.3</v>
      </c>
      <c r="M63" s="369"/>
      <c r="N63" s="129"/>
      <c r="O63" s="395"/>
      <c r="P63" s="431"/>
      <c r="Q63" s="114"/>
      <c r="R63" s="114"/>
    </row>
    <row r="64" spans="1:20" s="101" customFormat="1" ht="28.5" customHeight="1" x14ac:dyDescent="0.25">
      <c r="A64" s="933" t="s">
        <v>13</v>
      </c>
      <c r="B64" s="904" t="s">
        <v>19</v>
      </c>
      <c r="C64" s="1006" t="s">
        <v>21</v>
      </c>
      <c r="D64" s="338"/>
      <c r="E64" s="908" t="s">
        <v>73</v>
      </c>
      <c r="F64" s="1009"/>
      <c r="G64" s="1012">
        <v>11020310</v>
      </c>
      <c r="H64" s="350" t="s">
        <v>16</v>
      </c>
      <c r="I64" s="347" t="s">
        <v>137</v>
      </c>
      <c r="J64" s="6" t="s">
        <v>17</v>
      </c>
      <c r="K64" s="148">
        <v>109</v>
      </c>
      <c r="L64" s="148">
        <v>109</v>
      </c>
      <c r="M64" s="76"/>
      <c r="N64" s="82" t="s">
        <v>71</v>
      </c>
      <c r="O64" s="412">
        <v>10523</v>
      </c>
      <c r="P64" s="431"/>
      <c r="R64" s="114"/>
    </row>
    <row r="65" spans="1:20" s="101" customFormat="1" ht="16.5" customHeight="1" x14ac:dyDescent="0.25">
      <c r="A65" s="934"/>
      <c r="B65" s="942"/>
      <c r="C65" s="1007"/>
      <c r="D65" s="339"/>
      <c r="E65" s="944"/>
      <c r="F65" s="1010"/>
      <c r="G65" s="1013"/>
      <c r="H65" s="238">
        <v>3</v>
      </c>
      <c r="I65" s="977" t="s">
        <v>139</v>
      </c>
      <c r="J65" s="115" t="s">
        <v>17</v>
      </c>
      <c r="K65" s="293">
        <v>10.4</v>
      </c>
      <c r="L65" s="293">
        <v>10.4</v>
      </c>
      <c r="M65" s="293"/>
      <c r="N65" s="1056" t="s">
        <v>132</v>
      </c>
      <c r="O65" s="413">
        <v>152</v>
      </c>
      <c r="P65" s="431"/>
      <c r="R65" s="114"/>
    </row>
    <row r="66" spans="1:20" s="101" customFormat="1" ht="16.5" customHeight="1" thickBot="1" x14ac:dyDescent="0.3">
      <c r="A66" s="935"/>
      <c r="B66" s="905"/>
      <c r="C66" s="1008"/>
      <c r="D66" s="281"/>
      <c r="E66" s="909"/>
      <c r="F66" s="1011"/>
      <c r="G66" s="1026"/>
      <c r="H66" s="237"/>
      <c r="I66" s="919"/>
      <c r="J66" s="341" t="s">
        <v>18</v>
      </c>
      <c r="K66" s="149">
        <f>SUM(K64:K65)</f>
        <v>119.4</v>
      </c>
      <c r="L66" s="149">
        <f>SUM(L64:L65)</f>
        <v>119.4</v>
      </c>
      <c r="M66" s="369"/>
      <c r="N66" s="1057"/>
      <c r="O66" s="414"/>
      <c r="P66" s="431"/>
    </row>
    <row r="67" spans="1:20" s="101" customFormat="1" ht="17.25" customHeight="1" x14ac:dyDescent="0.25">
      <c r="A67" s="48" t="s">
        <v>13</v>
      </c>
      <c r="B67" s="325" t="s">
        <v>19</v>
      </c>
      <c r="C67" s="330" t="s">
        <v>32</v>
      </c>
      <c r="D67" s="339"/>
      <c r="E67" s="915" t="s">
        <v>89</v>
      </c>
      <c r="F67" s="138"/>
      <c r="G67" s="1132">
        <v>11020406</v>
      </c>
      <c r="H67" s="241">
        <v>2</v>
      </c>
      <c r="I67" s="939" t="s">
        <v>137</v>
      </c>
      <c r="J67" s="103" t="s">
        <v>17</v>
      </c>
      <c r="K67" s="151">
        <v>96.5</v>
      </c>
      <c r="L67" s="151">
        <v>96.5</v>
      </c>
      <c r="M67" s="151"/>
      <c r="N67" s="1134" t="s">
        <v>90</v>
      </c>
      <c r="O67" s="415">
        <v>1985</v>
      </c>
      <c r="P67" s="431"/>
      <c r="S67" s="102"/>
      <c r="T67" s="228"/>
    </row>
    <row r="68" spans="1:20" s="101" customFormat="1" ht="15" customHeight="1" thickBot="1" x14ac:dyDescent="0.3">
      <c r="A68" s="48"/>
      <c r="B68" s="325"/>
      <c r="C68" s="330"/>
      <c r="D68" s="339"/>
      <c r="E68" s="916"/>
      <c r="F68" s="139"/>
      <c r="G68" s="1133"/>
      <c r="H68" s="259"/>
      <c r="I68" s="918"/>
      <c r="J68" s="341" t="s">
        <v>18</v>
      </c>
      <c r="K68" s="152">
        <f>+K67</f>
        <v>96.5</v>
      </c>
      <c r="L68" s="152">
        <f>+L67</f>
        <v>96.5</v>
      </c>
      <c r="M68" s="375"/>
      <c r="N68" s="1057"/>
      <c r="O68" s="415"/>
      <c r="P68" s="431"/>
      <c r="S68" s="102"/>
      <c r="T68" s="228"/>
    </row>
    <row r="69" spans="1:20" s="101" customFormat="1" ht="56.25" customHeight="1" x14ac:dyDescent="0.25">
      <c r="A69" s="902" t="s">
        <v>13</v>
      </c>
      <c r="B69" s="904" t="s">
        <v>19</v>
      </c>
      <c r="C69" s="906" t="s">
        <v>51</v>
      </c>
      <c r="D69" s="1169"/>
      <c r="E69" s="915" t="s">
        <v>122</v>
      </c>
      <c r="F69" s="1171" t="s">
        <v>131</v>
      </c>
      <c r="G69" s="185"/>
      <c r="H69" s="241">
        <v>1</v>
      </c>
      <c r="I69" s="347" t="s">
        <v>134</v>
      </c>
      <c r="J69" s="146" t="s">
        <v>17</v>
      </c>
      <c r="K69" s="148">
        <v>10</v>
      </c>
      <c r="L69" s="148">
        <v>10</v>
      </c>
      <c r="M69" s="76"/>
      <c r="N69" s="130" t="s">
        <v>119</v>
      </c>
      <c r="O69" s="396">
        <v>1</v>
      </c>
      <c r="P69" s="431"/>
    </row>
    <row r="70" spans="1:20" s="101" customFormat="1" ht="14.25" customHeight="1" x14ac:dyDescent="0.25">
      <c r="A70" s="1167"/>
      <c r="B70" s="942"/>
      <c r="C70" s="1168"/>
      <c r="D70" s="947"/>
      <c r="E70" s="916"/>
      <c r="F70" s="1172"/>
      <c r="G70" s="243"/>
      <c r="H70" s="242">
        <v>2</v>
      </c>
      <c r="I70" s="977" t="s">
        <v>137</v>
      </c>
      <c r="J70" s="98"/>
      <c r="K70" s="224"/>
      <c r="L70" s="224"/>
      <c r="M70" s="223"/>
      <c r="N70" s="1173" t="s">
        <v>133</v>
      </c>
      <c r="O70" s="397">
        <v>1</v>
      </c>
      <c r="P70" s="431"/>
    </row>
    <row r="71" spans="1:20" s="101" customFormat="1" ht="16.5" customHeight="1" x14ac:dyDescent="0.25">
      <c r="A71" s="1167"/>
      <c r="B71" s="942"/>
      <c r="C71" s="1168"/>
      <c r="D71" s="947"/>
      <c r="E71" s="1170"/>
      <c r="F71" s="1172"/>
      <c r="G71" s="243"/>
      <c r="H71" s="244"/>
      <c r="I71" s="918"/>
      <c r="J71" s="351" t="s">
        <v>18</v>
      </c>
      <c r="K71" s="309">
        <f>+K69</f>
        <v>10</v>
      </c>
      <c r="L71" s="309">
        <f>+L69</f>
        <v>10</v>
      </c>
      <c r="M71" s="375"/>
      <c r="N71" s="1174"/>
      <c r="O71" s="415"/>
      <c r="P71" s="431"/>
    </row>
    <row r="72" spans="1:20" s="101" customFormat="1" ht="15" customHeight="1" thickBot="1" x14ac:dyDescent="0.3">
      <c r="A72" s="310" t="s">
        <v>13</v>
      </c>
      <c r="B72" s="311" t="s">
        <v>19</v>
      </c>
      <c r="C72" s="924" t="s">
        <v>22</v>
      </c>
      <c r="D72" s="924"/>
      <c r="E72" s="924"/>
      <c r="F72" s="924"/>
      <c r="G72" s="924"/>
      <c r="H72" s="924"/>
      <c r="I72" s="924"/>
      <c r="J72" s="924"/>
      <c r="K72" s="312">
        <f>+K71+K68+K66+K63+K52</f>
        <v>7294.0999999999995</v>
      </c>
      <c r="L72" s="312">
        <f>+L71+L68+L66+L63+L52</f>
        <v>7294.0999999999995</v>
      </c>
      <c r="M72" s="276"/>
      <c r="N72" s="1175"/>
      <c r="O72" s="1176"/>
      <c r="P72" s="431"/>
      <c r="R72" s="114"/>
    </row>
    <row r="73" spans="1:20" s="101" customFormat="1" ht="15" customHeight="1" thickBot="1" x14ac:dyDescent="0.3">
      <c r="A73" s="50" t="s">
        <v>13</v>
      </c>
      <c r="B73" s="455" t="s">
        <v>21</v>
      </c>
      <c r="C73" s="1177" t="s">
        <v>151</v>
      </c>
      <c r="D73" s="1004"/>
      <c r="E73" s="1004"/>
      <c r="F73" s="1004"/>
      <c r="G73" s="1004"/>
      <c r="H73" s="1004"/>
      <c r="I73" s="1004"/>
      <c r="J73" s="1004"/>
      <c r="K73" s="1004"/>
      <c r="L73" s="1004"/>
      <c r="M73" s="1004"/>
      <c r="N73" s="1004"/>
      <c r="O73" s="1005"/>
      <c r="P73" s="431"/>
      <c r="R73" s="114"/>
    </row>
    <row r="74" spans="1:20" s="101" customFormat="1" ht="19.5" customHeight="1" x14ac:dyDescent="0.25">
      <c r="A74" s="43" t="s">
        <v>13</v>
      </c>
      <c r="B74" s="904" t="s">
        <v>21</v>
      </c>
      <c r="C74" s="913" t="s">
        <v>13</v>
      </c>
      <c r="D74" s="362"/>
      <c r="E74" s="916" t="s">
        <v>92</v>
      </c>
      <c r="F74" s="229"/>
      <c r="G74" s="169"/>
      <c r="H74" s="147">
        <v>2</v>
      </c>
      <c r="I74" s="918" t="s">
        <v>137</v>
      </c>
      <c r="J74" s="155" t="s">
        <v>59</v>
      </c>
      <c r="K74" s="97">
        <v>7.9</v>
      </c>
      <c r="L74" s="456">
        <v>7.9</v>
      </c>
      <c r="M74" s="97"/>
      <c r="N74" s="29" t="s">
        <v>110</v>
      </c>
      <c r="O74" s="416">
        <v>1</v>
      </c>
      <c r="P74" s="431"/>
    </row>
    <row r="75" spans="1:20" s="101" customFormat="1" ht="9" customHeight="1" x14ac:dyDescent="0.25">
      <c r="A75" s="44"/>
      <c r="B75" s="942"/>
      <c r="C75" s="913"/>
      <c r="D75" s="362"/>
      <c r="E75" s="916"/>
      <c r="F75" s="229"/>
      <c r="G75" s="169"/>
      <c r="H75" s="147"/>
      <c r="I75" s="918"/>
      <c r="J75" s="160"/>
      <c r="K75" s="453"/>
      <c r="L75" s="302"/>
      <c r="M75" s="302"/>
      <c r="N75" s="29"/>
      <c r="O75" s="416"/>
      <c r="P75" s="431"/>
    </row>
    <row r="76" spans="1:20" s="101" customFormat="1" ht="16.5" customHeight="1" thickBot="1" x14ac:dyDescent="0.3">
      <c r="A76" s="44"/>
      <c r="B76" s="942"/>
      <c r="C76" s="913"/>
      <c r="D76" s="362"/>
      <c r="E76" s="917"/>
      <c r="F76" s="105"/>
      <c r="G76" s="106"/>
      <c r="H76" s="107"/>
      <c r="I76" s="919"/>
      <c r="J76" s="123" t="s">
        <v>18</v>
      </c>
      <c r="K76" s="77">
        <f>SUM(K74:K75)</f>
        <v>7.9</v>
      </c>
      <c r="L76" s="306">
        <f>SUM(L74:L75)</f>
        <v>7.9</v>
      </c>
      <c r="M76" s="454"/>
      <c r="N76" s="108"/>
      <c r="O76" s="414"/>
      <c r="P76" s="431"/>
      <c r="R76" s="114"/>
    </row>
    <row r="77" spans="1:20" s="101" customFormat="1" ht="15.75" customHeight="1" x14ac:dyDescent="0.25">
      <c r="A77" s="51" t="s">
        <v>13</v>
      </c>
      <c r="B77" s="32" t="s">
        <v>21</v>
      </c>
      <c r="C77" s="9" t="s">
        <v>19</v>
      </c>
      <c r="D77" s="93"/>
      <c r="E77" s="945" t="s">
        <v>158</v>
      </c>
      <c r="F77" s="236"/>
      <c r="G77" s="73"/>
      <c r="H77" s="21"/>
      <c r="I77" s="111"/>
      <c r="J77" s="299"/>
      <c r="K77" s="150">
        <f>SUMIF(J80:J92,"sb(p)",K80:K92)</f>
        <v>3245.8</v>
      </c>
      <c r="L77" s="150">
        <f>SUMIF(K80:K92,"sb(p)",L80:L92)</f>
        <v>0</v>
      </c>
      <c r="M77" s="374"/>
      <c r="N77" s="80"/>
      <c r="O77" s="417"/>
      <c r="P77" s="431"/>
    </row>
    <row r="78" spans="1:20" s="101" customFormat="1" ht="15.75" customHeight="1" x14ac:dyDescent="0.25">
      <c r="A78" s="52"/>
      <c r="B78" s="144"/>
      <c r="C78" s="239"/>
      <c r="D78" s="362"/>
      <c r="E78" s="959"/>
      <c r="F78" s="25"/>
      <c r="G78" s="74"/>
      <c r="H78" s="40"/>
      <c r="I78" s="112"/>
      <c r="J78" s="300"/>
      <c r="K78" s="302"/>
      <c r="L78" s="302"/>
      <c r="M78" s="376"/>
      <c r="N78" s="81"/>
      <c r="O78" s="418"/>
      <c r="P78" s="431"/>
    </row>
    <row r="79" spans="1:20" s="101" customFormat="1" ht="29.25" customHeight="1" x14ac:dyDescent="0.25">
      <c r="A79" s="48"/>
      <c r="B79" s="325"/>
      <c r="C79" s="239"/>
      <c r="D79" s="361" t="s">
        <v>13</v>
      </c>
      <c r="E79" s="354" t="s">
        <v>63</v>
      </c>
      <c r="F79" s="355" t="s">
        <v>33</v>
      </c>
      <c r="G79" s="960">
        <v>1101012101</v>
      </c>
      <c r="H79" s="289">
        <v>5</v>
      </c>
      <c r="I79" s="314" t="s">
        <v>141</v>
      </c>
      <c r="J79" s="301"/>
      <c r="K79" s="230"/>
      <c r="L79" s="230"/>
      <c r="M79" s="377"/>
      <c r="N79" s="95"/>
      <c r="O79" s="419"/>
      <c r="P79" s="433"/>
      <c r="Q79" s="61"/>
      <c r="R79" s="186"/>
      <c r="S79" s="186"/>
    </row>
    <row r="80" spans="1:20" s="101" customFormat="1" ht="13.5" customHeight="1" x14ac:dyDescent="0.25">
      <c r="A80" s="48"/>
      <c r="B80" s="325"/>
      <c r="C80" s="239"/>
      <c r="D80" s="362"/>
      <c r="E80" s="315" t="s">
        <v>62</v>
      </c>
      <c r="F80" s="316" t="s">
        <v>131</v>
      </c>
      <c r="G80" s="961"/>
      <c r="H80" s="205"/>
      <c r="I80" s="317"/>
      <c r="J80" s="286" t="s">
        <v>59</v>
      </c>
      <c r="K80" s="230">
        <v>230.1</v>
      </c>
      <c r="L80" s="230">
        <v>230.1</v>
      </c>
      <c r="M80" s="373"/>
      <c r="N80" s="356" t="s">
        <v>35</v>
      </c>
      <c r="O80" s="420">
        <v>100</v>
      </c>
      <c r="P80" s="230"/>
      <c r="Q80" s="113"/>
      <c r="R80" s="186"/>
      <c r="S80" s="186"/>
    </row>
    <row r="81" spans="1:25" s="101" customFormat="1" ht="13.5" customHeight="1" x14ac:dyDescent="0.25">
      <c r="A81" s="48"/>
      <c r="B81" s="325"/>
      <c r="C81" s="239"/>
      <c r="D81" s="362"/>
      <c r="E81" s="288"/>
      <c r="F81" s="285"/>
      <c r="G81" s="364"/>
      <c r="H81" s="205"/>
      <c r="I81" s="317"/>
      <c r="J81" s="287" t="s">
        <v>34</v>
      </c>
      <c r="K81" s="230">
        <v>48.8</v>
      </c>
      <c r="L81" s="230">
        <v>48.8</v>
      </c>
      <c r="M81" s="376"/>
      <c r="N81" s="357"/>
      <c r="O81" s="416"/>
      <c r="P81" s="434"/>
      <c r="Q81" s="61"/>
      <c r="R81" s="186"/>
      <c r="S81" s="186"/>
    </row>
    <row r="82" spans="1:25" s="101" customFormat="1" ht="13.5" customHeight="1" x14ac:dyDescent="0.25">
      <c r="A82" s="48"/>
      <c r="B82" s="325"/>
      <c r="C82" s="239"/>
      <c r="D82" s="362"/>
      <c r="E82" s="288"/>
      <c r="F82" s="285"/>
      <c r="G82" s="364"/>
      <c r="H82" s="205"/>
      <c r="I82" s="317"/>
      <c r="J82" s="287" t="s">
        <v>146</v>
      </c>
      <c r="K82" s="230">
        <v>31.8</v>
      </c>
      <c r="L82" s="230">
        <v>31.8</v>
      </c>
      <c r="M82" s="376"/>
      <c r="N82" s="357"/>
      <c r="O82" s="416"/>
      <c r="P82" s="434"/>
      <c r="Q82" s="61"/>
      <c r="R82" s="186"/>
      <c r="S82" s="186"/>
    </row>
    <row r="83" spans="1:25" s="101" customFormat="1" ht="13.5" customHeight="1" x14ac:dyDescent="0.25">
      <c r="A83" s="48"/>
      <c r="B83" s="325"/>
      <c r="C83" s="239"/>
      <c r="D83" s="362"/>
      <c r="E83" s="288"/>
      <c r="F83" s="285"/>
      <c r="G83" s="318"/>
      <c r="H83" s="205"/>
      <c r="I83" s="317"/>
      <c r="J83" s="286" t="s">
        <v>61</v>
      </c>
      <c r="K83" s="230">
        <v>553.6</v>
      </c>
      <c r="L83" s="230">
        <v>553.6</v>
      </c>
      <c r="M83" s="376"/>
      <c r="N83" s="357"/>
      <c r="O83" s="416"/>
      <c r="P83" s="433"/>
      <c r="Q83" s="61"/>
      <c r="R83" s="186"/>
      <c r="S83" s="186"/>
    </row>
    <row r="84" spans="1:25" s="101" customFormat="1" ht="13.5" customHeight="1" x14ac:dyDescent="0.25">
      <c r="A84" s="48"/>
      <c r="B84" s="325"/>
      <c r="C84" s="239"/>
      <c r="D84" s="362"/>
      <c r="E84" s="288"/>
      <c r="F84" s="319"/>
      <c r="G84" s="320"/>
      <c r="H84" s="205"/>
      <c r="I84" s="321"/>
      <c r="J84" s="301" t="s">
        <v>147</v>
      </c>
      <c r="K84" s="230">
        <v>360.7</v>
      </c>
      <c r="L84" s="230">
        <v>360.7</v>
      </c>
      <c r="M84" s="376"/>
      <c r="N84" s="357"/>
      <c r="O84" s="416"/>
      <c r="P84" s="433"/>
      <c r="Q84" s="61"/>
      <c r="R84" s="186"/>
      <c r="S84" s="186"/>
      <c r="Y84" s="114"/>
    </row>
    <row r="85" spans="1:25" s="101" customFormat="1" ht="13.5" customHeight="1" x14ac:dyDescent="0.25">
      <c r="A85" s="48"/>
      <c r="B85" s="325"/>
      <c r="C85" s="239"/>
      <c r="D85" s="362"/>
      <c r="E85" s="288"/>
      <c r="F85" s="319"/>
      <c r="G85" s="320"/>
      <c r="H85" s="205"/>
      <c r="I85" s="317"/>
      <c r="J85" s="98" t="s">
        <v>96</v>
      </c>
      <c r="K85" s="302">
        <v>2689.5</v>
      </c>
      <c r="L85" s="302">
        <v>2689.5</v>
      </c>
      <c r="M85" s="376"/>
      <c r="N85" s="357"/>
      <c r="O85" s="416"/>
      <c r="P85" s="433"/>
      <c r="Q85" s="61"/>
      <c r="R85" s="186"/>
      <c r="S85" s="186"/>
    </row>
    <row r="86" spans="1:25" s="101" customFormat="1" ht="13.5" customHeight="1" x14ac:dyDescent="0.25">
      <c r="A86" s="48"/>
      <c r="B86" s="325"/>
      <c r="C86" s="239"/>
      <c r="D86" s="362"/>
      <c r="E86" s="315" t="s">
        <v>130</v>
      </c>
      <c r="F86" s="319"/>
      <c r="G86" s="320"/>
      <c r="H86" s="205"/>
      <c r="I86" s="317"/>
      <c r="J86" s="286" t="s">
        <v>96</v>
      </c>
      <c r="K86" s="230">
        <v>556.29999999999995</v>
      </c>
      <c r="L86" s="230">
        <v>556.29999999999995</v>
      </c>
      <c r="M86" s="373"/>
      <c r="N86" s="356" t="s">
        <v>35</v>
      </c>
      <c r="O86" s="420">
        <v>100</v>
      </c>
      <c r="P86" s="230"/>
      <c r="Q86" s="113"/>
      <c r="R86" s="186"/>
      <c r="S86" s="186"/>
    </row>
    <row r="87" spans="1:25" s="101" customFormat="1" ht="13.5" customHeight="1" x14ac:dyDescent="0.25">
      <c r="A87" s="48"/>
      <c r="B87" s="325"/>
      <c r="C87" s="239"/>
      <c r="D87" s="362"/>
      <c r="E87" s="288"/>
      <c r="F87" s="322"/>
      <c r="G87" s="320"/>
      <c r="H87" s="205"/>
      <c r="I87" s="317"/>
      <c r="J87" s="286" t="s">
        <v>59</v>
      </c>
      <c r="K87" s="230">
        <v>576.70000000000005</v>
      </c>
      <c r="L87" s="230">
        <v>576.70000000000005</v>
      </c>
      <c r="M87" s="376"/>
      <c r="N87" s="357"/>
      <c r="O87" s="416"/>
      <c r="P87" s="230"/>
      <c r="Q87" s="113"/>
      <c r="R87" s="186"/>
      <c r="S87" s="186"/>
    </row>
    <row r="88" spans="1:25" s="101" customFormat="1" ht="13.5" customHeight="1" x14ac:dyDescent="0.25">
      <c r="A88" s="48"/>
      <c r="B88" s="325"/>
      <c r="C88" s="239"/>
      <c r="D88" s="362"/>
      <c r="E88" s="288"/>
      <c r="F88" s="323"/>
      <c r="G88" s="320"/>
      <c r="H88" s="205"/>
      <c r="I88" s="317"/>
      <c r="J88" s="286" t="s">
        <v>17</v>
      </c>
      <c r="K88" s="302">
        <f>2888.4-556.3-576.7</f>
        <v>1755.4000000000003</v>
      </c>
      <c r="L88" s="302">
        <f>2888.4-556.3-576.7</f>
        <v>1755.4000000000003</v>
      </c>
      <c r="M88" s="376"/>
      <c r="N88" s="357"/>
      <c r="O88" s="416"/>
      <c r="P88" s="230"/>
      <c r="Q88" s="113"/>
      <c r="R88" s="186"/>
      <c r="S88" s="186"/>
    </row>
    <row r="89" spans="1:25" s="101" customFormat="1" ht="13.5" customHeight="1" x14ac:dyDescent="0.25">
      <c r="A89" s="48"/>
      <c r="B89" s="325"/>
      <c r="C89" s="239"/>
      <c r="D89" s="1180" t="s">
        <v>19</v>
      </c>
      <c r="E89" s="931" t="s">
        <v>125</v>
      </c>
      <c r="F89" s="927" t="s">
        <v>33</v>
      </c>
      <c r="G89" s="215">
        <v>11010116</v>
      </c>
      <c r="H89" s="1183">
        <v>5</v>
      </c>
      <c r="I89" s="1178" t="s">
        <v>141</v>
      </c>
      <c r="J89" s="286" t="s">
        <v>59</v>
      </c>
      <c r="K89" s="303">
        <v>268.39999999999998</v>
      </c>
      <c r="L89" s="303">
        <v>268.39999999999998</v>
      </c>
      <c r="M89" s="378"/>
      <c r="N89" s="1135" t="s">
        <v>37</v>
      </c>
      <c r="O89" s="420">
        <v>100</v>
      </c>
      <c r="P89" s="432"/>
      <c r="Q89" s="186"/>
      <c r="R89" s="116"/>
      <c r="S89" s="116"/>
    </row>
    <row r="90" spans="1:25" s="101" customFormat="1" ht="13.5" customHeight="1" x14ac:dyDescent="0.25">
      <c r="A90" s="48"/>
      <c r="B90" s="325"/>
      <c r="C90" s="239"/>
      <c r="D90" s="1181"/>
      <c r="E90" s="959"/>
      <c r="F90" s="1182"/>
      <c r="G90" s="187"/>
      <c r="H90" s="1184"/>
      <c r="I90" s="1179"/>
      <c r="J90" s="297"/>
      <c r="K90" s="304"/>
      <c r="L90" s="304"/>
      <c r="M90" s="81"/>
      <c r="N90" s="1022"/>
      <c r="O90" s="421"/>
      <c r="P90" s="432"/>
      <c r="Q90" s="186"/>
      <c r="R90" s="116"/>
      <c r="S90" s="116"/>
      <c r="U90" s="114"/>
      <c r="X90" s="114"/>
    </row>
    <row r="91" spans="1:25" s="101" customFormat="1" ht="29.25" customHeight="1" x14ac:dyDescent="0.25">
      <c r="A91" s="48"/>
      <c r="B91" s="325"/>
      <c r="C91" s="239"/>
      <c r="D91" s="361" t="s">
        <v>21</v>
      </c>
      <c r="E91" s="354" t="s">
        <v>144</v>
      </c>
      <c r="F91" s="254" t="s">
        <v>33</v>
      </c>
      <c r="G91" s="187"/>
      <c r="H91" s="358"/>
      <c r="I91" s="253"/>
      <c r="J91" s="301" t="s">
        <v>59</v>
      </c>
      <c r="K91" s="305">
        <v>17.899999999999999</v>
      </c>
      <c r="L91" s="305">
        <v>17.899999999999999</v>
      </c>
      <c r="M91" s="379"/>
      <c r="N91" s="356" t="s">
        <v>145</v>
      </c>
      <c r="O91" s="420">
        <v>100</v>
      </c>
      <c r="P91" s="432"/>
      <c r="Q91" s="186"/>
      <c r="R91" s="116"/>
      <c r="S91" s="116"/>
      <c r="W91" s="114"/>
    </row>
    <row r="92" spans="1:25" s="101" customFormat="1" ht="30" customHeight="1" x14ac:dyDescent="0.25">
      <c r="A92" s="48"/>
      <c r="B92" s="325"/>
      <c r="C92" s="239"/>
      <c r="D92" s="361" t="s">
        <v>32</v>
      </c>
      <c r="E92" s="895" t="s">
        <v>65</v>
      </c>
      <c r="F92" s="254" t="s">
        <v>33</v>
      </c>
      <c r="G92" s="187"/>
      <c r="H92" s="358"/>
      <c r="I92" s="267" t="s">
        <v>140</v>
      </c>
      <c r="J92" s="268" t="s">
        <v>17</v>
      </c>
      <c r="K92" s="200">
        <v>119.8</v>
      </c>
      <c r="L92" s="200">
        <v>119.8</v>
      </c>
      <c r="M92" s="200"/>
      <c r="N92" s="356" t="s">
        <v>66</v>
      </c>
      <c r="O92" s="420">
        <v>100</v>
      </c>
      <c r="P92" s="432"/>
      <c r="Q92" s="186"/>
      <c r="R92" s="116"/>
      <c r="S92" s="116"/>
      <c r="W92" s="114"/>
    </row>
    <row r="93" spans="1:25" s="101" customFormat="1" ht="13.5" customHeight="1" thickBot="1" x14ac:dyDescent="0.3">
      <c r="A93" s="53"/>
      <c r="B93" s="31"/>
      <c r="C93" s="17"/>
      <c r="D93" s="17"/>
      <c r="E93" s="917"/>
      <c r="F93" s="218"/>
      <c r="G93" s="219"/>
      <c r="H93" s="220"/>
      <c r="I93" s="949" t="s">
        <v>38</v>
      </c>
      <c r="J93" s="950"/>
      <c r="K93" s="306">
        <f>SUM(K80:K92)</f>
        <v>7209</v>
      </c>
      <c r="L93" s="306">
        <f>SUM(L80:L92)</f>
        <v>7209</v>
      </c>
      <c r="M93" s="371"/>
      <c r="N93" s="365"/>
      <c r="O93" s="422"/>
      <c r="P93" s="431"/>
    </row>
    <row r="94" spans="1:25" s="101" customFormat="1" ht="43.5" customHeight="1" x14ac:dyDescent="0.25">
      <c r="A94" s="51" t="s">
        <v>13</v>
      </c>
      <c r="B94" s="32" t="s">
        <v>21</v>
      </c>
      <c r="C94" s="9" t="s">
        <v>21</v>
      </c>
      <c r="D94" s="93"/>
      <c r="E94" s="33" t="s">
        <v>39</v>
      </c>
      <c r="F94" s="64"/>
      <c r="G94" s="67"/>
      <c r="H94" s="124"/>
      <c r="I94" s="214"/>
      <c r="J94" s="209"/>
      <c r="K94" s="221"/>
      <c r="L94" s="221"/>
      <c r="M94" s="380"/>
      <c r="N94" s="130" t="s">
        <v>102</v>
      </c>
      <c r="O94" s="415">
        <v>3</v>
      </c>
      <c r="P94" s="431"/>
      <c r="R94" s="114"/>
      <c r="S94" s="114"/>
      <c r="T94" s="114"/>
    </row>
    <row r="95" spans="1:25" s="101" customFormat="1" ht="28.5" customHeight="1" x14ac:dyDescent="0.25">
      <c r="A95" s="52"/>
      <c r="B95" s="144"/>
      <c r="C95" s="239"/>
      <c r="D95" s="361" t="s">
        <v>13</v>
      </c>
      <c r="E95" s="897" t="s">
        <v>56</v>
      </c>
      <c r="F95" s="35"/>
      <c r="G95" s="269">
        <v>11010130</v>
      </c>
      <c r="H95" s="125">
        <v>2</v>
      </c>
      <c r="I95" s="353" t="s">
        <v>137</v>
      </c>
      <c r="J95" s="159" t="s">
        <v>17</v>
      </c>
      <c r="K95" s="165">
        <v>58.2</v>
      </c>
      <c r="L95" s="165">
        <v>58.2</v>
      </c>
      <c r="M95" s="368"/>
      <c r="N95" s="127" t="s">
        <v>115</v>
      </c>
      <c r="O95" s="397">
        <v>100</v>
      </c>
      <c r="P95" s="431"/>
      <c r="Q95" s="20"/>
    </row>
    <row r="96" spans="1:25" s="101" customFormat="1" ht="27.75" customHeight="1" x14ac:dyDescent="0.25">
      <c r="A96" s="52"/>
      <c r="B96" s="144"/>
      <c r="C96" s="239"/>
      <c r="D96" s="362"/>
      <c r="E96" s="898"/>
      <c r="F96" s="35"/>
      <c r="G96" s="333"/>
      <c r="H96" s="147"/>
      <c r="I96" s="37"/>
      <c r="J96" s="211" t="s">
        <v>17</v>
      </c>
      <c r="K96" s="165">
        <v>20</v>
      </c>
      <c r="L96" s="165">
        <v>20</v>
      </c>
      <c r="M96" s="368"/>
      <c r="N96" s="128" t="s">
        <v>128</v>
      </c>
      <c r="O96" s="410">
        <v>1</v>
      </c>
      <c r="P96" s="431"/>
      <c r="Q96" s="20"/>
      <c r="S96" s="114"/>
    </row>
    <row r="97" spans="1:20" s="101" customFormat="1" ht="16.5" customHeight="1" x14ac:dyDescent="0.25">
      <c r="A97" s="52"/>
      <c r="B97" s="144"/>
      <c r="C97" s="239"/>
      <c r="D97" s="362"/>
      <c r="E97" s="226"/>
      <c r="F97" s="35"/>
      <c r="G97" s="333"/>
      <c r="H97" s="147"/>
      <c r="I97" s="37"/>
      <c r="J97" s="159" t="s">
        <v>17</v>
      </c>
      <c r="K97" s="165">
        <v>40</v>
      </c>
      <c r="L97" s="165">
        <v>40</v>
      </c>
      <c r="M97" s="368"/>
      <c r="N97" s="128" t="s">
        <v>129</v>
      </c>
      <c r="O97" s="410">
        <v>4</v>
      </c>
      <c r="P97" s="431"/>
      <c r="Q97" s="20"/>
    </row>
    <row r="98" spans="1:20" s="101" customFormat="1" ht="15" customHeight="1" x14ac:dyDescent="0.25">
      <c r="A98" s="52"/>
      <c r="B98" s="144"/>
      <c r="C98" s="239"/>
      <c r="D98" s="362"/>
      <c r="E98" s="226"/>
      <c r="F98" s="35"/>
      <c r="G98" s="333"/>
      <c r="H98" s="147"/>
      <c r="I98" s="37"/>
      <c r="J98" s="211" t="s">
        <v>36</v>
      </c>
      <c r="K98" s="165">
        <v>120.6</v>
      </c>
      <c r="L98" s="165">
        <v>120.6</v>
      </c>
      <c r="M98" s="458"/>
      <c r="N98" s="1048" t="s">
        <v>143</v>
      </c>
      <c r="O98" s="420">
        <v>100</v>
      </c>
      <c r="P98" s="431"/>
      <c r="Q98" s="20"/>
    </row>
    <row r="99" spans="1:20" s="101" customFormat="1" ht="15" customHeight="1" x14ac:dyDescent="0.25">
      <c r="A99" s="52"/>
      <c r="B99" s="144"/>
      <c r="C99" s="239"/>
      <c r="D99" s="362"/>
      <c r="E99" s="226"/>
      <c r="F99" s="35"/>
      <c r="G99" s="333"/>
      <c r="H99" s="147"/>
      <c r="I99" s="37"/>
      <c r="J99" s="211" t="s">
        <v>17</v>
      </c>
      <c r="K99" s="165">
        <v>13.4</v>
      </c>
      <c r="L99" s="165">
        <v>13.4</v>
      </c>
      <c r="M99" s="457"/>
      <c r="N99" s="1049"/>
      <c r="O99" s="416"/>
      <c r="P99" s="431"/>
      <c r="Q99" s="20"/>
    </row>
    <row r="100" spans="1:20" s="101" customFormat="1" ht="15" customHeight="1" x14ac:dyDescent="0.25">
      <c r="A100" s="44"/>
      <c r="B100" s="325"/>
      <c r="C100" s="326"/>
      <c r="D100" s="367"/>
      <c r="E100" s="227"/>
      <c r="F100" s="140"/>
      <c r="G100" s="89"/>
      <c r="H100" s="231"/>
      <c r="I100" s="359"/>
      <c r="J100" s="212" t="s">
        <v>18</v>
      </c>
      <c r="K100" s="90">
        <f>SUM(K95:K99)</f>
        <v>252.20000000000002</v>
      </c>
      <c r="L100" s="90">
        <f>SUM(L95:L99)</f>
        <v>252.20000000000002</v>
      </c>
      <c r="M100" s="381"/>
      <c r="N100" s="271"/>
      <c r="O100" s="423"/>
      <c r="P100" s="435"/>
      <c r="Q100" s="114"/>
      <c r="R100" s="114"/>
    </row>
    <row r="101" spans="1:20" s="101" customFormat="1" ht="15.75" customHeight="1" x14ac:dyDescent="0.25">
      <c r="A101" s="48"/>
      <c r="B101" s="325"/>
      <c r="C101" s="270"/>
      <c r="D101" s="967" t="s">
        <v>21</v>
      </c>
      <c r="E101" s="897" t="s">
        <v>78</v>
      </c>
      <c r="F101" s="207"/>
      <c r="G101" s="88"/>
      <c r="H101" s="109" t="s">
        <v>16</v>
      </c>
      <c r="I101" s="977" t="s">
        <v>137</v>
      </c>
      <c r="J101" s="156" t="s">
        <v>17</v>
      </c>
      <c r="K101" s="165">
        <v>160</v>
      </c>
      <c r="L101" s="165">
        <v>160</v>
      </c>
      <c r="M101" s="368"/>
      <c r="N101" s="1187" t="s">
        <v>79</v>
      </c>
      <c r="O101" s="416">
        <v>100</v>
      </c>
      <c r="P101" s="431"/>
      <c r="Q101" s="114"/>
      <c r="S101" s="114"/>
      <c r="T101" s="114"/>
    </row>
    <row r="102" spans="1:20" s="101" customFormat="1" ht="12.75" customHeight="1" x14ac:dyDescent="0.25">
      <c r="A102" s="48"/>
      <c r="B102" s="325"/>
      <c r="C102" s="270"/>
      <c r="D102" s="968"/>
      <c r="E102" s="898"/>
      <c r="F102" s="240"/>
      <c r="G102" s="75"/>
      <c r="H102" s="96"/>
      <c r="I102" s="918"/>
      <c r="J102" s="210"/>
      <c r="K102" s="265"/>
      <c r="L102" s="265"/>
      <c r="M102" s="457"/>
      <c r="N102" s="1113"/>
      <c r="O102" s="416"/>
      <c r="P102" s="431"/>
      <c r="Q102" s="114"/>
      <c r="S102" s="114"/>
      <c r="T102" s="114"/>
    </row>
    <row r="103" spans="1:20" s="101" customFormat="1" ht="14.25" customHeight="1" x14ac:dyDescent="0.25">
      <c r="A103" s="48"/>
      <c r="B103" s="325"/>
      <c r="C103" s="270"/>
      <c r="D103" s="1186"/>
      <c r="E103" s="899"/>
      <c r="F103" s="208"/>
      <c r="G103" s="89"/>
      <c r="H103" s="110"/>
      <c r="I103" s="958"/>
      <c r="J103" s="213" t="s">
        <v>18</v>
      </c>
      <c r="K103" s="222">
        <f>SUM(K101:K102)</f>
        <v>160</v>
      </c>
      <c r="L103" s="222">
        <f>SUM(L101:L102)</f>
        <v>160</v>
      </c>
      <c r="M103" s="382"/>
      <c r="N103" s="1113"/>
      <c r="O103" s="416"/>
      <c r="P103" s="431"/>
      <c r="Q103" s="114"/>
      <c r="R103" s="114"/>
      <c r="S103" s="114"/>
      <c r="T103" s="114"/>
    </row>
    <row r="104" spans="1:20" s="264" customFormat="1" ht="18" customHeight="1" x14ac:dyDescent="0.25">
      <c r="A104" s="48"/>
      <c r="B104" s="325"/>
      <c r="C104" s="270"/>
      <c r="D104" s="967" t="s">
        <v>32</v>
      </c>
      <c r="E104" s="897" t="s">
        <v>157</v>
      </c>
      <c r="F104" s="207"/>
      <c r="G104" s="88"/>
      <c r="H104" s="109" t="s">
        <v>16</v>
      </c>
      <c r="I104" s="977" t="s">
        <v>137</v>
      </c>
      <c r="J104" s="156" t="s">
        <v>154</v>
      </c>
      <c r="K104" s="165">
        <v>21.5</v>
      </c>
      <c r="L104" s="165">
        <v>21.5</v>
      </c>
      <c r="M104" s="368"/>
      <c r="N104" s="1135" t="s">
        <v>156</v>
      </c>
      <c r="O104" s="420">
        <v>2</v>
      </c>
      <c r="P104" s="431"/>
      <c r="Q104" s="114"/>
      <c r="S104" s="263"/>
      <c r="T104" s="263"/>
    </row>
    <row r="105" spans="1:20" s="264" customFormat="1" ht="8.25" customHeight="1" x14ac:dyDescent="0.25">
      <c r="A105" s="48"/>
      <c r="B105" s="325"/>
      <c r="C105" s="270"/>
      <c r="D105" s="968"/>
      <c r="E105" s="898"/>
      <c r="F105" s="240"/>
      <c r="G105" s="75"/>
      <c r="H105" s="96"/>
      <c r="I105" s="918"/>
      <c r="J105" s="210"/>
      <c r="K105" s="265"/>
      <c r="L105" s="265"/>
      <c r="M105" s="457"/>
      <c r="N105" s="1022"/>
      <c r="O105" s="424"/>
      <c r="P105" s="431"/>
      <c r="Q105" s="114"/>
      <c r="S105" s="263"/>
      <c r="T105" s="263"/>
    </row>
    <row r="106" spans="1:20" s="264" customFormat="1" ht="14.25" customHeight="1" x14ac:dyDescent="0.25">
      <c r="A106" s="48"/>
      <c r="B106" s="325"/>
      <c r="C106" s="270"/>
      <c r="D106" s="968"/>
      <c r="E106" s="898"/>
      <c r="F106" s="208"/>
      <c r="G106" s="89"/>
      <c r="H106" s="110"/>
      <c r="I106" s="958"/>
      <c r="J106" s="213" t="s">
        <v>18</v>
      </c>
      <c r="K106" s="222">
        <f>SUM(K104:K105)</f>
        <v>21.5</v>
      </c>
      <c r="L106" s="222">
        <f>SUM(L104:L105)</f>
        <v>21.5</v>
      </c>
      <c r="M106" s="381"/>
      <c r="N106" s="1064"/>
      <c r="O106" s="424"/>
      <c r="P106" s="431"/>
      <c r="Q106" s="114"/>
      <c r="S106" s="263"/>
      <c r="T106" s="263"/>
    </row>
    <row r="107" spans="1:20" s="101" customFormat="1" ht="15.75" customHeight="1" x14ac:dyDescent="0.25">
      <c r="A107" s="48"/>
      <c r="B107" s="325"/>
      <c r="C107" s="239"/>
      <c r="D107" s="366" t="s">
        <v>51</v>
      </c>
      <c r="E107" s="922" t="s">
        <v>152</v>
      </c>
      <c r="F107" s="22"/>
      <c r="G107" s="1110">
        <v>11010100</v>
      </c>
      <c r="H107" s="99">
        <v>6</v>
      </c>
      <c r="I107" s="918" t="s">
        <v>138</v>
      </c>
      <c r="J107" s="24" t="s">
        <v>17</v>
      </c>
      <c r="K107" s="255">
        <v>177.4</v>
      </c>
      <c r="L107" s="255">
        <v>177.4</v>
      </c>
      <c r="M107" s="459"/>
      <c r="N107" s="273" t="s">
        <v>153</v>
      </c>
      <c r="O107" s="425">
        <v>6</v>
      </c>
      <c r="P107" s="431"/>
      <c r="T107" s="114"/>
    </row>
    <row r="108" spans="1:20" s="101" customFormat="1" ht="15.75" customHeight="1" x14ac:dyDescent="0.25">
      <c r="A108" s="48"/>
      <c r="B108" s="325"/>
      <c r="C108" s="239"/>
      <c r="D108" s="206"/>
      <c r="E108" s="923"/>
      <c r="F108" s="22"/>
      <c r="G108" s="1111"/>
      <c r="H108" s="142"/>
      <c r="I108" s="918"/>
      <c r="J108" s="24" t="s">
        <v>59</v>
      </c>
      <c r="K108" s="255">
        <v>25</v>
      </c>
      <c r="L108" s="255">
        <v>25</v>
      </c>
      <c r="M108" s="459"/>
      <c r="N108" s="233"/>
      <c r="O108" s="426"/>
      <c r="P108" s="431"/>
      <c r="T108" s="114"/>
    </row>
    <row r="109" spans="1:20" s="101" customFormat="1" ht="15.75" customHeight="1" x14ac:dyDescent="0.25">
      <c r="A109" s="48"/>
      <c r="B109" s="325"/>
      <c r="C109" s="239"/>
      <c r="D109" s="206"/>
      <c r="E109" s="226"/>
      <c r="F109" s="22"/>
      <c r="G109" s="1111"/>
      <c r="H109" s="142"/>
      <c r="I109" s="958"/>
      <c r="J109" s="234" t="s">
        <v>18</v>
      </c>
      <c r="K109" s="461">
        <f>SUM(K107:K108)</f>
        <v>202.4</v>
      </c>
      <c r="L109" s="235">
        <f>SUM(L107:L108)</f>
        <v>202.4</v>
      </c>
      <c r="M109" s="460"/>
      <c r="N109" s="233"/>
      <c r="O109" s="426"/>
      <c r="P109" s="431"/>
      <c r="T109" s="114"/>
    </row>
    <row r="110" spans="1:20" s="101" customFormat="1" ht="13.5" customHeight="1" x14ac:dyDescent="0.25">
      <c r="A110" s="44"/>
      <c r="B110" s="325"/>
      <c r="C110" s="270"/>
      <c r="D110" s="206"/>
      <c r="E110" s="226"/>
      <c r="F110" s="1050" t="s">
        <v>38</v>
      </c>
      <c r="G110" s="1051"/>
      <c r="H110" s="1051"/>
      <c r="I110" s="1051"/>
      <c r="J110" s="1052"/>
      <c r="K110" s="462">
        <f>+K100+K103+K109+K106</f>
        <v>636.1</v>
      </c>
      <c r="L110" s="443">
        <f>+L100+L103+L109+L106</f>
        <v>636.1</v>
      </c>
      <c r="M110" s="382"/>
      <c r="N110" s="29"/>
      <c r="O110" s="427"/>
      <c r="P110" s="431"/>
      <c r="Q110" s="114"/>
    </row>
    <row r="111" spans="1:20" s="101" customFormat="1" ht="14.25" customHeight="1" thickBot="1" x14ac:dyDescent="0.3">
      <c r="A111" s="346" t="s">
        <v>13</v>
      </c>
      <c r="B111" s="329" t="s">
        <v>21</v>
      </c>
      <c r="C111" s="972" t="s">
        <v>22</v>
      </c>
      <c r="D111" s="924"/>
      <c r="E111" s="924"/>
      <c r="F111" s="924"/>
      <c r="G111" s="924"/>
      <c r="H111" s="924"/>
      <c r="I111" s="924"/>
      <c r="J111" s="973"/>
      <c r="K111" s="276">
        <f>+K76+K110+K93</f>
        <v>7853</v>
      </c>
      <c r="L111" s="276">
        <f>+L76+L110+L93</f>
        <v>7853</v>
      </c>
      <c r="M111" s="276"/>
      <c r="N111" s="1053"/>
      <c r="O111" s="1185"/>
      <c r="P111" s="431"/>
      <c r="Q111" s="114"/>
    </row>
    <row r="112" spans="1:20" s="101" customFormat="1" ht="14.25" customHeight="1" thickBot="1" x14ac:dyDescent="0.3">
      <c r="A112" s="54" t="s">
        <v>13</v>
      </c>
      <c r="B112" s="10" t="s">
        <v>32</v>
      </c>
      <c r="C112" s="974" t="s">
        <v>40</v>
      </c>
      <c r="D112" s="975"/>
      <c r="E112" s="975"/>
      <c r="F112" s="975"/>
      <c r="G112" s="975"/>
      <c r="H112" s="975"/>
      <c r="I112" s="975"/>
      <c r="J112" s="975"/>
      <c r="K112" s="975"/>
      <c r="L112" s="976"/>
      <c r="M112" s="976"/>
      <c r="N112" s="976"/>
      <c r="O112" s="428"/>
      <c r="P112" s="431"/>
      <c r="Q112" s="114"/>
    </row>
    <row r="113" spans="1:19" s="101" customFormat="1" ht="29.25" customHeight="1" x14ac:dyDescent="0.25">
      <c r="A113" s="43" t="s">
        <v>13</v>
      </c>
      <c r="B113" s="324" t="s">
        <v>32</v>
      </c>
      <c r="C113" s="3" t="s">
        <v>13</v>
      </c>
      <c r="D113" s="338"/>
      <c r="E113" s="915" t="s">
        <v>93</v>
      </c>
      <c r="F113" s="188"/>
      <c r="G113" s="283">
        <v>11030607</v>
      </c>
      <c r="H113" s="189" t="s">
        <v>16</v>
      </c>
      <c r="I113" s="939" t="s">
        <v>137</v>
      </c>
      <c r="J113" s="38" t="s">
        <v>17</v>
      </c>
      <c r="K113" s="154">
        <v>756</v>
      </c>
      <c r="L113" s="154">
        <v>756</v>
      </c>
      <c r="M113" s="154"/>
      <c r="N113" s="1021" t="s">
        <v>69</v>
      </c>
      <c r="O113" s="1188">
        <v>5</v>
      </c>
      <c r="P113" s="431"/>
      <c r="R113" s="114"/>
    </row>
    <row r="114" spans="1:19" s="101" customFormat="1" ht="15" customHeight="1" thickBot="1" x14ac:dyDescent="0.3">
      <c r="A114" s="46"/>
      <c r="B114" s="329"/>
      <c r="C114" s="5"/>
      <c r="D114" s="281"/>
      <c r="E114" s="917"/>
      <c r="F114" s="190"/>
      <c r="G114" s="284"/>
      <c r="H114" s="60"/>
      <c r="I114" s="919"/>
      <c r="J114" s="39" t="s">
        <v>18</v>
      </c>
      <c r="K114" s="149">
        <f>SUM(K113:K113)</f>
        <v>756</v>
      </c>
      <c r="L114" s="149">
        <f>SUM(L113:L113)</f>
        <v>756</v>
      </c>
      <c r="M114" s="149"/>
      <c r="N114" s="1064"/>
      <c r="O114" s="1189"/>
      <c r="P114" s="436"/>
    </row>
    <row r="115" spans="1:19" s="101" customFormat="1" ht="30" customHeight="1" x14ac:dyDescent="0.25">
      <c r="A115" s="43" t="s">
        <v>13</v>
      </c>
      <c r="B115" s="904" t="s">
        <v>32</v>
      </c>
      <c r="C115" s="1102" t="s">
        <v>19</v>
      </c>
      <c r="D115" s="1104"/>
      <c r="E115" s="965" t="s">
        <v>94</v>
      </c>
      <c r="F115" s="1106"/>
      <c r="G115" s="332">
        <v>11030701</v>
      </c>
      <c r="H115" s="1044" t="s">
        <v>16</v>
      </c>
      <c r="I115" s="939" t="s">
        <v>137</v>
      </c>
      <c r="J115" s="19" t="s">
        <v>17</v>
      </c>
      <c r="K115" s="154">
        <v>55</v>
      </c>
      <c r="L115" s="154">
        <v>55</v>
      </c>
      <c r="M115" s="223"/>
      <c r="N115" s="1022" t="s">
        <v>41</v>
      </c>
      <c r="O115" s="416">
        <v>20</v>
      </c>
      <c r="P115" s="431"/>
      <c r="R115" s="114"/>
      <c r="S115" s="114"/>
    </row>
    <row r="116" spans="1:19" s="101" customFormat="1" ht="15.75" customHeight="1" thickBot="1" x14ac:dyDescent="0.3">
      <c r="A116" s="46"/>
      <c r="B116" s="905"/>
      <c r="C116" s="1103"/>
      <c r="D116" s="1105"/>
      <c r="E116" s="966"/>
      <c r="F116" s="1107"/>
      <c r="G116" s="334"/>
      <c r="H116" s="1045"/>
      <c r="I116" s="919"/>
      <c r="J116" s="18" t="s">
        <v>18</v>
      </c>
      <c r="K116" s="149">
        <f t="shared" ref="K116:L116" si="0">SUM(K115:K115)</f>
        <v>55</v>
      </c>
      <c r="L116" s="149">
        <f t="shared" si="0"/>
        <v>55</v>
      </c>
      <c r="M116" s="369"/>
      <c r="N116" s="1023"/>
      <c r="O116" s="414"/>
      <c r="P116" s="431"/>
    </row>
    <row r="117" spans="1:19" s="101" customFormat="1" ht="13.8" thickBot="1" x14ac:dyDescent="0.3">
      <c r="A117" s="42" t="s">
        <v>13</v>
      </c>
      <c r="B117" s="10" t="s">
        <v>32</v>
      </c>
      <c r="C117" s="964" t="s">
        <v>22</v>
      </c>
      <c r="D117" s="964"/>
      <c r="E117" s="964"/>
      <c r="F117" s="964"/>
      <c r="G117" s="964"/>
      <c r="H117" s="964"/>
      <c r="I117" s="964"/>
      <c r="J117" s="964"/>
      <c r="K117" s="172">
        <f t="shared" ref="K117:L117" si="1">K116+K114</f>
        <v>811</v>
      </c>
      <c r="L117" s="172">
        <f t="shared" si="1"/>
        <v>811</v>
      </c>
      <c r="M117" s="384"/>
      <c r="N117" s="1095"/>
      <c r="O117" s="1096"/>
      <c r="P117" s="431"/>
    </row>
    <row r="118" spans="1:19" s="116" customFormat="1" ht="13.8" thickBot="1" x14ac:dyDescent="0.3">
      <c r="A118" s="42" t="s">
        <v>13</v>
      </c>
      <c r="B118" s="1098" t="s">
        <v>42</v>
      </c>
      <c r="C118" s="1099"/>
      <c r="D118" s="1099"/>
      <c r="E118" s="1099"/>
      <c r="F118" s="1099"/>
      <c r="G118" s="1099"/>
      <c r="H118" s="1099"/>
      <c r="I118" s="1099"/>
      <c r="J118" s="1099"/>
      <c r="K118" s="216">
        <f>K111+K72+K26+K117</f>
        <v>16416</v>
      </c>
      <c r="L118" s="216">
        <f>L111+L72+L26+L117</f>
        <v>16416</v>
      </c>
      <c r="M118" s="216"/>
      <c r="N118" s="55"/>
      <c r="O118" s="429"/>
      <c r="P118" s="432"/>
    </row>
    <row r="119" spans="1:19" s="116" customFormat="1" ht="13.8" thickBot="1" x14ac:dyDescent="0.3">
      <c r="A119" s="56" t="s">
        <v>43</v>
      </c>
      <c r="B119" s="1192" t="s">
        <v>44</v>
      </c>
      <c r="C119" s="1193"/>
      <c r="D119" s="1193"/>
      <c r="E119" s="1193"/>
      <c r="F119" s="1193"/>
      <c r="G119" s="1193"/>
      <c r="H119" s="1193"/>
      <c r="I119" s="1193"/>
      <c r="J119" s="1193"/>
      <c r="K119" s="217">
        <f t="shared" ref="K119:L119" si="2">K118</f>
        <v>16416</v>
      </c>
      <c r="L119" s="217">
        <f t="shared" si="2"/>
        <v>16416</v>
      </c>
      <c r="M119" s="217"/>
      <c r="N119" s="57"/>
      <c r="O119" s="430"/>
      <c r="P119" s="437"/>
    </row>
    <row r="120" spans="1:19" s="116" customFormat="1" x14ac:dyDescent="0.25">
      <c r="A120" s="163" t="s">
        <v>160</v>
      </c>
      <c r="B120" s="191"/>
      <c r="C120" s="191"/>
      <c r="D120" s="191"/>
      <c r="E120" s="191"/>
      <c r="F120" s="191"/>
      <c r="G120" s="191"/>
      <c r="H120" s="191"/>
      <c r="I120" s="191"/>
      <c r="J120" s="191"/>
      <c r="K120" s="192"/>
      <c r="L120" s="192"/>
      <c r="M120" s="385"/>
      <c r="N120" s="161"/>
      <c r="O120" s="162"/>
    </row>
    <row r="121" spans="1:19" s="101" customFormat="1" ht="21.75" customHeight="1" thickBot="1" x14ac:dyDescent="0.3">
      <c r="A121" s="11"/>
      <c r="B121" s="1046" t="s">
        <v>45</v>
      </c>
      <c r="C121" s="1046"/>
      <c r="D121" s="1046"/>
      <c r="E121" s="1046"/>
      <c r="F121" s="1046"/>
      <c r="G121" s="1046"/>
      <c r="H121" s="1046"/>
      <c r="I121" s="1046"/>
      <c r="J121" s="1046"/>
      <c r="K121" s="1046"/>
      <c r="L121" s="386"/>
      <c r="M121" s="386"/>
      <c r="N121" s="13"/>
      <c r="O121" s="141"/>
    </row>
    <row r="122" spans="1:19" s="101" customFormat="1" ht="51" customHeight="1" x14ac:dyDescent="0.25">
      <c r="A122" s="12"/>
      <c r="B122" s="1093" t="s">
        <v>46</v>
      </c>
      <c r="C122" s="1094"/>
      <c r="D122" s="1094"/>
      <c r="E122" s="1094"/>
      <c r="F122" s="1094"/>
      <c r="G122" s="1094"/>
      <c r="H122" s="1094"/>
      <c r="I122" s="1094"/>
      <c r="J122" s="1094"/>
      <c r="K122" s="313" t="s">
        <v>75</v>
      </c>
      <c r="L122" s="313" t="s">
        <v>75</v>
      </c>
      <c r="M122" s="387"/>
      <c r="N122" s="14"/>
      <c r="O122" s="59"/>
      <c r="P122" s="114"/>
    </row>
    <row r="123" spans="1:19" s="101" customFormat="1" x14ac:dyDescent="0.25">
      <c r="A123" s="12"/>
      <c r="B123" s="952" t="s">
        <v>47</v>
      </c>
      <c r="C123" s="953"/>
      <c r="D123" s="953"/>
      <c r="E123" s="953"/>
      <c r="F123" s="953"/>
      <c r="G123" s="953"/>
      <c r="H123" s="953"/>
      <c r="I123" s="953"/>
      <c r="J123" s="953"/>
      <c r="K123" s="193">
        <f t="shared" ref="K123:L123" si="3">+K124+K130+K131+K132+K133</f>
        <v>16255.3</v>
      </c>
      <c r="L123" s="193">
        <f t="shared" si="3"/>
        <v>16255.3</v>
      </c>
      <c r="M123" s="388"/>
      <c r="N123" s="15"/>
      <c r="O123" s="58"/>
      <c r="Q123" s="114"/>
    </row>
    <row r="124" spans="1:19" s="101" customFormat="1" x14ac:dyDescent="0.25">
      <c r="A124" s="12"/>
      <c r="B124" s="1041" t="s">
        <v>150</v>
      </c>
      <c r="C124" s="1042"/>
      <c r="D124" s="1042"/>
      <c r="E124" s="1042"/>
      <c r="F124" s="1042"/>
      <c r="G124" s="1042"/>
      <c r="H124" s="1042"/>
      <c r="I124" s="1042"/>
      <c r="J124" s="1043"/>
      <c r="K124" s="258">
        <f>SUM(K125:K129)</f>
        <v>14592.599999999999</v>
      </c>
      <c r="L124" s="258">
        <f>SUM(L125:L129)</f>
        <v>14592.599999999999</v>
      </c>
      <c r="M124" s="383"/>
      <c r="N124" s="15"/>
      <c r="O124" s="58"/>
      <c r="Q124" s="114"/>
    </row>
    <row r="125" spans="1:19" s="101" customFormat="1" ht="12.75" customHeight="1" x14ac:dyDescent="0.25">
      <c r="A125" s="12"/>
      <c r="B125" s="1091" t="s">
        <v>126</v>
      </c>
      <c r="C125" s="1092"/>
      <c r="D125" s="1092"/>
      <c r="E125" s="1092"/>
      <c r="F125" s="1092"/>
      <c r="G125" s="1092"/>
      <c r="H125" s="1092"/>
      <c r="I125" s="1092"/>
      <c r="J125" s="1092"/>
      <c r="K125" s="223">
        <f>SUMIF(J14:J115,"sb",K14:K115)</f>
        <v>10413.599999999999</v>
      </c>
      <c r="L125" s="223">
        <f>+K125</f>
        <v>10413.599999999999</v>
      </c>
      <c r="M125" s="85"/>
      <c r="N125" s="66"/>
      <c r="O125" s="86"/>
    </row>
    <row r="126" spans="1:19" s="101" customFormat="1" ht="14.25" customHeight="1" x14ac:dyDescent="0.25">
      <c r="A126" s="12"/>
      <c r="B126" s="969" t="s">
        <v>111</v>
      </c>
      <c r="C126" s="970"/>
      <c r="D126" s="970"/>
      <c r="E126" s="970"/>
      <c r="F126" s="970"/>
      <c r="G126" s="970"/>
      <c r="H126" s="970"/>
      <c r="I126" s="970"/>
      <c r="J126" s="971"/>
      <c r="K126" s="223">
        <f>SUMIF(J14:J115,"sb(es)",K14:K115)</f>
        <v>553.6</v>
      </c>
      <c r="L126" s="223">
        <f t="shared" ref="L126:L129" si="4">+K126</f>
        <v>553.6</v>
      </c>
      <c r="M126" s="85"/>
      <c r="N126" s="66"/>
      <c r="O126" s="86"/>
    </row>
    <row r="127" spans="1:19" s="101" customFormat="1" ht="15.75" customHeight="1" x14ac:dyDescent="0.25">
      <c r="A127" s="12"/>
      <c r="B127" s="969" t="s">
        <v>112</v>
      </c>
      <c r="C127" s="970"/>
      <c r="D127" s="970"/>
      <c r="E127" s="970"/>
      <c r="F127" s="970"/>
      <c r="G127" s="970"/>
      <c r="H127" s="970"/>
      <c r="I127" s="970"/>
      <c r="J127" s="971"/>
      <c r="K127" s="223">
        <f>SUMIF(J14:J115,"sb(vb)",K14:K115)</f>
        <v>48.8</v>
      </c>
      <c r="L127" s="223">
        <f t="shared" si="4"/>
        <v>48.8</v>
      </c>
      <c r="M127" s="85"/>
      <c r="N127" s="66"/>
      <c r="O127" s="201"/>
    </row>
    <row r="128" spans="1:19" s="101" customFormat="1" ht="12.75" customHeight="1" x14ac:dyDescent="0.25">
      <c r="A128" s="12"/>
      <c r="B128" s="1100" t="s">
        <v>97</v>
      </c>
      <c r="C128" s="1101"/>
      <c r="D128" s="1101"/>
      <c r="E128" s="1101"/>
      <c r="F128" s="1101"/>
      <c r="G128" s="1101"/>
      <c r="H128" s="1101"/>
      <c r="I128" s="1101"/>
      <c r="J128" s="1101"/>
      <c r="K128" s="223">
        <f>SUMIF(J15:J116,"sb(p)",K15:K116)</f>
        <v>3245.8</v>
      </c>
      <c r="L128" s="223">
        <f t="shared" si="4"/>
        <v>3245.8</v>
      </c>
      <c r="M128" s="85"/>
      <c r="N128" s="66"/>
      <c r="O128" s="201"/>
    </row>
    <row r="129" spans="1:26" s="101" customFormat="1" ht="15" customHeight="1" x14ac:dyDescent="0.25">
      <c r="A129" s="12"/>
      <c r="B129" s="969" t="s">
        <v>127</v>
      </c>
      <c r="C129" s="970"/>
      <c r="D129" s="970"/>
      <c r="E129" s="970"/>
      <c r="F129" s="970"/>
      <c r="G129" s="970"/>
      <c r="H129" s="970"/>
      <c r="I129" s="970"/>
      <c r="J129" s="970"/>
      <c r="K129" s="173">
        <f>SUMIF(J14:J115,"sb(sp)",K14:K115)</f>
        <v>330.8</v>
      </c>
      <c r="L129" s="223">
        <f t="shared" si="4"/>
        <v>330.8</v>
      </c>
      <c r="M129" s="145"/>
      <c r="N129" s="66"/>
      <c r="O129" s="201"/>
    </row>
    <row r="130" spans="1:26" s="101" customFormat="1" ht="14.25" customHeight="1" x14ac:dyDescent="0.25">
      <c r="A130" s="12"/>
      <c r="B130" s="955" t="s">
        <v>148</v>
      </c>
      <c r="C130" s="956"/>
      <c r="D130" s="956"/>
      <c r="E130" s="956"/>
      <c r="F130" s="956"/>
      <c r="G130" s="956"/>
      <c r="H130" s="956"/>
      <c r="I130" s="956"/>
      <c r="J130" s="957"/>
      <c r="K130" s="257">
        <f>SUMIF(J15:J116,"sb(esl)",K15:K116)</f>
        <v>360.7</v>
      </c>
      <c r="L130" s="257">
        <f>+K130</f>
        <v>360.7</v>
      </c>
      <c r="M130" s="389"/>
      <c r="N130" s="66"/>
      <c r="O130" s="86"/>
    </row>
    <row r="131" spans="1:26" s="101" customFormat="1" ht="15.75" customHeight="1" x14ac:dyDescent="0.25">
      <c r="A131" s="12"/>
      <c r="B131" s="955" t="s">
        <v>149</v>
      </c>
      <c r="C131" s="956"/>
      <c r="D131" s="956"/>
      <c r="E131" s="956"/>
      <c r="F131" s="956"/>
      <c r="G131" s="956"/>
      <c r="H131" s="956"/>
      <c r="I131" s="956"/>
      <c r="J131" s="957"/>
      <c r="K131" s="257">
        <f>SUMIF(J15:J116,"sb(vbl)",K15:K116)</f>
        <v>31.8</v>
      </c>
      <c r="L131" s="257">
        <f t="shared" ref="L131:L133" si="5">+K131</f>
        <v>31.8</v>
      </c>
      <c r="M131" s="389"/>
      <c r="N131" s="66"/>
      <c r="O131" s="201"/>
    </row>
    <row r="132" spans="1:26" s="101" customFormat="1" ht="12.75" customHeight="1" x14ac:dyDescent="0.25">
      <c r="A132" s="12"/>
      <c r="B132" s="962" t="s">
        <v>60</v>
      </c>
      <c r="C132" s="963"/>
      <c r="D132" s="963"/>
      <c r="E132" s="963"/>
      <c r="F132" s="963"/>
      <c r="G132" s="963"/>
      <c r="H132" s="963"/>
      <c r="I132" s="963"/>
      <c r="J132" s="963"/>
      <c r="K132" s="257">
        <f>SUMIF(J14:J115,"sb(l)",K14:K115)</f>
        <v>1146</v>
      </c>
      <c r="L132" s="257">
        <f t="shared" si="5"/>
        <v>1146</v>
      </c>
      <c r="M132" s="389"/>
      <c r="N132" s="66"/>
      <c r="O132" s="201"/>
      <c r="S132" s="114"/>
    </row>
    <row r="133" spans="1:26" s="101" customFormat="1" ht="15" customHeight="1" x14ac:dyDescent="0.25">
      <c r="A133" s="12"/>
      <c r="B133" s="955" t="s">
        <v>58</v>
      </c>
      <c r="C133" s="956"/>
      <c r="D133" s="956"/>
      <c r="E133" s="956"/>
      <c r="F133" s="956"/>
      <c r="G133" s="956"/>
      <c r="H133" s="956"/>
      <c r="I133" s="956"/>
      <c r="J133" s="957"/>
      <c r="K133" s="257">
        <f>SUMIF(J14:J115,"sb(spl)",K14:K115)</f>
        <v>124.2</v>
      </c>
      <c r="L133" s="257">
        <f t="shared" si="5"/>
        <v>124.2</v>
      </c>
      <c r="M133" s="389"/>
      <c r="N133" s="66"/>
      <c r="O133" s="201"/>
    </row>
    <row r="134" spans="1:26" s="101" customFormat="1" x14ac:dyDescent="0.25">
      <c r="A134" s="12"/>
      <c r="B134" s="952" t="s">
        <v>48</v>
      </c>
      <c r="C134" s="953"/>
      <c r="D134" s="953"/>
      <c r="E134" s="953"/>
      <c r="F134" s="953"/>
      <c r="G134" s="953"/>
      <c r="H134" s="953"/>
      <c r="I134" s="953"/>
      <c r="J134" s="954"/>
      <c r="K134" s="194">
        <f>SUM(K135:K136)</f>
        <v>160.69999999999999</v>
      </c>
      <c r="L134" s="194">
        <f>SUM(L135:L136)</f>
        <v>160.69999999999999</v>
      </c>
      <c r="M134" s="390"/>
      <c r="N134" s="66"/>
      <c r="O134" s="202"/>
    </row>
    <row r="135" spans="1:26" s="101" customFormat="1" x14ac:dyDescent="0.25">
      <c r="A135" s="12"/>
      <c r="B135" s="1091" t="s">
        <v>49</v>
      </c>
      <c r="C135" s="1092"/>
      <c r="D135" s="1092"/>
      <c r="E135" s="1092"/>
      <c r="F135" s="1092"/>
      <c r="G135" s="1092"/>
      <c r="H135" s="1092"/>
      <c r="I135" s="1092"/>
      <c r="J135" s="1092"/>
      <c r="K135" s="261">
        <f>SUMIF(J14:J115,"lrvb",K14:K115)</f>
        <v>139.19999999999999</v>
      </c>
      <c r="L135" s="262">
        <f>+K135</f>
        <v>139.19999999999999</v>
      </c>
      <c r="M135" s="145"/>
      <c r="N135" s="66"/>
      <c r="O135" s="204"/>
      <c r="T135" s="114"/>
      <c r="Z135" s="114"/>
    </row>
    <row r="136" spans="1:26" s="101" customFormat="1" x14ac:dyDescent="0.25">
      <c r="A136" s="12"/>
      <c r="B136" s="1088" t="s">
        <v>155</v>
      </c>
      <c r="C136" s="1089"/>
      <c r="D136" s="1089"/>
      <c r="E136" s="1089"/>
      <c r="F136" s="1089"/>
      <c r="G136" s="1089"/>
      <c r="H136" s="1089"/>
      <c r="I136" s="1089"/>
      <c r="J136" s="1090"/>
      <c r="K136" s="262">
        <f>SUMIF(J15:J116,"Kt",K15:K116)</f>
        <v>21.5</v>
      </c>
      <c r="L136" s="261">
        <f>+K136</f>
        <v>21.5</v>
      </c>
      <c r="M136" s="145"/>
      <c r="N136" s="66"/>
      <c r="O136" s="204"/>
      <c r="T136" s="114"/>
      <c r="Z136" s="114"/>
    </row>
    <row r="137" spans="1:26" ht="13.8" thickBot="1" x14ac:dyDescent="0.3">
      <c r="A137" s="16"/>
      <c r="B137" s="949" t="s">
        <v>18</v>
      </c>
      <c r="C137" s="950"/>
      <c r="D137" s="950"/>
      <c r="E137" s="950"/>
      <c r="F137" s="950"/>
      <c r="G137" s="950"/>
      <c r="H137" s="950"/>
      <c r="I137" s="950"/>
      <c r="J137" s="951"/>
      <c r="K137" s="149">
        <f>K134+K123</f>
        <v>16416</v>
      </c>
      <c r="L137" s="149">
        <f>L134+L123</f>
        <v>16416</v>
      </c>
      <c r="M137" s="382"/>
      <c r="N137" s="66"/>
      <c r="O137" s="203"/>
    </row>
    <row r="138" spans="1:26" x14ac:dyDescent="0.25">
      <c r="F138" s="197" t="s">
        <v>74</v>
      </c>
      <c r="G138" s="197"/>
      <c r="H138" s="197"/>
      <c r="I138" s="197"/>
      <c r="J138" s="197"/>
      <c r="K138" s="196"/>
      <c r="L138" s="196"/>
      <c r="M138" s="196"/>
    </row>
    <row r="139" spans="1:26" x14ac:dyDescent="0.25">
      <c r="K139" s="100"/>
      <c r="L139" s="100"/>
      <c r="M139" s="100"/>
    </row>
    <row r="140" spans="1:26" x14ac:dyDescent="0.25">
      <c r="J140" s="250"/>
      <c r="K140" s="278">
        <f>+K137-K119</f>
        <v>0</v>
      </c>
      <c r="L140" s="278">
        <f>+L137-L119</f>
        <v>0</v>
      </c>
      <c r="M140" s="278"/>
      <c r="N140" s="279"/>
    </row>
    <row r="141" spans="1:26" x14ac:dyDescent="0.25">
      <c r="J141" s="250"/>
      <c r="K141" s="279"/>
      <c r="L141" s="279"/>
      <c r="M141" s="279"/>
      <c r="N141" s="279"/>
    </row>
    <row r="142" spans="1:26" x14ac:dyDescent="0.25">
      <c r="J142" s="251"/>
      <c r="K142" s="252"/>
      <c r="L142" s="252"/>
      <c r="M142" s="252"/>
      <c r="N142" s="250"/>
    </row>
    <row r="143" spans="1:26" x14ac:dyDescent="0.25">
      <c r="J143" s="251"/>
      <c r="K143" s="252"/>
      <c r="L143" s="252"/>
      <c r="M143" s="252"/>
      <c r="N143" s="250"/>
    </row>
    <row r="144" spans="1:26" x14ac:dyDescent="0.25">
      <c r="J144" s="250"/>
      <c r="K144" s="250"/>
      <c r="L144" s="250"/>
      <c r="M144" s="250"/>
      <c r="N144" s="250"/>
    </row>
  </sheetData>
  <mergeCells count="165">
    <mergeCell ref="P7:P9"/>
    <mergeCell ref="B132:J132"/>
    <mergeCell ref="B133:J133"/>
    <mergeCell ref="B134:J134"/>
    <mergeCell ref="B135:J135"/>
    <mergeCell ref="B136:J136"/>
    <mergeCell ref="B137:J137"/>
    <mergeCell ref="B126:J126"/>
    <mergeCell ref="B127:J127"/>
    <mergeCell ref="B128:J128"/>
    <mergeCell ref="B129:J129"/>
    <mergeCell ref="B130:J130"/>
    <mergeCell ref="B131:J131"/>
    <mergeCell ref="B119:J119"/>
    <mergeCell ref="B121:K121"/>
    <mergeCell ref="B122:J122"/>
    <mergeCell ref="B123:J123"/>
    <mergeCell ref="B124:J124"/>
    <mergeCell ref="B125:J125"/>
    <mergeCell ref="H115:H116"/>
    <mergeCell ref="I115:I116"/>
    <mergeCell ref="N115:N116"/>
    <mergeCell ref="C117:J117"/>
    <mergeCell ref="N117:O117"/>
    <mergeCell ref="B118:J118"/>
    <mergeCell ref="C112:N112"/>
    <mergeCell ref="E113:E114"/>
    <mergeCell ref="I113:I114"/>
    <mergeCell ref="N113:N114"/>
    <mergeCell ref="O113:O114"/>
    <mergeCell ref="B115:B116"/>
    <mergeCell ref="C115:C116"/>
    <mergeCell ref="D115:D116"/>
    <mergeCell ref="E115:E116"/>
    <mergeCell ref="F115:F116"/>
    <mergeCell ref="E107:E108"/>
    <mergeCell ref="G107:G109"/>
    <mergeCell ref="I107:I109"/>
    <mergeCell ref="F110:J110"/>
    <mergeCell ref="C111:J111"/>
    <mergeCell ref="N111:O111"/>
    <mergeCell ref="D101:D103"/>
    <mergeCell ref="E101:E103"/>
    <mergeCell ref="I101:I103"/>
    <mergeCell ref="N101:N103"/>
    <mergeCell ref="D104:D106"/>
    <mergeCell ref="E104:E106"/>
    <mergeCell ref="I104:I106"/>
    <mergeCell ref="N104:N106"/>
    <mergeCell ref="E92:E93"/>
    <mergeCell ref="I93:J93"/>
    <mergeCell ref="E95:E96"/>
    <mergeCell ref="N98:N99"/>
    <mergeCell ref="E77:E78"/>
    <mergeCell ref="G79:G80"/>
    <mergeCell ref="D89:D90"/>
    <mergeCell ref="E89:E90"/>
    <mergeCell ref="F89:F90"/>
    <mergeCell ref="H89:H90"/>
    <mergeCell ref="C72:J72"/>
    <mergeCell ref="N72:O72"/>
    <mergeCell ref="C73:O73"/>
    <mergeCell ref="B74:B76"/>
    <mergeCell ref="C74:C76"/>
    <mergeCell ref="E74:E76"/>
    <mergeCell ref="I74:I76"/>
    <mergeCell ref="I89:I90"/>
    <mergeCell ref="N89:N90"/>
    <mergeCell ref="A69:A71"/>
    <mergeCell ref="B69:B71"/>
    <mergeCell ref="C69:C71"/>
    <mergeCell ref="D69:D71"/>
    <mergeCell ref="E69:E71"/>
    <mergeCell ref="F69:F71"/>
    <mergeCell ref="I65:I66"/>
    <mergeCell ref="N65:N66"/>
    <mergeCell ref="E67:E68"/>
    <mergeCell ref="G67:G68"/>
    <mergeCell ref="I67:I68"/>
    <mergeCell ref="N67:N68"/>
    <mergeCell ref="I70:I71"/>
    <mergeCell ref="N70:N71"/>
    <mergeCell ref="N51:N52"/>
    <mergeCell ref="E53:E54"/>
    <mergeCell ref="I53:I54"/>
    <mergeCell ref="E62:E63"/>
    <mergeCell ref="A64:A66"/>
    <mergeCell ref="B64:B66"/>
    <mergeCell ref="C64:C66"/>
    <mergeCell ref="E64:E66"/>
    <mergeCell ref="F64:F66"/>
    <mergeCell ref="G64:G66"/>
    <mergeCell ref="L50:L51"/>
    <mergeCell ref="E48:E49"/>
    <mergeCell ref="F48:F49"/>
    <mergeCell ref="D50:D51"/>
    <mergeCell ref="E50:E52"/>
    <mergeCell ref="J50:J51"/>
    <mergeCell ref="K50:K51"/>
    <mergeCell ref="E30:E32"/>
    <mergeCell ref="E34:E36"/>
    <mergeCell ref="E38:E40"/>
    <mergeCell ref="D41:D43"/>
    <mergeCell ref="E41:E43"/>
    <mergeCell ref="E44:E45"/>
    <mergeCell ref="O24:O25"/>
    <mergeCell ref="C26:J26"/>
    <mergeCell ref="N26:O26"/>
    <mergeCell ref="C27:O27"/>
    <mergeCell ref="E28:E29"/>
    <mergeCell ref="I28:I29"/>
    <mergeCell ref="N28:N29"/>
    <mergeCell ref="N22:N23"/>
    <mergeCell ref="O22:O23"/>
    <mergeCell ref="A24:A25"/>
    <mergeCell ref="B24:B25"/>
    <mergeCell ref="C24:C25"/>
    <mergeCell ref="E24:E25"/>
    <mergeCell ref="F24:F25"/>
    <mergeCell ref="G24:G25"/>
    <mergeCell ref="H24:H25"/>
    <mergeCell ref="N24:N25"/>
    <mergeCell ref="H18:H20"/>
    <mergeCell ref="I18:I20"/>
    <mergeCell ref="N19:N20"/>
    <mergeCell ref="A21:A23"/>
    <mergeCell ref="B21:B23"/>
    <mergeCell ref="C21:C23"/>
    <mergeCell ref="E21:E23"/>
    <mergeCell ref="F21:F23"/>
    <mergeCell ref="G21:G23"/>
    <mergeCell ref="H21:H23"/>
    <mergeCell ref="A18:A20"/>
    <mergeCell ref="B18:B20"/>
    <mergeCell ref="C18:C20"/>
    <mergeCell ref="E18:E20"/>
    <mergeCell ref="F18:F20"/>
    <mergeCell ref="G18:G20"/>
    <mergeCell ref="A10:O10"/>
    <mergeCell ref="A11:O11"/>
    <mergeCell ref="B12:O12"/>
    <mergeCell ref="C13:O13"/>
    <mergeCell ref="E14:E15"/>
    <mergeCell ref="F14:F17"/>
    <mergeCell ref="G14:G17"/>
    <mergeCell ref="H14:H17"/>
    <mergeCell ref="N16:N17"/>
    <mergeCell ref="H7:H9"/>
    <mergeCell ref="I7:I9"/>
    <mergeCell ref="J7:J9"/>
    <mergeCell ref="K7:K9"/>
    <mergeCell ref="N7:O7"/>
    <mergeCell ref="N8:N9"/>
    <mergeCell ref="L7:L9"/>
    <mergeCell ref="I2:O2"/>
    <mergeCell ref="A3:O3"/>
    <mergeCell ref="A4:O4"/>
    <mergeCell ref="A5:O5"/>
    <mergeCell ref="A7:A9"/>
    <mergeCell ref="B7:B9"/>
    <mergeCell ref="C7:C9"/>
    <mergeCell ref="E7:E9"/>
    <mergeCell ref="F7:F9"/>
    <mergeCell ref="G7:G9"/>
    <mergeCell ref="M7:M9"/>
  </mergeCells>
  <printOptions horizontalCentered="1"/>
  <pageMargins left="0.78740157480314965" right="0.19685039370078741" top="0.59055118110236227" bottom="0.39370078740157483" header="0.31496062992125984" footer="0.31496062992125984"/>
  <pageSetup paperSize="9" scale="88" orientation="portrait" r:id="rId1"/>
  <rowBreaks count="2" manualBreakCount="2">
    <brk id="37" max="15" man="1"/>
    <brk id="68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Aiškinamoji lentelė</vt:lpstr>
      <vt:lpstr>11 MVP lyginamasis</vt:lpstr>
      <vt:lpstr>'11 MVP lyginamasis'!Print_Area</vt:lpstr>
      <vt:lpstr>'Aiškinamoji lentelė'!Print_Area</vt:lpstr>
      <vt:lpstr>'11 MVP lyginamasis'!Print_Titles</vt:lpstr>
      <vt:lpstr>'Aiškinamoji lentelė'!Print_Titles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Snieguole Kacerauskaite</cp:lastModifiedBy>
  <cp:lastPrinted>2021-01-15T13:33:44Z</cp:lastPrinted>
  <dcterms:created xsi:type="dcterms:W3CDTF">2015-11-25T08:18:21Z</dcterms:created>
  <dcterms:modified xsi:type="dcterms:W3CDTF">2021-01-17T15:39:06Z</dcterms:modified>
</cp:coreProperties>
</file>