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V.Palaimiene\Desktop\2021-02-00 PROJEKTAI\"/>
    </mc:Choice>
  </mc:AlternateContent>
  <bookViews>
    <workbookView xWindow="-120" yWindow="-120" windowWidth="13620" windowHeight="9315"/>
  </bookViews>
  <sheets>
    <sheet name="Priemonių planas" sheetId="9" r:id="rId1"/>
    <sheet name="Aiškinamoji lentelė" sheetId="8" r:id="rId2"/>
    <sheet name="Lyginamasis" sheetId="6" state="hidden" r:id="rId3"/>
    <sheet name="Lyginamasis variantas" sheetId="5" state="hidden" r:id="rId4"/>
  </sheets>
  <definedNames>
    <definedName name="_xlnm.Print_Area" localSheetId="1">'Aiškinamoji lentelė'!$A$2:$G$145</definedName>
    <definedName name="_xlnm.Print_Area" localSheetId="2">Lyginamasis!$A$1:$X$133</definedName>
    <definedName name="_xlnm.Print_Area" localSheetId="3">'Lyginamasis variantas'!$A$1:$Y$141</definedName>
    <definedName name="_xlnm.Print_Titles" localSheetId="1">'Aiškinamoji lentelė'!$3:$4</definedName>
    <definedName name="_xlnm.Print_Titles" localSheetId="2">Lyginamasis!$4:$6</definedName>
    <definedName name="_xlnm.Print_Titles" localSheetId="3">'Lyginamasis variantas'!$8:$9</definedName>
    <definedName name="_xlnm.Print_Titles" localSheetId="0">'Priemonių planas'!$3:$4</definedName>
  </definedNames>
  <calcPr calcId="162913"/>
</workbook>
</file>

<file path=xl/calcChain.xml><?xml version="1.0" encoding="utf-8"?>
<calcChain xmlns="http://schemas.openxmlformats.org/spreadsheetml/2006/main">
  <c r="H282" i="8" l="1"/>
  <c r="G141" i="8"/>
  <c r="F141" i="8"/>
  <c r="F80" i="8" l="1"/>
  <c r="E80" i="8"/>
  <c r="G60" i="8" l="1"/>
  <c r="E51" i="8" l="1"/>
  <c r="G50" i="8"/>
  <c r="G51" i="8" s="1"/>
  <c r="G203" i="8" l="1"/>
  <c r="F203" i="8"/>
  <c r="E203" i="8"/>
  <c r="F13" i="8" l="1"/>
  <c r="E13" i="8"/>
  <c r="G107" i="8" l="1"/>
  <c r="F107" i="8"/>
  <c r="E107" i="8"/>
  <c r="E19" i="8" l="1"/>
  <c r="G89" i="8" l="1"/>
  <c r="F89" i="8"/>
  <c r="E89" i="8"/>
  <c r="G19" i="8" l="1"/>
  <c r="F19" i="8"/>
  <c r="G94" i="8" l="1"/>
  <c r="F94" i="8"/>
  <c r="E94" i="8"/>
  <c r="G90" i="8" l="1"/>
  <c r="F90" i="8"/>
  <c r="E90" i="8"/>
  <c r="G75" i="8" l="1"/>
  <c r="F75" i="8"/>
  <c r="E75" i="8"/>
  <c r="G68" i="8"/>
  <c r="F68" i="8"/>
  <c r="E68" i="8"/>
  <c r="G83" i="8" l="1"/>
  <c r="F83" i="8"/>
  <c r="E83" i="8"/>
  <c r="E141" i="8"/>
  <c r="F48" i="8" l="1"/>
  <c r="F51" i="8" s="1"/>
  <c r="G45" i="8" l="1"/>
  <c r="F35" i="8" l="1"/>
  <c r="E35" i="8"/>
  <c r="F33" i="8"/>
  <c r="E33" i="8"/>
  <c r="G10" i="8"/>
  <c r="G282" i="8" s="1"/>
  <c r="F10" i="8"/>
  <c r="E10" i="8"/>
  <c r="F45" i="8" l="1"/>
  <c r="F282" i="8" s="1"/>
  <c r="E45" i="8"/>
  <c r="E282" i="8" s="1"/>
  <c r="J91" i="6"/>
  <c r="J10" i="6" l="1"/>
  <c r="M113" i="6" l="1"/>
  <c r="J113" i="6"/>
  <c r="A128" i="6" l="1"/>
  <c r="T59" i="6"/>
  <c r="G59" i="6"/>
  <c r="Q59" i="6"/>
  <c r="K59" i="6"/>
  <c r="L60" i="6"/>
  <c r="M60" i="6"/>
  <c r="O60" i="6"/>
  <c r="P60" i="6"/>
  <c r="U60" i="6"/>
  <c r="V60" i="6"/>
  <c r="M116" i="6" l="1"/>
  <c r="G80" i="6" l="1"/>
  <c r="F80" i="6"/>
  <c r="H80" i="6" s="1"/>
  <c r="Q79" i="6"/>
  <c r="N79" i="6"/>
  <c r="K79" i="6"/>
  <c r="G79" i="6"/>
  <c r="H79" i="6" s="1"/>
  <c r="F79" i="6"/>
  <c r="J78" i="6"/>
  <c r="G78" i="6" s="1"/>
  <c r="I78" i="6"/>
  <c r="F78" i="6" s="1"/>
  <c r="G77" i="6"/>
  <c r="F77" i="6"/>
  <c r="G76" i="6"/>
  <c r="F76" i="6"/>
  <c r="G75" i="6"/>
  <c r="F75" i="6"/>
  <c r="H75" i="6" s="1"/>
  <c r="G74" i="6"/>
  <c r="H74" i="6" s="1"/>
  <c r="F74" i="6"/>
  <c r="G73" i="6"/>
  <c r="H73" i="6" s="1"/>
  <c r="F73" i="6"/>
  <c r="G72" i="6"/>
  <c r="H72" i="6" s="1"/>
  <c r="F72" i="6"/>
  <c r="G71" i="6"/>
  <c r="F71" i="6"/>
  <c r="J70" i="6"/>
  <c r="G70" i="6" s="1"/>
  <c r="I70" i="6"/>
  <c r="F70" i="6"/>
  <c r="G69" i="6"/>
  <c r="F69" i="6"/>
  <c r="H69" i="6" s="1"/>
  <c r="G68" i="6"/>
  <c r="H68" i="6" s="1"/>
  <c r="F68" i="6"/>
  <c r="G67" i="6"/>
  <c r="H67" i="6" s="1"/>
  <c r="F67" i="6"/>
  <c r="Q66" i="6"/>
  <c r="N66" i="6"/>
  <c r="K66" i="6"/>
  <c r="G66" i="6"/>
  <c r="F66" i="6"/>
  <c r="H66" i="6" s="1"/>
  <c r="J65" i="6"/>
  <c r="G65" i="6" s="1"/>
  <c r="I65" i="6"/>
  <c r="F65" i="6" s="1"/>
  <c r="K64" i="6"/>
  <c r="G64" i="6"/>
  <c r="F64" i="6"/>
  <c r="G63" i="6"/>
  <c r="F63" i="6"/>
  <c r="H63" i="6" s="1"/>
  <c r="J62" i="6"/>
  <c r="G62" i="6" s="1"/>
  <c r="I62" i="6"/>
  <c r="F62" i="6" s="1"/>
  <c r="F59" i="6"/>
  <c r="N58" i="6"/>
  <c r="K58" i="6"/>
  <c r="G58" i="6"/>
  <c r="F58" i="6"/>
  <c r="K57" i="6"/>
  <c r="G57" i="6"/>
  <c r="F57" i="6"/>
  <c r="N56" i="6"/>
  <c r="K56" i="6"/>
  <c r="G56" i="6"/>
  <c r="H56" i="6" s="1"/>
  <c r="F56" i="6"/>
  <c r="G55" i="6"/>
  <c r="F55" i="6"/>
  <c r="K54" i="6"/>
  <c r="G54" i="6"/>
  <c r="F54" i="6"/>
  <c r="J53" i="6"/>
  <c r="I53" i="6"/>
  <c r="G53" i="6"/>
  <c r="F53" i="6"/>
  <c r="G52" i="6"/>
  <c r="F52" i="6"/>
  <c r="G51" i="6"/>
  <c r="F51" i="6"/>
  <c r="S50" i="6"/>
  <c r="R50" i="6"/>
  <c r="F50" i="6" s="1"/>
  <c r="G49" i="6"/>
  <c r="F49" i="6"/>
  <c r="G48" i="6"/>
  <c r="H48" i="6" s="1"/>
  <c r="F48" i="6"/>
  <c r="G47" i="6"/>
  <c r="F47" i="6"/>
  <c r="G46" i="6"/>
  <c r="H46" i="6" s="1"/>
  <c r="F46" i="6"/>
  <c r="G45" i="6"/>
  <c r="F45" i="6"/>
  <c r="K44" i="6"/>
  <c r="G44" i="6"/>
  <c r="F44" i="6"/>
  <c r="K43" i="6"/>
  <c r="G43" i="6"/>
  <c r="H43" i="6" s="1"/>
  <c r="F43" i="6"/>
  <c r="G42" i="6"/>
  <c r="H42" i="6" s="1"/>
  <c r="F42" i="6"/>
  <c r="T41" i="6"/>
  <c r="G41" i="6"/>
  <c r="F41" i="6"/>
  <c r="G40" i="6"/>
  <c r="F40" i="6"/>
  <c r="T39" i="6"/>
  <c r="N39" i="6"/>
  <c r="K39" i="6"/>
  <c r="G39" i="6"/>
  <c r="F39" i="6"/>
  <c r="T38" i="6"/>
  <c r="K38" i="6"/>
  <c r="G38" i="6"/>
  <c r="F38" i="6"/>
  <c r="T37" i="6"/>
  <c r="J37" i="6"/>
  <c r="K37" i="6" s="1"/>
  <c r="F37" i="6"/>
  <c r="G36" i="6"/>
  <c r="H36" i="6" s="1"/>
  <c r="F36" i="6"/>
  <c r="K35" i="6"/>
  <c r="G35" i="6"/>
  <c r="H35" i="6" s="1"/>
  <c r="F35" i="6"/>
  <c r="J34" i="6"/>
  <c r="I34" i="6"/>
  <c r="F34" i="6"/>
  <c r="T33" i="6"/>
  <c r="K33" i="6"/>
  <c r="G33" i="6"/>
  <c r="F33" i="6"/>
  <c r="W32" i="6"/>
  <c r="T32" i="6"/>
  <c r="Q32" i="6"/>
  <c r="N32" i="6"/>
  <c r="N60" i="6" s="1"/>
  <c r="K32" i="6"/>
  <c r="G32" i="6"/>
  <c r="F32" i="6"/>
  <c r="W31" i="6"/>
  <c r="R31" i="6"/>
  <c r="Q31" i="6"/>
  <c r="Q60" i="6" s="1"/>
  <c r="K31" i="6"/>
  <c r="G31" i="6"/>
  <c r="H31" i="6" s="1"/>
  <c r="F31" i="6"/>
  <c r="G28" i="6"/>
  <c r="F28" i="6"/>
  <c r="K29" i="6"/>
  <c r="G27" i="6"/>
  <c r="F27" i="6"/>
  <c r="G26" i="6"/>
  <c r="F26" i="6"/>
  <c r="H26" i="6" s="1"/>
  <c r="G25" i="6"/>
  <c r="H25" i="6" s="1"/>
  <c r="F25" i="6"/>
  <c r="G24" i="6"/>
  <c r="F24" i="6"/>
  <c r="G23" i="6"/>
  <c r="H23" i="6" s="1"/>
  <c r="F23" i="6"/>
  <c r="G22" i="6"/>
  <c r="F22" i="6"/>
  <c r="G21" i="6"/>
  <c r="H21" i="6" s="1"/>
  <c r="F21" i="6"/>
  <c r="M20" i="6"/>
  <c r="G20" i="6" s="1"/>
  <c r="F20" i="6"/>
  <c r="Q19" i="6"/>
  <c r="N19" i="6"/>
  <c r="K19" i="6"/>
  <c r="G19" i="6"/>
  <c r="F19" i="6"/>
  <c r="G18" i="6"/>
  <c r="F18" i="6"/>
  <c r="G17" i="6"/>
  <c r="H17" i="6" s="1"/>
  <c r="F17" i="6"/>
  <c r="G16" i="6"/>
  <c r="F16" i="6"/>
  <c r="G15" i="6"/>
  <c r="H15" i="6" s="1"/>
  <c r="F15" i="6"/>
  <c r="K12" i="6"/>
  <c r="J12" i="6"/>
  <c r="G12" i="6"/>
  <c r="H12" i="6" s="1"/>
  <c r="F12" i="6"/>
  <c r="G11" i="6"/>
  <c r="F11" i="6"/>
  <c r="G10" i="6"/>
  <c r="F10" i="6"/>
  <c r="W9" i="6"/>
  <c r="N9" i="6"/>
  <c r="K9" i="6"/>
  <c r="G9" i="6"/>
  <c r="F9" i="6"/>
  <c r="I13" i="6"/>
  <c r="L13" i="6"/>
  <c r="M13" i="6"/>
  <c r="O13" i="6"/>
  <c r="P13" i="6"/>
  <c r="R13" i="6"/>
  <c r="S13" i="6"/>
  <c r="U13" i="6"/>
  <c r="V13" i="6"/>
  <c r="I29" i="6"/>
  <c r="J29" i="6"/>
  <c r="L29" i="6"/>
  <c r="O29" i="6"/>
  <c r="P29" i="6"/>
  <c r="Q29" i="6"/>
  <c r="R29" i="6"/>
  <c r="S29" i="6"/>
  <c r="T29" i="6"/>
  <c r="U29" i="6"/>
  <c r="V29" i="6"/>
  <c r="W29" i="6"/>
  <c r="L81" i="6"/>
  <c r="M81" i="6"/>
  <c r="N81" i="6"/>
  <c r="O81" i="6"/>
  <c r="P81" i="6"/>
  <c r="R81" i="6"/>
  <c r="S81" i="6"/>
  <c r="T81" i="6"/>
  <c r="U81" i="6"/>
  <c r="V81" i="6"/>
  <c r="W81" i="6"/>
  <c r="X81" i="6"/>
  <c r="F83" i="6"/>
  <c r="G83" i="6"/>
  <c r="F84" i="6"/>
  <c r="G84" i="6"/>
  <c r="F85" i="6"/>
  <c r="G85" i="6"/>
  <c r="F86" i="6"/>
  <c r="G86" i="6"/>
  <c r="J81" i="6" l="1"/>
  <c r="H9" i="6"/>
  <c r="F13" i="6"/>
  <c r="F29" i="6"/>
  <c r="H28" i="6"/>
  <c r="I60" i="6"/>
  <c r="H41" i="6"/>
  <c r="H51" i="6"/>
  <c r="H53" i="6"/>
  <c r="H54" i="6"/>
  <c r="H58" i="6"/>
  <c r="H77" i="6"/>
  <c r="Q81" i="6"/>
  <c r="H20" i="6"/>
  <c r="K34" i="6"/>
  <c r="K60" i="6" s="1"/>
  <c r="J60" i="6"/>
  <c r="K81" i="6"/>
  <c r="H70" i="6"/>
  <c r="M29" i="6"/>
  <c r="H22" i="6"/>
  <c r="H27" i="6"/>
  <c r="T31" i="6"/>
  <c r="T60" i="6" s="1"/>
  <c r="R60" i="6"/>
  <c r="W60" i="6"/>
  <c r="F60" i="6"/>
  <c r="G50" i="6"/>
  <c r="S60" i="6"/>
  <c r="H62" i="6"/>
  <c r="H64" i="6"/>
  <c r="H65" i="6"/>
  <c r="H81" i="6" s="1"/>
  <c r="H71" i="6"/>
  <c r="H76" i="6"/>
  <c r="H78" i="6"/>
  <c r="H59" i="6"/>
  <c r="G60" i="6"/>
  <c r="H24" i="6"/>
  <c r="H38" i="6"/>
  <c r="H39" i="6"/>
  <c r="H10" i="6"/>
  <c r="H11" i="6"/>
  <c r="H16" i="6"/>
  <c r="H18" i="6"/>
  <c r="H29" i="6" s="1"/>
  <c r="H33" i="6"/>
  <c r="H45" i="6"/>
  <c r="H47" i="6"/>
  <c r="H50" i="6"/>
  <c r="H52" i="6"/>
  <c r="H19" i="6"/>
  <c r="H57" i="6"/>
  <c r="H32" i="6"/>
  <c r="H40" i="6"/>
  <c r="H44" i="6"/>
  <c r="H49" i="6"/>
  <c r="H55" i="6"/>
  <c r="N29" i="6"/>
  <c r="G34" i="6"/>
  <c r="H34" i="6" s="1"/>
  <c r="G37" i="6"/>
  <c r="H37" i="6" s="1"/>
  <c r="G29" i="6"/>
  <c r="F81" i="6"/>
  <c r="G81" i="6"/>
  <c r="I81" i="6"/>
  <c r="J13" i="6"/>
  <c r="I127" i="6"/>
  <c r="L127" i="6"/>
  <c r="M127" i="6"/>
  <c r="N127" i="6"/>
  <c r="R127" i="6"/>
  <c r="S127" i="6"/>
  <c r="T127" i="6"/>
  <c r="H60" i="6" l="1"/>
  <c r="G13" i="6"/>
  <c r="Q126" i="6"/>
  <c r="H126" i="6" s="1"/>
  <c r="F126" i="6"/>
  <c r="G126" i="6"/>
  <c r="V122" i="6"/>
  <c r="W122" i="6" s="1"/>
  <c r="W127" i="6" s="1"/>
  <c r="J122" i="6"/>
  <c r="G116" i="6"/>
  <c r="J107" i="6"/>
  <c r="K107" i="6" s="1"/>
  <c r="J106" i="6"/>
  <c r="K106" i="6" s="1"/>
  <c r="P105" i="6"/>
  <c r="Q105" i="6" s="1"/>
  <c r="M105" i="6"/>
  <c r="N105" i="6" s="1"/>
  <c r="J105" i="6"/>
  <c r="G105" i="6" l="1"/>
  <c r="K122" i="6"/>
  <c r="K127" i="6" s="1"/>
  <c r="J127" i="6"/>
  <c r="K105" i="6"/>
  <c r="J99" i="6"/>
  <c r="K99" i="6" s="1"/>
  <c r="J96" i="6"/>
  <c r="K96" i="6" s="1"/>
  <c r="K91" i="6"/>
  <c r="O125" i="6" l="1"/>
  <c r="O127" i="6" s="1"/>
  <c r="I113" i="6"/>
  <c r="L113" i="6"/>
  <c r="I93" i="6"/>
  <c r="G113" i="6" l="1"/>
  <c r="H113" i="6" l="1"/>
  <c r="G122" i="6" l="1"/>
  <c r="G123" i="6"/>
  <c r="G124" i="6"/>
  <c r="G91" i="6"/>
  <c r="G92" i="6"/>
  <c r="G94" i="6"/>
  <c r="G95" i="6"/>
  <c r="G96" i="6"/>
  <c r="G98" i="6"/>
  <c r="G99" i="6"/>
  <c r="G100" i="6"/>
  <c r="G101" i="6"/>
  <c r="G102" i="6"/>
  <c r="G90" i="6"/>
  <c r="F99" i="6"/>
  <c r="H99" i="6" l="1"/>
  <c r="K88" i="6" l="1"/>
  <c r="L88" i="6"/>
  <c r="M88" i="6"/>
  <c r="N88" i="6"/>
  <c r="O88" i="6"/>
  <c r="P88" i="6"/>
  <c r="Q88" i="6"/>
  <c r="R88" i="6"/>
  <c r="S88" i="6"/>
  <c r="T88" i="6"/>
  <c r="U88" i="6"/>
  <c r="V88" i="6"/>
  <c r="W88" i="6"/>
  <c r="I88" i="6"/>
  <c r="J88" i="6"/>
  <c r="L103" i="6"/>
  <c r="M103" i="6"/>
  <c r="N103" i="6"/>
  <c r="O103" i="6"/>
  <c r="P103" i="6"/>
  <c r="R103" i="6"/>
  <c r="S103" i="6"/>
  <c r="T103" i="6"/>
  <c r="U103" i="6"/>
  <c r="V103" i="6"/>
  <c r="W103" i="6"/>
  <c r="F125" i="6"/>
  <c r="F113" i="6"/>
  <c r="F105" i="6"/>
  <c r="H105" i="6" s="1"/>
  <c r="F91" i="6"/>
  <c r="H91" i="6" s="1"/>
  <c r="F92" i="6"/>
  <c r="F94" i="6"/>
  <c r="F95" i="6"/>
  <c r="F96" i="6"/>
  <c r="H96" i="6" s="1"/>
  <c r="F97" i="6"/>
  <c r="F98" i="6"/>
  <c r="F100" i="6"/>
  <c r="F101" i="6"/>
  <c r="F102" i="6"/>
  <c r="F90" i="6"/>
  <c r="V121" i="6"/>
  <c r="V127" i="6" s="1"/>
  <c r="V119" i="6"/>
  <c r="V111" i="6"/>
  <c r="G121" i="6" l="1"/>
  <c r="V128" i="6"/>
  <c r="T128" i="6"/>
  <c r="W128" i="6"/>
  <c r="F93" i="6" l="1"/>
  <c r="F103" i="6" s="1"/>
  <c r="Q103" i="6" l="1"/>
  <c r="P125" i="6" l="1"/>
  <c r="G125" i="6" l="1"/>
  <c r="G127" i="6" s="1"/>
  <c r="P127" i="6"/>
  <c r="Q125" i="6"/>
  <c r="Q127" i="6" s="1"/>
  <c r="H125" i="6"/>
  <c r="S119" i="6"/>
  <c r="S111" i="6"/>
  <c r="N119" i="6"/>
  <c r="N128" i="6" s="1"/>
  <c r="M119" i="6"/>
  <c r="M128" i="6" s="1"/>
  <c r="M111" i="6"/>
  <c r="S128" i="6" l="1"/>
  <c r="G118" i="6" l="1"/>
  <c r="G108" i="6"/>
  <c r="O119" i="6" l="1"/>
  <c r="O111" i="6"/>
  <c r="J97" i="6"/>
  <c r="G97" i="6" s="1"/>
  <c r="J93" i="6"/>
  <c r="G93" i="6" l="1"/>
  <c r="K93" i="6"/>
  <c r="H93" i="6" s="1"/>
  <c r="G103" i="6"/>
  <c r="J103" i="6"/>
  <c r="O128" i="6"/>
  <c r="Q128" i="6"/>
  <c r="K97" i="6"/>
  <c r="I103" i="6"/>
  <c r="K103" i="6" l="1"/>
  <c r="J111" i="6"/>
  <c r="J119" i="6"/>
  <c r="J128" i="6" s="1"/>
  <c r="H97" i="6" l="1"/>
  <c r="X111" i="6" l="1"/>
  <c r="X88" i="6"/>
  <c r="U111" i="6"/>
  <c r="U119" i="6"/>
  <c r="U121" i="6"/>
  <c r="U127" i="6" s="1"/>
  <c r="F124" i="6"/>
  <c r="F123" i="6"/>
  <c r="F122" i="6"/>
  <c r="H122" i="6" s="1"/>
  <c r="H127" i="6" s="1"/>
  <c r="G114" i="6"/>
  <c r="G115" i="6"/>
  <c r="G117" i="6"/>
  <c r="G109" i="6"/>
  <c r="F110" i="6"/>
  <c r="F108" i="6"/>
  <c r="G110" i="6"/>
  <c r="F109" i="6"/>
  <c r="F106" i="6"/>
  <c r="F107" i="6"/>
  <c r="G106" i="6"/>
  <c r="G107" i="6"/>
  <c r="H107" i="6" s="1"/>
  <c r="G87" i="6"/>
  <c r="F87" i="6"/>
  <c r="G13" i="5"/>
  <c r="H13" i="5"/>
  <c r="R119" i="6"/>
  <c r="P119" i="6"/>
  <c r="L119" i="6"/>
  <c r="I119" i="6"/>
  <c r="F118" i="6"/>
  <c r="F117" i="6"/>
  <c r="F116" i="6"/>
  <c r="F115" i="6"/>
  <c r="F114" i="6"/>
  <c r="R111" i="6"/>
  <c r="P111" i="6"/>
  <c r="L111" i="6"/>
  <c r="I111" i="6"/>
  <c r="L128" i="6"/>
  <c r="H106" i="6" l="1"/>
  <c r="G119" i="6"/>
  <c r="F88" i="6"/>
  <c r="G88" i="6"/>
  <c r="R128" i="6"/>
  <c r="P128" i="6"/>
  <c r="F121" i="6"/>
  <c r="F127" i="6" s="1"/>
  <c r="U128" i="6"/>
  <c r="F111" i="6"/>
  <c r="G111" i="6"/>
  <c r="F119" i="6"/>
  <c r="I128" i="6" l="1"/>
  <c r="K128" i="6" s="1"/>
  <c r="F128" i="6"/>
  <c r="G128" i="6" l="1"/>
  <c r="H103" i="6"/>
  <c r="H128" i="6" s="1"/>
  <c r="K131" i="5" l="1"/>
  <c r="H131" i="5" l="1"/>
  <c r="L131" i="5"/>
  <c r="K99" i="5" l="1"/>
  <c r="L99" i="5" s="1"/>
  <c r="K96" i="5" l="1"/>
  <c r="H96" i="5" s="1"/>
  <c r="L93" i="5"/>
  <c r="R78" i="5" l="1"/>
  <c r="O78" i="5"/>
  <c r="K24" i="5" l="1"/>
  <c r="R24" i="5" l="1"/>
  <c r="O24" i="5"/>
  <c r="L24" i="5"/>
  <c r="L23" i="5"/>
  <c r="J96" i="5" l="1"/>
  <c r="L96" i="5" s="1"/>
  <c r="J126" i="5"/>
  <c r="M82" i="5"/>
  <c r="J82" i="5"/>
  <c r="J81" i="5"/>
  <c r="J80" i="5"/>
  <c r="J79" i="5"/>
  <c r="J78" i="5"/>
  <c r="L78" i="5" s="1"/>
  <c r="J77" i="5"/>
  <c r="G37" i="5"/>
  <c r="S43" i="5"/>
  <c r="J64" i="5"/>
  <c r="J61" i="5"/>
  <c r="J55" i="5"/>
  <c r="J51" i="5"/>
  <c r="J48" i="5"/>
  <c r="H37" i="5"/>
  <c r="K16" i="5"/>
  <c r="J16" i="5"/>
  <c r="V17" i="5"/>
  <c r="V32" i="5"/>
  <c r="V45" i="5"/>
  <c r="V49" i="5"/>
  <c r="V89" i="5"/>
  <c r="V97" i="5"/>
  <c r="V115" i="5"/>
  <c r="V123" i="5"/>
  <c r="V132" i="5"/>
  <c r="V138" i="5"/>
  <c r="S17" i="5"/>
  <c r="S32" i="5"/>
  <c r="S34" i="5"/>
  <c r="S66" i="5" s="1"/>
  <c r="S139" i="5" s="1"/>
  <c r="S89" i="5"/>
  <c r="S97" i="5"/>
  <c r="S115" i="5"/>
  <c r="S123" i="5"/>
  <c r="S132" i="5"/>
  <c r="S138" i="5"/>
  <c r="V66" i="5" l="1"/>
  <c r="V139" i="5" s="1"/>
  <c r="T34" i="5"/>
  <c r="H34" i="5" s="1"/>
  <c r="K77" i="5" l="1"/>
  <c r="L132" i="5" l="1"/>
  <c r="K126" i="5"/>
  <c r="H126" i="5" s="1"/>
  <c r="H94" i="5"/>
  <c r="H95" i="5"/>
  <c r="K55" i="5" l="1"/>
  <c r="K51" i="5"/>
  <c r="K48" i="5" l="1"/>
  <c r="T43" i="5"/>
  <c r="K61" i="5" l="1"/>
  <c r="H24" i="5"/>
  <c r="H83" i="5"/>
  <c r="K81" i="5" l="1"/>
  <c r="K80" i="5"/>
  <c r="K79" i="5"/>
  <c r="H79" i="5" s="1"/>
  <c r="M97" i="5" l="1"/>
  <c r="N97" i="5"/>
  <c r="O97" i="5"/>
  <c r="P97" i="5"/>
  <c r="Q97" i="5"/>
  <c r="R97" i="5"/>
  <c r="T97" i="5"/>
  <c r="U97" i="5"/>
  <c r="W97" i="5"/>
  <c r="J17" i="5" l="1"/>
  <c r="K17" i="5"/>
  <c r="M17" i="5"/>
  <c r="N17" i="5"/>
  <c r="O17" i="5"/>
  <c r="P17" i="5"/>
  <c r="Q17" i="5"/>
  <c r="R17" i="5"/>
  <c r="T17" i="5"/>
  <c r="U17" i="5"/>
  <c r="P32" i="5"/>
  <c r="Q32" i="5"/>
  <c r="T32" i="5"/>
  <c r="U32" i="5"/>
  <c r="W32" i="5"/>
  <c r="X32" i="5"/>
  <c r="M66" i="5"/>
  <c r="N66" i="5"/>
  <c r="P66" i="5"/>
  <c r="Q66" i="5"/>
  <c r="T66" i="5"/>
  <c r="M89" i="5"/>
  <c r="P89" i="5"/>
  <c r="Q89" i="5"/>
  <c r="T89" i="5"/>
  <c r="U89" i="5"/>
  <c r="N82" i="5"/>
  <c r="K82" i="5"/>
  <c r="O89" i="5" l="1"/>
  <c r="L89" i="5"/>
  <c r="R32" i="5"/>
  <c r="O32" i="5"/>
  <c r="L17" i="5"/>
  <c r="L32" i="5" l="1"/>
  <c r="U139" i="5"/>
  <c r="O139" i="5"/>
  <c r="H134" i="5"/>
  <c r="G135" i="5"/>
  <c r="H135" i="5"/>
  <c r="G136" i="5"/>
  <c r="H136" i="5"/>
  <c r="G137" i="5"/>
  <c r="H137" i="5"/>
  <c r="G134" i="5"/>
  <c r="G126" i="5"/>
  <c r="I132" i="5" s="1"/>
  <c r="G127" i="5"/>
  <c r="H127" i="5"/>
  <c r="G128" i="5"/>
  <c r="H128" i="5"/>
  <c r="G129" i="5"/>
  <c r="H129" i="5"/>
  <c r="G130" i="5"/>
  <c r="H130" i="5"/>
  <c r="G131" i="5"/>
  <c r="I131" i="5" s="1"/>
  <c r="G119" i="5"/>
  <c r="H119" i="5"/>
  <c r="G120" i="5"/>
  <c r="H120" i="5"/>
  <c r="G121" i="5"/>
  <c r="H121" i="5"/>
  <c r="G122" i="5"/>
  <c r="H122" i="5"/>
  <c r="H118" i="5"/>
  <c r="G118" i="5"/>
  <c r="G100" i="5"/>
  <c r="H100" i="5"/>
  <c r="G101" i="5"/>
  <c r="H101" i="5"/>
  <c r="G102" i="5"/>
  <c r="H102" i="5"/>
  <c r="G104" i="5"/>
  <c r="H104" i="5"/>
  <c r="G105" i="5"/>
  <c r="H105" i="5"/>
  <c r="G106" i="5"/>
  <c r="H106" i="5"/>
  <c r="G107" i="5"/>
  <c r="H107" i="5"/>
  <c r="G108" i="5"/>
  <c r="H108" i="5"/>
  <c r="G109" i="5"/>
  <c r="H109" i="5"/>
  <c r="G110" i="5"/>
  <c r="H110" i="5"/>
  <c r="G111" i="5"/>
  <c r="H111" i="5"/>
  <c r="G112" i="5"/>
  <c r="H112" i="5"/>
  <c r="G113" i="5"/>
  <c r="H113" i="5"/>
  <c r="G114" i="5"/>
  <c r="H114" i="5"/>
  <c r="H99" i="5"/>
  <c r="I99" i="5" s="1"/>
  <c r="G99" i="5"/>
  <c r="G93" i="5"/>
  <c r="I93" i="5" s="1"/>
  <c r="G94" i="5"/>
  <c r="G95" i="5"/>
  <c r="G96" i="5"/>
  <c r="I96" i="5" s="1"/>
  <c r="H91" i="5"/>
  <c r="G91" i="5"/>
  <c r="G69" i="5"/>
  <c r="H69" i="5"/>
  <c r="G70" i="5"/>
  <c r="H70" i="5"/>
  <c r="G71" i="5"/>
  <c r="H71" i="5"/>
  <c r="G72" i="5"/>
  <c r="H72" i="5"/>
  <c r="G73" i="5"/>
  <c r="H73" i="5"/>
  <c r="G74" i="5"/>
  <c r="H74" i="5"/>
  <c r="G75" i="5"/>
  <c r="H75" i="5"/>
  <c r="G76" i="5"/>
  <c r="H76" i="5"/>
  <c r="G77" i="5"/>
  <c r="H77" i="5"/>
  <c r="G78" i="5"/>
  <c r="H78" i="5"/>
  <c r="I78" i="5" s="1"/>
  <c r="G79" i="5"/>
  <c r="G80" i="5"/>
  <c r="H80" i="5"/>
  <c r="G81" i="5"/>
  <c r="H81" i="5"/>
  <c r="G82" i="5"/>
  <c r="H82" i="5"/>
  <c r="G83" i="5"/>
  <c r="I83" i="5" s="1"/>
  <c r="G84" i="5"/>
  <c r="H84" i="5"/>
  <c r="G86" i="5"/>
  <c r="H86" i="5"/>
  <c r="G87" i="5"/>
  <c r="G88" i="5"/>
  <c r="H88" i="5"/>
  <c r="H68" i="5"/>
  <c r="G68" i="5"/>
  <c r="G36" i="5"/>
  <c r="H36" i="5"/>
  <c r="G38" i="5"/>
  <c r="H38" i="5"/>
  <c r="G39" i="5"/>
  <c r="H39" i="5"/>
  <c r="G40" i="5"/>
  <c r="H40" i="5"/>
  <c r="G41" i="5"/>
  <c r="H41" i="5"/>
  <c r="G42" i="5"/>
  <c r="H42" i="5"/>
  <c r="G43" i="5"/>
  <c r="H43" i="5"/>
  <c r="G44" i="5"/>
  <c r="H44" i="5"/>
  <c r="G48" i="5"/>
  <c r="H48" i="5"/>
  <c r="G50" i="5"/>
  <c r="H50" i="5"/>
  <c r="H51" i="5"/>
  <c r="G52" i="5"/>
  <c r="H52" i="5"/>
  <c r="G53" i="5"/>
  <c r="H53" i="5"/>
  <c r="G54" i="5"/>
  <c r="H54" i="5"/>
  <c r="G55" i="5"/>
  <c r="H55" i="5"/>
  <c r="G56" i="5"/>
  <c r="H56" i="5"/>
  <c r="G57" i="5"/>
  <c r="H57" i="5"/>
  <c r="G58" i="5"/>
  <c r="H58" i="5"/>
  <c r="G59" i="5"/>
  <c r="H59" i="5"/>
  <c r="G60" i="5"/>
  <c r="H60" i="5"/>
  <c r="H61" i="5"/>
  <c r="G62" i="5"/>
  <c r="H62" i="5"/>
  <c r="G63" i="5"/>
  <c r="H63" i="5"/>
  <c r="G65" i="5"/>
  <c r="H65" i="5"/>
  <c r="G34" i="5"/>
  <c r="G20" i="5"/>
  <c r="H20" i="5"/>
  <c r="G21" i="5"/>
  <c r="H21" i="5"/>
  <c r="G22" i="5"/>
  <c r="H22" i="5"/>
  <c r="G23" i="5"/>
  <c r="H23" i="5"/>
  <c r="I23" i="5" s="1"/>
  <c r="G24" i="5"/>
  <c r="I24" i="5" s="1"/>
  <c r="G25" i="5"/>
  <c r="H25" i="5"/>
  <c r="G26" i="5"/>
  <c r="H26" i="5"/>
  <c r="G27" i="5"/>
  <c r="H27" i="5"/>
  <c r="G28" i="5"/>
  <c r="H28" i="5"/>
  <c r="G29" i="5"/>
  <c r="H29" i="5"/>
  <c r="G31" i="5"/>
  <c r="H31" i="5"/>
  <c r="H19" i="5"/>
  <c r="G19" i="5"/>
  <c r="H14" i="5"/>
  <c r="H15" i="5"/>
  <c r="H16" i="5"/>
  <c r="G14" i="5"/>
  <c r="G15" i="5"/>
  <c r="G16" i="5"/>
  <c r="W138" i="5"/>
  <c r="W132" i="5"/>
  <c r="W123" i="5"/>
  <c r="W115" i="5"/>
  <c r="W89" i="5"/>
  <c r="W49" i="5"/>
  <c r="H49" i="5" s="1"/>
  <c r="W45" i="5"/>
  <c r="H45" i="5" s="1"/>
  <c r="W17" i="5"/>
  <c r="G49" i="5"/>
  <c r="G45" i="5"/>
  <c r="T138" i="5"/>
  <c r="T132" i="5"/>
  <c r="T123" i="5"/>
  <c r="T115" i="5"/>
  <c r="Q138" i="5"/>
  <c r="Q132" i="5"/>
  <c r="Q123" i="5"/>
  <c r="Q115" i="5"/>
  <c r="Q139" i="5" s="1"/>
  <c r="N138" i="5"/>
  <c r="N132" i="5"/>
  <c r="N123" i="5"/>
  <c r="N115" i="5"/>
  <c r="N30" i="5"/>
  <c r="N32" i="5" s="1"/>
  <c r="K138" i="5"/>
  <c r="K132" i="5"/>
  <c r="K123" i="5"/>
  <c r="K103" i="5"/>
  <c r="K115" i="5" s="1"/>
  <c r="K85" i="5"/>
  <c r="K89" i="5" s="1"/>
  <c r="K64" i="5"/>
  <c r="H64" i="5" s="1"/>
  <c r="K30" i="5"/>
  <c r="K32" i="5" s="1"/>
  <c r="T139" i="5" l="1"/>
  <c r="H103" i="5"/>
  <c r="H115" i="5" s="1"/>
  <c r="H123" i="5"/>
  <c r="H85" i="5"/>
  <c r="K66" i="5"/>
  <c r="H66" i="5"/>
  <c r="I82" i="5"/>
  <c r="I17" i="5"/>
  <c r="G17" i="5"/>
  <c r="G123" i="5"/>
  <c r="H30" i="5"/>
  <c r="H32" i="5" s="1"/>
  <c r="W66" i="5"/>
  <c r="W139" i="5" s="1"/>
  <c r="H132" i="5"/>
  <c r="H138" i="5"/>
  <c r="H17" i="5"/>
  <c r="I32" i="5" l="1"/>
  <c r="I89" i="5"/>
  <c r="X138" i="5"/>
  <c r="P138" i="5"/>
  <c r="M138" i="5"/>
  <c r="J138" i="5"/>
  <c r="X132" i="5"/>
  <c r="P132" i="5"/>
  <c r="M132" i="5"/>
  <c r="J132" i="5"/>
  <c r="P123" i="5"/>
  <c r="M123" i="5"/>
  <c r="J123" i="5"/>
  <c r="P115" i="5"/>
  <c r="M115" i="5"/>
  <c r="J103" i="5"/>
  <c r="G103" i="5" s="1"/>
  <c r="X97" i="5"/>
  <c r="M139" i="5"/>
  <c r="X89" i="5"/>
  <c r="J85" i="5"/>
  <c r="G64" i="5"/>
  <c r="M30" i="5"/>
  <c r="M32" i="5" s="1"/>
  <c r="J30" i="5"/>
  <c r="X17" i="5"/>
  <c r="P139" i="5" l="1"/>
  <c r="J66" i="5"/>
  <c r="G51" i="5"/>
  <c r="G61" i="5"/>
  <c r="J89" i="5"/>
  <c r="G85" i="5"/>
  <c r="J32" i="5"/>
  <c r="G30" i="5"/>
  <c r="G32" i="5" s="1"/>
  <c r="G138" i="5"/>
  <c r="X139" i="5"/>
  <c r="G89" i="5"/>
  <c r="G132" i="5"/>
  <c r="G115" i="5"/>
  <c r="J115" i="5"/>
  <c r="G66" i="5" l="1"/>
  <c r="N89" i="5" l="1"/>
  <c r="N139" i="5" s="1"/>
  <c r="H87" i="5"/>
  <c r="H89" i="5" s="1"/>
  <c r="R89" i="5"/>
  <c r="R139" i="5"/>
  <c r="J97" i="5"/>
  <c r="J139" i="5" s="1"/>
  <c r="G92" i="5"/>
  <c r="G97" i="5" s="1"/>
  <c r="G139" i="5" s="1"/>
  <c r="H92" i="5" l="1"/>
  <c r="H97" i="5" s="1"/>
  <c r="H139" i="5" s="1"/>
  <c r="L139" i="5"/>
  <c r="L97" i="5"/>
  <c r="K97" i="5"/>
  <c r="K139" i="5" s="1"/>
  <c r="I97" i="5" l="1"/>
  <c r="I139" i="5" s="1"/>
</calcChain>
</file>

<file path=xl/comments1.xml><?xml version="1.0" encoding="utf-8"?>
<comments xmlns="http://schemas.openxmlformats.org/spreadsheetml/2006/main">
  <authors>
    <author>Audra Cepiene</author>
  </authors>
  <commentList>
    <comment ref="F15" authorId="0" shapeId="0">
      <text>
        <r>
          <rPr>
            <sz val="9"/>
            <color indexed="81"/>
            <rFont val="Tahoma"/>
            <family val="2"/>
            <charset val="186"/>
          </rPr>
          <t>bendra projekto vertė 4943,7</t>
        </r>
      </text>
    </comment>
    <comment ref="G15" authorId="0" shapeId="0">
      <text>
        <r>
          <rPr>
            <sz val="9"/>
            <color indexed="81"/>
            <rFont val="Tahoma"/>
            <family val="2"/>
            <charset val="186"/>
          </rPr>
          <t>bendra projekto vertė 4943,7</t>
        </r>
      </text>
    </comment>
    <comment ref="B16" authorId="0" shapeId="0">
      <text>
        <r>
          <rPr>
            <sz val="9"/>
            <color indexed="81"/>
            <rFont val="Tahoma"/>
            <family val="2"/>
            <charset val="186"/>
          </rPr>
          <t>Techninis projektas parengtas 2019 m., Parengimo kaina neįtraukta į projekto vertę</t>
        </r>
      </text>
    </comment>
    <comment ref="F21" authorId="0" shapeId="0">
      <text>
        <r>
          <rPr>
            <sz val="9"/>
            <color indexed="81"/>
            <rFont val="Tahoma"/>
            <family val="2"/>
            <charset val="186"/>
          </rPr>
          <t>2020 metams papildomiems darbams projektui už baigti</t>
        </r>
      </text>
    </comment>
    <comment ref="G21" authorId="0" shapeId="0">
      <text>
        <r>
          <rPr>
            <sz val="9"/>
            <color indexed="81"/>
            <rFont val="Tahoma"/>
            <family val="2"/>
            <charset val="186"/>
          </rPr>
          <t>2020 metams papildomiems darbams projektui už baigti</t>
        </r>
      </text>
    </comment>
    <comment ref="B26" authorId="0" shapeId="0">
      <text>
        <r>
          <rPr>
            <b/>
            <sz val="9"/>
            <color indexed="81"/>
            <rFont val="Tahoma"/>
            <family val="2"/>
            <charset val="186"/>
          </rPr>
          <t xml:space="preserve">1,528 500 tūkt. eur </t>
        </r>
        <r>
          <rPr>
            <sz val="9"/>
            <color indexed="81"/>
            <rFont val="Tahoma"/>
            <family val="2"/>
            <charset val="186"/>
          </rPr>
          <t xml:space="preserve">bendra projekto vertė
</t>
        </r>
      </text>
    </comment>
    <comment ref="F28" authorId="0" shapeId="0">
      <text>
        <r>
          <rPr>
            <sz val="9"/>
            <color indexed="81"/>
            <rFont val="Tahoma"/>
            <family val="2"/>
            <charset val="186"/>
          </rPr>
          <t xml:space="preserve">6290 tūkst. eur vertė
</t>
        </r>
      </text>
    </comment>
    <comment ref="G28" authorId="0" shapeId="0">
      <text>
        <r>
          <rPr>
            <sz val="9"/>
            <color indexed="81"/>
            <rFont val="Tahoma"/>
            <family val="2"/>
            <charset val="186"/>
          </rPr>
          <t xml:space="preserve">6290 tūkst. eur vertė
</t>
        </r>
      </text>
    </comment>
    <comment ref="B45" authorId="0" shapeId="0">
      <text>
        <r>
          <rPr>
            <b/>
            <sz val="9"/>
            <color indexed="81"/>
            <rFont val="Tahoma"/>
            <family val="2"/>
            <charset val="186"/>
          </rPr>
          <t>projekto vertė buvo 14617,9</t>
        </r>
        <r>
          <rPr>
            <sz val="9"/>
            <color indexed="81"/>
            <rFont val="Tahoma"/>
            <family val="2"/>
            <charset val="186"/>
          </rPr>
          <t xml:space="preserve">
</t>
        </r>
      </text>
    </comment>
    <comment ref="B65" authorId="0" shapeId="0">
      <text>
        <r>
          <rPr>
            <b/>
            <sz val="9"/>
            <color indexed="81"/>
            <rFont val="Tahoma"/>
            <family val="2"/>
            <charset val="186"/>
          </rPr>
          <t>Be paviljono rekonstrukcijos</t>
        </r>
        <r>
          <rPr>
            <sz val="9"/>
            <color indexed="81"/>
            <rFont val="Tahoma"/>
            <family val="2"/>
            <charset val="186"/>
          </rPr>
          <t xml:space="preserve">
</t>
        </r>
      </text>
    </comment>
    <comment ref="B74" authorId="0" shapeId="0">
      <text>
        <r>
          <rPr>
            <sz val="9"/>
            <color indexed="81"/>
            <rFont val="Tahoma"/>
            <family val="2"/>
            <charset val="186"/>
          </rPr>
          <t xml:space="preserve">Techninis projektas parengtas 2019 m., Parengimo kaina neįtraukta prie projekto vertės
</t>
        </r>
      </text>
    </comment>
    <comment ref="I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J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F128" authorId="0" shapeId="0">
      <text>
        <r>
          <rPr>
            <b/>
            <sz val="9"/>
            <color indexed="81"/>
            <rFont val="Tahoma"/>
            <family val="2"/>
            <charset val="186"/>
          </rPr>
          <t xml:space="preserve">Įvesta formulė 
</t>
        </r>
        <r>
          <rPr>
            <sz val="9"/>
            <color indexed="81"/>
            <rFont val="Tahoma"/>
            <family val="2"/>
            <charset val="186"/>
          </rPr>
          <t xml:space="preserve">
279 249,6
</t>
        </r>
      </text>
    </comment>
    <comment ref="G128" authorId="0" shapeId="0">
      <text>
        <r>
          <rPr>
            <b/>
            <sz val="9"/>
            <color indexed="81"/>
            <rFont val="Tahoma"/>
            <family val="2"/>
            <charset val="186"/>
          </rPr>
          <t xml:space="preserve">Įvesta formulė 
</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Regina Intienė</author>
    <author>Saulina Paulauskiene</author>
  </authors>
  <commentList>
    <comment ref="B24" authorId="0" shapeId="0">
      <text>
        <r>
          <rPr>
            <b/>
            <sz val="9"/>
            <color indexed="81"/>
            <rFont val="Tahoma"/>
            <family val="2"/>
            <charset val="186"/>
          </rPr>
          <t>Įterpti SPG STR11</t>
        </r>
        <r>
          <rPr>
            <sz val="9"/>
            <color indexed="81"/>
            <rFont val="Tahoma"/>
            <family val="2"/>
            <charset val="186"/>
          </rPr>
          <t xml:space="preserve">
</t>
        </r>
      </text>
    </comment>
    <comment ref="H24" authorId="0" shapeId="0">
      <text>
        <r>
          <rPr>
            <b/>
            <sz val="9"/>
            <color indexed="81"/>
            <rFont val="Tahoma"/>
            <family val="2"/>
            <charset val="186"/>
          </rPr>
          <t>2719,6</t>
        </r>
        <r>
          <rPr>
            <sz val="9"/>
            <color indexed="81"/>
            <rFont val="Tahoma"/>
            <family val="2"/>
            <charset val="186"/>
          </rPr>
          <t xml:space="preserve">
</t>
        </r>
      </text>
    </comment>
    <comment ref="V61" authorId="0" shapeId="0">
      <text>
        <r>
          <rPr>
            <b/>
            <sz val="9"/>
            <color indexed="81"/>
            <rFont val="Tahoma"/>
            <family val="2"/>
            <charset val="186"/>
          </rPr>
          <t>KVJUD</t>
        </r>
        <r>
          <rPr>
            <sz val="9"/>
            <color indexed="81"/>
            <rFont val="Tahoma"/>
            <family val="2"/>
            <charset val="186"/>
          </rPr>
          <t xml:space="preserve">
</t>
        </r>
      </text>
    </comment>
    <comment ref="W61" authorId="0" shapeId="0">
      <text>
        <r>
          <rPr>
            <b/>
            <sz val="9"/>
            <color indexed="81"/>
            <rFont val="Tahoma"/>
            <family val="2"/>
            <charset val="186"/>
          </rPr>
          <t>KVJUD</t>
        </r>
        <r>
          <rPr>
            <sz val="9"/>
            <color indexed="81"/>
            <rFont val="Tahoma"/>
            <family val="2"/>
            <charset val="186"/>
          </rPr>
          <t xml:space="preserve">
</t>
        </r>
      </text>
    </comment>
    <comment ref="G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H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J76" authorId="0" shapeId="0">
      <text>
        <r>
          <rPr>
            <sz val="9"/>
            <color indexed="81"/>
            <rFont val="Tahoma"/>
            <family val="2"/>
            <charset val="186"/>
          </rPr>
          <t>14.792,02 (2018 m.)+127.300 (2019 m.)+ 116.500 (2020 m.) + 130.000 (2021 m.)=388.592,02</t>
        </r>
      </text>
    </comment>
    <comment ref="K76" authorId="0" shapeId="0">
      <text>
        <r>
          <rPr>
            <sz val="9"/>
            <color indexed="81"/>
            <rFont val="Tahoma"/>
            <family val="2"/>
            <charset val="186"/>
          </rPr>
          <t>14.792,02 (2018 m.)+127.300 (2019 m.)+ 116.500 (2020 m.) + 130.000 (2021 m.)=388.592,02</t>
        </r>
      </text>
    </comment>
    <comment ref="B85"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panaudota 1.101.120,96 Eur SB
</t>
        </r>
      </text>
    </comment>
    <comment ref="J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K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J86" authorId="1" shapeId="0">
      <text>
        <r>
          <rPr>
            <sz val="9"/>
            <color indexed="81"/>
            <rFont val="Tahoma"/>
            <family val="2"/>
            <charset val="186"/>
          </rPr>
          <t>2016 m. panaudota 67.321,98 Eur, 2017 m. 84.119,06 Eur, 2018 m. 91.842,90. 2019 m. planuojama suma 323.900 Eur, 2020 m. -200.000 Eur, 2021 m. 200.000 Eur.</t>
        </r>
      </text>
    </comment>
    <comment ref="K86" authorId="1" shapeId="0">
      <text>
        <r>
          <rPr>
            <sz val="9"/>
            <color indexed="81"/>
            <rFont val="Tahoma"/>
            <family val="2"/>
            <charset val="186"/>
          </rPr>
          <t>2016 m. panaudota 67.321,98 Eur, 2017 m. 84.119,06 Eur, 2018 m. 91.842,90. 2019 m. planuojama suma 323.900 Eur, 2020 m. -200.000 Eur, 2021 m. 200.000 Eur.</t>
        </r>
      </text>
    </comment>
    <comment ref="J103" authorId="2" shapeId="0">
      <text>
        <r>
          <rPr>
            <b/>
            <sz val="9"/>
            <color indexed="81"/>
            <rFont val="Tahoma"/>
            <family val="2"/>
            <charset val="186"/>
          </rPr>
          <t>Saulina Paulauskiene:</t>
        </r>
        <r>
          <rPr>
            <sz val="9"/>
            <color indexed="81"/>
            <rFont val="Tahoma"/>
            <family val="2"/>
            <charset val="186"/>
          </rPr>
          <t xml:space="preserve">
2018 m. 16335,00 Eur</t>
        </r>
      </text>
    </comment>
    <comment ref="K103" authorId="2" shapeId="0">
      <text>
        <r>
          <rPr>
            <b/>
            <sz val="9"/>
            <color indexed="81"/>
            <rFont val="Tahoma"/>
            <family val="2"/>
            <charset val="186"/>
          </rPr>
          <t>Saulina Paulauskiene:</t>
        </r>
        <r>
          <rPr>
            <sz val="9"/>
            <color indexed="81"/>
            <rFont val="Tahoma"/>
            <family val="2"/>
            <charset val="186"/>
          </rPr>
          <t xml:space="preserve">
2018 m. 16335,00 Eur</t>
        </r>
      </text>
    </comment>
    <comment ref="G139" authorId="0" shapeId="0">
      <text>
        <r>
          <rPr>
            <sz val="9"/>
            <color indexed="81"/>
            <rFont val="Tahoma"/>
            <family val="2"/>
            <charset val="186"/>
          </rPr>
          <t xml:space="preserve">251740226,48
</t>
        </r>
      </text>
    </comment>
    <comment ref="H139" authorId="0" shapeId="0">
      <text>
        <r>
          <rPr>
            <b/>
            <sz val="9"/>
            <color indexed="81"/>
            <rFont val="Tahoma"/>
            <family val="2"/>
            <charset val="186"/>
          </rPr>
          <t>251740226,48</t>
        </r>
        <r>
          <rPr>
            <sz val="9"/>
            <color indexed="81"/>
            <rFont val="Tahoma"/>
            <family val="2"/>
            <charset val="186"/>
          </rPr>
          <t xml:space="preserve">
</t>
        </r>
      </text>
    </comment>
  </commentList>
</comments>
</file>

<file path=xl/sharedStrings.xml><?xml version="1.0" encoding="utf-8"?>
<sst xmlns="http://schemas.openxmlformats.org/spreadsheetml/2006/main" count="2606" uniqueCount="743">
  <si>
    <t>Investicijų projekto pavadinimas</t>
  </si>
  <si>
    <t>Savivaldybės biudžeto lėšų poreikis</t>
  </si>
  <si>
    <t>Lietuvos Respublikos valstybės biudžeto lėšų poreikis</t>
  </si>
  <si>
    <t>Kelių priežiūros ir plėtros programos lėšos</t>
  </si>
  <si>
    <t>pradžia</t>
  </si>
  <si>
    <t>pabaiga</t>
  </si>
  <si>
    <t>SB</t>
  </si>
  <si>
    <t>ES</t>
  </si>
  <si>
    <t xml:space="preserve">VB </t>
  </si>
  <si>
    <t>KPPP</t>
  </si>
  <si>
    <t>06 programa. Susisiekimo sistemos priežiūros ir plėtros programa</t>
  </si>
  <si>
    <t xml:space="preserve">Danės g. rekonstravimas (siekiant racionaliai suplanuoti jungtis su Bastionų g., nauju tiltu per Danės upę ir Artojų g.) </t>
  </si>
  <si>
    <t>Joniškės g. rekonstravimas (II etapas – nuo Klemiškės g. iki Liepų g., Šienpjovių g.)</t>
  </si>
  <si>
    <t>02 programa. Subalansuoto turizmo skatinimo ir vystymo programa</t>
  </si>
  <si>
    <t xml:space="preserve">Bastionų komplekso (Jono kalnelio) ir jo prieigų sutvarkymas, sukuriant išskirtinį kultūros ir turizmo traukos centrą bei skatinant smulkųjį ir vidutinį verslą </t>
  </si>
  <si>
    <t>Eur</t>
  </si>
  <si>
    <t>Įgyvendinimo terminai</t>
  </si>
  <si>
    <t>Iš viso:</t>
  </si>
  <si>
    <t>Bendra projekto vertė</t>
  </si>
  <si>
    <t>05 programa. Aplinkos apsaugos programa</t>
  </si>
  <si>
    <t>Oro taršos kietosiomis dalelėmis mažinimas, atnaujinant gatvių priežiūros ir valymo technologijas</t>
  </si>
  <si>
    <t>Asignavimų valdytojo kodas</t>
  </si>
  <si>
    <t>Kitos lėšos</t>
  </si>
  <si>
    <t>2019</t>
  </si>
  <si>
    <t>5</t>
  </si>
  <si>
    <t>2016</t>
  </si>
  <si>
    <t>2020</t>
  </si>
  <si>
    <t>Atsakingas asmuo</t>
  </si>
  <si>
    <t>Pajūrio g. rekonstravimas</t>
  </si>
  <si>
    <t xml:space="preserve">II etapas. Žiedinės Tilžės g., Mokyklos g. ir Šilutės pl. sankryžos pertvarkymas į šviesoforinę </t>
  </si>
  <si>
    <t>Klaipėdos miesto viešojo transporto atnaujinimas (autobusų įsigijimas)</t>
  </si>
  <si>
    <t>6</t>
  </si>
  <si>
    <t>Privažiuojamojo kelio prie pastato Debreceno g. 48  įrengimas ir pastato aplinkos sutvarkymas</t>
  </si>
  <si>
    <t>Aikštės prie Santuokų rūmų atnaujinimas</t>
  </si>
  <si>
    <t>Skvero tarp Puodžių g. ir Bokštų g., skirto Vydūno paminklui įrengti, sutvarkymas</t>
  </si>
  <si>
    <t>Skvero Bokštų gatvėje sutvarkymas</t>
  </si>
  <si>
    <t>Ąžuolyno giraitės sutvarkymas, gerinant gamtinę aplinką ir skatinant aktyvų laisvalaikį ir lankytojų srautus</t>
  </si>
  <si>
    <t>2018</t>
  </si>
  <si>
    <t>2017</t>
  </si>
  <si>
    <t>47,4 ha Medelyno gyvenamojo rajono infrastruktūros išvystymas. I etapas</t>
  </si>
  <si>
    <t>Bendrojo ugdymo mokyklos pastato statyba šiaurinėje miesto dalyje</t>
  </si>
  <si>
    <t>Ikimokyklinio ugdymo mokyklų pastatų modernizavimas ir plėtra:</t>
  </si>
  <si>
    <t>D.Šakinienė</t>
  </si>
  <si>
    <t xml:space="preserve">Klaipėdos karalienės Luizės jaunimo centro (Puodžių g.) modernizavimas, plėtojant neformaliojo ugdymosi galimybes </t>
  </si>
  <si>
    <t xml:space="preserve">Sporto bazių modernizavimas ir plėtra:
</t>
  </si>
  <si>
    <t>G. Dovidaitis</t>
  </si>
  <si>
    <t xml:space="preserve">Irklavimo bazės (Gluosnių skg. 8) modernizavimas </t>
  </si>
  <si>
    <t>Naujos sporto salės statyba</t>
  </si>
  <si>
    <t>Teikiamų socialinių paslaugų infrastruktūros tobulinimas siekiant atitikti keliamus reikalavimus:</t>
  </si>
  <si>
    <t xml:space="preserve">Laikino apnakvindinimo namų steigimas </t>
  </si>
  <si>
    <t>Laikino apgyvendinimo namų infrastruktūros modernizavimas (Šilutės pl. 8, nakvynės namai)</t>
  </si>
  <si>
    <t>Socialinio būsto fondo plėtra:</t>
  </si>
  <si>
    <t>Pastato Taikos pr. 76 modernizavimas (pastato lauko sienų apšiltinimas, laiptinių remontas)</t>
  </si>
  <si>
    <t xml:space="preserve">08 programa. Kultūros plėtros programa </t>
  </si>
  <si>
    <t>10 programa. Ugdymo proceso užtikrinimo programa</t>
  </si>
  <si>
    <t>07 programa. Miesto infrastruktūros objektų priežiūros ir modernizavimo programa</t>
  </si>
  <si>
    <t>11 programa. Kūno kultūros ir sporto plėtros programa</t>
  </si>
  <si>
    <t>12 programa. Socialinės atskirties mažinimo programa</t>
  </si>
  <si>
    <t>13 programa. Sveikatos apsaugos programa</t>
  </si>
  <si>
    <t>2014</t>
  </si>
  <si>
    <t>2013</t>
  </si>
  <si>
    <t>N. Vedeikienė</t>
  </si>
  <si>
    <t>J. Rimkienė</t>
  </si>
  <si>
    <t>D. Stankevičienė</t>
  </si>
  <si>
    <t>R. Dekėrytė</t>
  </si>
  <si>
    <t>E. Čerbienė</t>
  </si>
  <si>
    <t>J. Vorobjova</t>
  </si>
  <si>
    <t>2015</t>
  </si>
  <si>
    <t>2021</t>
  </si>
  <si>
    <t>V. Švedas</t>
  </si>
  <si>
    <t>I. Gustaitienė</t>
  </si>
  <si>
    <t>R. Stasiulis</t>
  </si>
  <si>
    <t>V. Lendraitienė</t>
  </si>
  <si>
    <t>2022</t>
  </si>
  <si>
    <t>V. Varnaitė</t>
  </si>
  <si>
    <t>2023</t>
  </si>
  <si>
    <t>A. Orentienė</t>
  </si>
  <si>
    <t>D. Šakinienė</t>
  </si>
  <si>
    <t>Kt</t>
  </si>
  <si>
    <t>Fachverkinės architektūros pastatų komplekso (Bažnyčių g. 4 / Daržų g. 10, Bažnyčių g. 6, Vežėjų g. 4, Aukštoji g. 1 / Didžioji Vandens g. 2) tvarkyba</t>
  </si>
  <si>
    <t>Tilžės g. nuo Šilutės pl. iki geležinkelio pervažos rekonstravimas, pertvarkant žiedinę Mokyklos g. ir Šilutės pl. sankryžą</t>
  </si>
  <si>
    <t xml:space="preserve">I etapas. Tilžės g. nuo Šilutės pl. iki geležinkelio pervažos rekonstravimas </t>
  </si>
  <si>
    <t>Neformaliojo švietimo įstaigų pastatų rekonstravimas:</t>
  </si>
  <si>
    <t>Nakvynės namų pastato (Viršutinė g. 21) rekonstravimas</t>
  </si>
  <si>
    <t xml:space="preserve">VšĮ Klaipėdos universitetinės ligoninės dalies pastato Liepojos g. 39 rekonstravimas </t>
  </si>
  <si>
    <t>Sakurų parko įrengimas teritorijoje tarp Žvejų rūmų, Taikos pr., Naikupės g. ir įvažiuojamojo kelio į Žvejų rūmus</t>
  </si>
  <si>
    <t xml:space="preserve">Naujo įvažiuojamojo kelio (Priešpilio g.) į piliavietę ir Kruizinių laivų terminalą tiesimas </t>
  </si>
  <si>
    <t xml:space="preserve">Jūrininkų prospekto ruožo nuo Šilutės pl. iki Minijos g. rekonstravimas </t>
  </si>
  <si>
    <t>„Gilijos“ pradinės mokyklos (Taikos pr. 68) pastato energinio efektyvumo didinimas</t>
  </si>
  <si>
    <t xml:space="preserve">Administracinės paskirties pastato J. Karoso g. 12 rekonstravimas į gydymo paskirties pastatą </t>
  </si>
  <si>
    <t>Savivaldybės socialinio būsto fondo gyvenamųjų namų statyba žemės sklypuose Irklų g. 1 ir Rambyno g. 14A</t>
  </si>
  <si>
    <t>Projekto „Klaipėdos miesto savivaldybės viešosios bibliotekos „Kauno atžalyno“ filialas – naujos galimybės mažiems ir dideliems“ įgyvendinimas</t>
  </si>
  <si>
    <r>
      <rPr>
        <b/>
        <sz val="10"/>
        <color theme="1"/>
        <rFont val="Times New Roman"/>
        <family val="1"/>
        <charset val="186"/>
      </rPr>
      <t xml:space="preserve">4 </t>
    </r>
    <r>
      <rPr>
        <sz val="10"/>
        <color theme="1"/>
        <rFont val="Times New Roman"/>
        <family val="1"/>
        <charset val="186"/>
      </rPr>
      <t>– Urbanistinės plėtros departamento asignavimų valdytojas</t>
    </r>
  </si>
  <si>
    <r>
      <rPr>
        <b/>
        <sz val="10"/>
        <color theme="1"/>
        <rFont val="Times New Roman"/>
        <family val="1"/>
        <charset val="186"/>
      </rPr>
      <t>5</t>
    </r>
    <r>
      <rPr>
        <sz val="10"/>
        <color theme="1"/>
        <rFont val="Times New Roman"/>
        <family val="1"/>
        <charset val="186"/>
      </rPr>
      <t xml:space="preserve"> – Investicijų ir ekonomikos departamento asignavimų valdytojas</t>
    </r>
  </si>
  <si>
    <r>
      <rPr>
        <b/>
        <sz val="10"/>
        <color theme="1"/>
        <rFont val="Times New Roman"/>
        <family val="1"/>
        <charset val="186"/>
      </rPr>
      <t xml:space="preserve">6 </t>
    </r>
    <r>
      <rPr>
        <sz val="10"/>
        <color theme="1"/>
        <rFont val="Times New Roman"/>
        <family val="1"/>
        <charset val="186"/>
      </rPr>
      <t>– Miesto ūkio departamento asignavimų valdytojas</t>
    </r>
  </si>
  <si>
    <t>Ekspozicijos projektavimas ir įrengimas piliavietės šiaurinėje kurtinoje</t>
  </si>
  <si>
    <t xml:space="preserve">Tauralaukio gyvenvietės gatvių rekonstravimas </t>
  </si>
  <si>
    <t>Lyginamasis variantas</t>
  </si>
  <si>
    <t>Buvusios AB „Klaipėdos energija“ teritorijos dalies  konversija,  sudarant sąlygas vystyti komercines, rekreacines veiklas</t>
  </si>
  <si>
    <t xml:space="preserve">Atgimimo aikštės sutvarkymas, didinant patrauklumą investicijoms, skatinant lankytojų srautus </t>
  </si>
  <si>
    <t>Danės upės krantinių rekonstrukcija ir prieigų (Danės skveras su fontanais) sutvarkymas</t>
  </si>
  <si>
    <t xml:space="preserve">Pėsčiųjų tako sutvarkymas palei Taikos pr. nuo Sausio 15-osios iki Kauno g., paverčiant viešąja erdve, pritaikyta gyventojams bei smulkiajam ir vidutiniam verslui </t>
  </si>
  <si>
    <t>Malūno parko teritorijos sutvarkymas, gerinant gamtinę aplinką ir skatinant lankytojų srautus</t>
  </si>
  <si>
    <t xml:space="preserve">Viešosios erdvės prie buvusio „Vaidilos“ kino teatro konversija </t>
  </si>
  <si>
    <t>Kompleksinis tikslinės teritorijos daugiabučių namų kiemų tvarkymas</t>
  </si>
  <si>
    <t>2</t>
  </si>
  <si>
    <t xml:space="preserve">Futbolo mokyklos ir baseino pastatų konversija, I etapas </t>
  </si>
  <si>
    <t xml:space="preserve">Futbolo mokyklos ir baseino pastatų konversija, II etapas </t>
  </si>
  <si>
    <t>Klaipėdos sunkiosios atletikos centro statyba</t>
  </si>
  <si>
    <t xml:space="preserve">Dviračių ir pėsčiųjų tako nuo Paryžiaus Komunos g. iki Jono kalnelio tiltelio įrengimas </t>
  </si>
  <si>
    <t xml:space="preserve">Dviračių ir pėsčiųjų tako Danės upės slėnio teritorijoje nuo Klaipėdos g. tilto iki miesto ribos įrengimas </t>
  </si>
  <si>
    <t>Kūlių Vartų g. ir Bangų g., Tiltų g., Galinio Pylimo g., Taikos pr. sankryžos rekonstravimas</t>
  </si>
  <si>
    <t>Viešojo transporto (autobusų ir maršrutinių taksi) integravimo sistemos įrangos įsigijimas ir atnaujinimas</t>
  </si>
  <si>
    <t>Elektra varomo viešojo transporto naujų galimybių plėtra (DEPO), ELENA</t>
  </si>
  <si>
    <t>Elektromobilių įkrovimo stotelių įrengimas  Klaipėdos mieste</t>
  </si>
  <si>
    <t>M. Enciūtė</t>
  </si>
  <si>
    <t>I. Dulkytė</t>
  </si>
  <si>
    <t xml:space="preserve">Turgaus aikštės su prieigomis sutvarkymas, pritaikant verslo, bendruomenės poreikiams </t>
  </si>
  <si>
    <t>J. Poimanskienė</t>
  </si>
  <si>
    <t>M. Lygnugarienė</t>
  </si>
  <si>
    <t>R. Mockus</t>
  </si>
  <si>
    <t>V. Pronskuvienė</t>
  </si>
  <si>
    <t xml:space="preserve">Klaipėdos miesto gatvių pėsčiųjų perėjų kryptinis apšvietimas </t>
  </si>
  <si>
    <t xml:space="preserve">Modernių ugdymosi erdvių sukūrimas Klaipėdos miesto progimnazijose ir gimnazijose („Smeltės“, Liudviko Stulpino, „Sendvario“, „Gedminų“, „Verdenės“ progimnazijose ir  „Vėtrungės“, „Varpo“ gimnazijose) </t>
  </si>
  <si>
    <t>J. Jasilionienė</t>
  </si>
  <si>
    <t xml:space="preserve">Modernaus bendruomenės centro-bibliotekos statyba pietinėje miesto dalyje  </t>
  </si>
  <si>
    <t>V. Kovaitis</t>
  </si>
  <si>
    <t>Senamiesčio grindinio atnaujinimas ir universalaus dizaino pritaikymas</t>
  </si>
  <si>
    <t>Sporto aikštynų atnaujinimas (modernizavimas)</t>
  </si>
  <si>
    <t>D. Gerasimovienė</t>
  </si>
  <si>
    <t>Pamario gatvės rekonstravimas</t>
  </si>
  <si>
    <t>Turizmo informacinės infrastruktūros sukūrimas ir pritaikymas neįgaliųjų poreikiams pietvakarinėje Klaipėdos regiono dalyje</t>
  </si>
  <si>
    <t>Klaipėdos miesto bendrojo plano kraštovaizdžio dalies keitimas ir Melnragės parko įrengimas</t>
  </si>
  <si>
    <t>Šilutės plento ruožo nuo Tilžės g. iki geležinkelio pervažos (iki Kauno g.) rekonstrukcija</t>
  </si>
  <si>
    <t>Bendruomenės centro-bibliotekos (Molo g. 60) pastato kapitalinis remontas</t>
  </si>
  <si>
    <t xml:space="preserve">Klaipėdos Prano Mašioto progimnazijos pastato Varpų g. 3 rekonstravimas </t>
  </si>
  <si>
    <t>Klaipėdos lopšelio-darželio „Žiogelis“ pastato Kauno g. 27 modernizavimas</t>
  </si>
  <si>
    <r>
      <t xml:space="preserve">Klaipėdos „Ąžuolyno“ gimnazijos modernizavimas </t>
    </r>
    <r>
      <rPr>
        <b/>
        <sz val="10"/>
        <rFont val="Times New Roman"/>
        <family val="1"/>
        <charset val="186"/>
      </rPr>
      <t/>
    </r>
  </si>
  <si>
    <t xml:space="preserve">Senyvo amžiaus asmenų globos paslaugų plėtra rekonstruojant pastatą, esantį Melnragės gyvenamajame rajone, Vaivos g. 23 </t>
  </si>
  <si>
    <t>Baltijos pr. ir Šilutės pl. žiedinės sankryžos rekonstravimas (techninio projekto parengimas)</t>
  </si>
  <si>
    <t>1</t>
  </si>
  <si>
    <t>Viešųjų erdvių, gatvių ir kiemų apšvietimo tinklų išplėtimas ar įrengimas</t>
  </si>
  <si>
    <t>R. Intienė</t>
  </si>
  <si>
    <t xml:space="preserve">Klaipėdos miesto paviršinių nuotekų tinklų įrengimas, remontas ir rekonstrukcija </t>
  </si>
  <si>
    <t>A. Montvilienė</t>
  </si>
  <si>
    <t xml:space="preserve">Pėsčiųjų ir dviračių tilto tarp Tauralaukio ir Žolynų kvartalo įrengimas </t>
  </si>
  <si>
    <t xml:space="preserve">BĮ Klaipėdos „Žaliakalnio“ gimnazijos pastato inžinerinių sistemų ir vidaus patalpų remontas </t>
  </si>
  <si>
    <t>Lifto įrengimas Bendruomenės namuose Debreceno g. 48</t>
  </si>
  <si>
    <t>Klemiškės g. rekonstravimas</t>
  </si>
  <si>
    <t xml:space="preserve">VšĮ Jūrininkų sveikatos priežiūros centro infrastruktūros plėtra (naujo pastato statyba) </t>
  </si>
  <si>
    <t>Savivaldybes jungiančių turizmo trasų ir turizmo maršrutų informacinės infrastruktūros plėtra</t>
  </si>
  <si>
    <t xml:space="preserve">Puodžių gatvės rekonstravimas  </t>
  </si>
  <si>
    <t>Žvejybos produktų iškrovimo vietos prie jūros Klaipėdos miesto teritorijoje įrengimas</t>
  </si>
  <si>
    <t>Klaipėdos miesto viešojo transporto švieslenčių ir informacinių švieslenčių įrengimas ir atnaujinimas</t>
  </si>
  <si>
    <t>I. Kanto ir S. Daukanto gatvių sankryžoje esančio skvero sutvarkymas</t>
  </si>
  <si>
    <t>2025</t>
  </si>
  <si>
    <t>2024</t>
  </si>
  <si>
    <t>Automobilių stovėjimo aikštelės teritorijoje  Bangų g., Klaipėdoje, įrengimas (techninio projekto parengimas)</t>
  </si>
  <si>
    <t>Keleivinio transporto stotelių su įvažomis Klaipėdos miesto gatvėse projektavimas ir įrengimas (I etapas, II etapas)</t>
  </si>
  <si>
    <t>Daugiabučių namų kiemų infrastruktūros gerinimo priemonių plano įgyvendinimas</t>
  </si>
  <si>
    <t>Eil. Nr.</t>
  </si>
  <si>
    <t>3</t>
  </si>
  <si>
    <t>4</t>
  </si>
  <si>
    <t>7</t>
  </si>
  <si>
    <t>Klaipėdos Tauralaukio progimnazijos pastato (Klaipėdos g. 31) rekonstravimas į ikimokyklinio ir priešmokyklinio ugdymo įstaigą</t>
  </si>
  <si>
    <t>Ikimokyklinio ir priešmokyklinio prieinamumo didinimas Klaipėdos mieste (lopšelio-darželio „Svirpliukas“ modernizavimas)</t>
  </si>
  <si>
    <t>IED V. Tkačik ir V. Kovaitis</t>
  </si>
  <si>
    <t>E. Deltuvaitė</t>
  </si>
  <si>
    <t>V. Tkačik</t>
  </si>
  <si>
    <t xml:space="preserve">Klaipėdos miesto Skulptūrų parko sutvarkymas </t>
  </si>
  <si>
    <t xml:space="preserve">Vingio mikrorajono aikštės atnaujinimas </t>
  </si>
  <si>
    <t>Teritorijos Pempininkų tako gale (ties Debreceno g.18) sutvarkymas</t>
  </si>
  <si>
    <t>23</t>
  </si>
  <si>
    <t>K. Šakarnis</t>
  </si>
  <si>
    <t>8</t>
  </si>
  <si>
    <t>9</t>
  </si>
  <si>
    <t>10</t>
  </si>
  <si>
    <t>11</t>
  </si>
  <si>
    <t>12</t>
  </si>
  <si>
    <t>13</t>
  </si>
  <si>
    <t>14</t>
  </si>
  <si>
    <t>15</t>
  </si>
  <si>
    <t>16</t>
  </si>
  <si>
    <t>17</t>
  </si>
  <si>
    <t>18</t>
  </si>
  <si>
    <t>19</t>
  </si>
  <si>
    <t>20</t>
  </si>
  <si>
    <t>21</t>
  </si>
  <si>
    <t>22</t>
  </si>
  <si>
    <t>24</t>
  </si>
  <si>
    <t>25</t>
  </si>
  <si>
    <t>26</t>
  </si>
  <si>
    <t>27</t>
  </si>
  <si>
    <t>28</t>
  </si>
  <si>
    <t>29</t>
  </si>
  <si>
    <t>30</t>
  </si>
  <si>
    <t>31</t>
  </si>
  <si>
    <t>32</t>
  </si>
  <si>
    <t>33</t>
  </si>
  <si>
    <t>34</t>
  </si>
  <si>
    <t>35</t>
  </si>
  <si>
    <t>36</t>
  </si>
  <si>
    <t>37</t>
  </si>
  <si>
    <t>38</t>
  </si>
  <si>
    <t>39</t>
  </si>
  <si>
    <t>40</t>
  </si>
  <si>
    <t>41</t>
  </si>
  <si>
    <t>61</t>
  </si>
  <si>
    <t>42</t>
  </si>
  <si>
    <t>43</t>
  </si>
  <si>
    <t>44</t>
  </si>
  <si>
    <t>45</t>
  </si>
  <si>
    <t>46</t>
  </si>
  <si>
    <t>47</t>
  </si>
  <si>
    <t>48</t>
  </si>
  <si>
    <t>49</t>
  </si>
  <si>
    <t>50</t>
  </si>
  <si>
    <t>51</t>
  </si>
  <si>
    <t>52</t>
  </si>
  <si>
    <t>53</t>
  </si>
  <si>
    <t>54</t>
  </si>
  <si>
    <t>55</t>
  </si>
  <si>
    <t>56</t>
  </si>
  <si>
    <t>57</t>
  </si>
  <si>
    <t>58</t>
  </si>
  <si>
    <t>59</t>
  </si>
  <si>
    <t>60</t>
  </si>
  <si>
    <t>62</t>
  </si>
  <si>
    <t>63</t>
  </si>
  <si>
    <t>64</t>
  </si>
  <si>
    <t>67</t>
  </si>
  <si>
    <t>68</t>
  </si>
  <si>
    <t>69</t>
  </si>
  <si>
    <t>70</t>
  </si>
  <si>
    <t>71</t>
  </si>
  <si>
    <t>72</t>
  </si>
  <si>
    <t>73</t>
  </si>
  <si>
    <t>74</t>
  </si>
  <si>
    <t>75</t>
  </si>
  <si>
    <t>76</t>
  </si>
  <si>
    <t>77</t>
  </si>
  <si>
    <t>78</t>
  </si>
  <si>
    <t>79</t>
  </si>
  <si>
    <t>84</t>
  </si>
  <si>
    <t>85</t>
  </si>
  <si>
    <t>86</t>
  </si>
  <si>
    <t>87</t>
  </si>
  <si>
    <t>88</t>
  </si>
  <si>
    <t>89</t>
  </si>
  <si>
    <t>90</t>
  </si>
  <si>
    <t>91</t>
  </si>
  <si>
    <t>92</t>
  </si>
  <si>
    <t>93</t>
  </si>
  <si>
    <t>94</t>
  </si>
  <si>
    <t>95</t>
  </si>
  <si>
    <t>96</t>
  </si>
  <si>
    <t>97</t>
  </si>
  <si>
    <t>98</t>
  </si>
  <si>
    <r>
      <t>Naujo tilto</t>
    </r>
    <r>
      <rPr>
        <sz val="10"/>
        <rFont val="Times New Roman"/>
        <family val="1"/>
        <charset val="186"/>
      </rPr>
      <t xml:space="preserve"> su pakeliamu mechanizmu per Danę statyba ir prieigų sutvarkymas Danės pakrantėje </t>
    </r>
  </si>
  <si>
    <r>
      <rPr>
        <b/>
        <sz val="10"/>
        <rFont val="Times New Roman"/>
        <family val="1"/>
        <charset val="186"/>
      </rPr>
      <t>Bastionų gatvės tiesimas:</t>
    </r>
    <r>
      <rPr>
        <sz val="10"/>
        <rFont val="Times New Roman"/>
        <family val="1"/>
        <charset val="186"/>
      </rPr>
      <t xml:space="preserve"> I etapo Bastionų g. nuo Danės g. iki Danės upės ir nuo Danės upės iki Gluosnių g. tiesimas ir II etapo Bastionų g. nuo Gluosnių g. iki Bangų g. tiesimas</t>
    </r>
  </si>
  <si>
    <t>INVESTICINIŲ  PROJEKTŲ SĄRAŠAS</t>
  </si>
  <si>
    <t>Komunalinių atliekų tvarkymo infrastruktūros plėtra Klaipėdos miesto, Skuodo ir Kretingos rajonų bei Neringos savivaldybėse</t>
  </si>
  <si>
    <t>Klaipėdos miesto paplūdimių sutvarkymo priemonių plano įgyvendinimas</t>
  </si>
  <si>
    <t xml:space="preserve">Laivų nuleidimo prieplaukos ir saugojimo aikštelės sklype šalia Liepų g. tilto įrengimas </t>
  </si>
  <si>
    <t>65</t>
  </si>
  <si>
    <t>66</t>
  </si>
  <si>
    <t>80</t>
  </si>
  <si>
    <t>81</t>
  </si>
  <si>
    <t>82</t>
  </si>
  <si>
    <t>83</t>
  </si>
  <si>
    <t>Statybininkų prospekto tęsinio tiesimas nuo Šilutės pl. per LEZ teritoriją iki 141 kelio: II etapas – Lypkių gatvės ruožo nuo Šilutės plento tiesimas (techninio projekto ir koncesijos dokumentų parengimas)</t>
  </si>
  <si>
    <t>Klaipėdos pilies ir bastionų komplekso restauravimas ir atgaivinimas (IIetapas) (pilies didžiojo bokšto atkūrimas)</t>
  </si>
  <si>
    <t xml:space="preserve">Pėsčiųjų ir dviračių takų Minijos g. nuo Baltijos pr., Pilies g., Naujojoje Uosto g. įrengimas </t>
  </si>
  <si>
    <t>Dviračių ir pėsčiųjų takų jungčių ir šių takų iki sklypo Smiltynės g. 25 ir iki Naujosios perkėlos Smiltynėje įrengimas</t>
  </si>
  <si>
    <t xml:space="preserve">AB „Klaipėdos vanduo“ įstatinio kapitalo didinimas įgyvendinant ES lėšomis finansuojamą projektą „Paviršinių nuotekų sistemų tvarkymas Klaipėdos mieste“ įgyvendinimas (projekto vykdytoja – AB „Klaipėdos vanduo“) </t>
  </si>
  <si>
    <r>
      <t>Uostamiesčiai: darnaus judumo principų integravimas (</t>
    </r>
    <r>
      <rPr>
        <i/>
        <sz val="10"/>
        <rFont val="Times New Roman"/>
        <family val="1"/>
        <charset val="186"/>
      </rPr>
      <t>PORT Cities: Integrating Sustainability</t>
    </r>
    <r>
      <rPr>
        <sz val="10"/>
        <rFont val="Times New Roman"/>
        <family val="1"/>
        <charset val="186"/>
      </rPr>
      <t xml:space="preserve">, PORTIS) </t>
    </r>
  </si>
  <si>
    <r>
      <t>Kombinuotų kelionių jungčių (</t>
    </r>
    <r>
      <rPr>
        <i/>
        <sz val="10"/>
        <rFont val="Times New Roman"/>
        <family val="1"/>
        <charset val="186"/>
      </rPr>
      <t>Park&amp;Ride</t>
    </r>
    <r>
      <rPr>
        <sz val="10"/>
        <rFont val="Times New Roman"/>
        <family val="1"/>
        <charset val="186"/>
      </rPr>
      <t>) įrengimas (šiaurinėje miesto dalyje)</t>
    </r>
  </si>
  <si>
    <t>Privažiuojamojo kelio ties Baltijos pr. 109 lietaus nuotekų tinklų Klaipėdoje tiesimas</t>
  </si>
  <si>
    <t>Energinio efektyvumo didinimas lopšeliuose-darželiuose: m.-d. „Saulutė“, l.-d. „Vėrinėlis“, l.-d. „Pingvinukas“, l.-d. „Putinėlis“, l.-d. „Kregždutė“, l.-d. „Radastėlė“, l.-d. „Boružėlė“</t>
  </si>
  <si>
    <t>Klaipėdos Jeronimo Kačinsko muzikos mokyklos (Statybininkų pr. 5) pastato energinio efektyvumo didinimas</t>
  </si>
  <si>
    <t>Savivaldybės biudžetinės įstaigos bandomojo energijos vartojimo efektyvumo didinimo projekto įgyvendinimas (2020 m. – l.-d. „Klevelis“)</t>
  </si>
  <si>
    <t>_________________________________</t>
  </si>
  <si>
    <t>Skirtumas</t>
  </si>
  <si>
    <t xml:space="preserve">Lėšų planas </t>
  </si>
  <si>
    <t>Siūlomas keisti lėšų planas</t>
  </si>
  <si>
    <t>Europos Sąjungos ir kita                               tarptautinė finansinė parama</t>
  </si>
  <si>
    <t>Lietuvos Respublikos valstybės                    biudžeto lėšų poreikis</t>
  </si>
  <si>
    <t xml:space="preserve">Pėsčiųjų tako sutvarkymas palei Taikos pr. nuo S+Q76:Q82ausio 15-osios iki Kauno g., paverčiant viešąja erdve, pritaikyta gyventojams bei smulkiajam ir vidutiniam verslui </t>
  </si>
  <si>
    <t xml:space="preserve">Teatro ir Sukilėlių g. rekonstrukcija </t>
  </si>
  <si>
    <r>
      <t>202</t>
    </r>
    <r>
      <rPr>
        <sz val="10"/>
        <rFont val="Times New Roman"/>
        <family val="1"/>
        <charset val="186"/>
      </rPr>
      <t>3</t>
    </r>
  </si>
  <si>
    <t>Paaiškinimai</t>
  </si>
  <si>
    <r>
      <t>20</t>
    </r>
    <r>
      <rPr>
        <sz val="10"/>
        <rFont val="Times New Roman"/>
        <family val="1"/>
        <charset val="186"/>
      </rPr>
      <t>21</t>
    </r>
  </si>
  <si>
    <t>Reikalinga didinti projekto vertę, kadangi parengus techninio  projekto sprendinius padidėjo sąmatinė rangos darbų kaina</t>
  </si>
  <si>
    <t xml:space="preserve">Reikalinga didinti projekto vertę, kadangi parengus techninės dokumentacijos sprendinius išaugo sąmatinė vertė bei atsirado poreikis nenumatytiems papildomiems darbams (esamų elektros kabelių apsaugai), kurie nebuvo įtraukti į techninį projektą. </t>
  </si>
  <si>
    <t xml:space="preserve">Reikalinga didinti projekto vertę  5,9 mln. Eur, norint laiku pradėti rangos darbus ir panaudoti ES lėšas. Kaina paskaičiuota su rezervu. Vykdant viešųjų pirkimų procedūras dėl rangovo parinkimo buvo gauti keturi tiekėjų pasiūlymai, kuriuose kaina svyruoja nuo 10,7 mln. Eur (mažiausia kaina) iki 14,1 mln. Eur (didžiausia kaina).
</t>
  </si>
  <si>
    <t xml:space="preserve">Siūloma didinti projekto finansavimo apimtį priemonei, nes nepavyksta rasti rangovo projektui  įgyvendinti  dėl pirkimo sąlygose nurodytos per mažos kainos. </t>
  </si>
  <si>
    <t>Siūloma  sumažinti finansavimo apimtį priemonei, nes lifto įrengimo darbai atlikti pigiau, nei planuota</t>
  </si>
  <si>
    <t>Siūloma padidinti investicinio projekto finansinę vertę dėl papildomų darbų poreikio ir kainų indeksavimo, planuojant papildomas SB lėšas 2020 m.</t>
  </si>
  <si>
    <t>2026</t>
  </si>
  <si>
    <t>Mėgėjų sodų teritorijoje savivaldybių institucijų valdomų kelių remontas</t>
  </si>
  <si>
    <t xml:space="preserve">Muzikinio teatro pastato Danės g. 19 aplinkos tvarkybos darbai už sklypo ribos </t>
  </si>
  <si>
    <t>Lifto įrengimas Klaipėdos miesto Mažosios Lietuvos istorijos muziejuje</t>
  </si>
  <si>
    <t>Sąjūdžio parko reprezentacinės dalies ir prieigų sutvarkymas</t>
  </si>
  <si>
    <t>Sporto ir laisvalaikio komplekso statyba (koncesijos procedūrų vykdymas)</t>
  </si>
  <si>
    <t>tūkst. Eur</t>
  </si>
  <si>
    <t>Malūno parko teritorijos sutvarkymas, gerinant gamtinę aplinką ir skatinant lankytojų srautus (I etapas)</t>
  </si>
  <si>
    <t>Smeltalės upės valymas (be tyrimų dalies, kuriuos atlieka Aplinkos kokybės sk.)</t>
  </si>
  <si>
    <t>Naujo tilto su pakeliamu mechanizmu per Danę statybos dokumentacijos parengimas</t>
  </si>
  <si>
    <t>S. Daukanto g. nuo Šaulių g. iki J. Zauerveino g. kapitalinis remontas</t>
  </si>
  <si>
    <t>Vilniaus Dailės akademijos Klaipėdos fakulteto teritorijos sutvarkymas</t>
  </si>
  <si>
    <t xml:space="preserve">Transporto (eismo) valdymo sistemos diegimas </t>
  </si>
  <si>
    <t xml:space="preserve">AB „Klaipėdos vanduo“ įstatinio kapitalo didinimas įgyvendinant ES lėšomis finansuojamą projektą „Paviršinių nuotekų sistemų tvarkymas Klaipėdos mieste“ įgyvendinimas (projekto vykdytojas – AB „Klaipėdos vanduo“) </t>
  </si>
  <si>
    <t>Onkologijos radioterapijos paslaugų teikimo optimizavimas Klaipėdos universitetinėje ligoninėje</t>
  </si>
  <si>
    <t xml:space="preserve">Baltijos pr. ir Šilutės pl. žiedinės sankryžos rekonstravimas             </t>
  </si>
  <si>
    <t>Klaipėdos miesto savivaldybės kultūros centro Žvejų rūmų teritorijos sutvarkymas</t>
  </si>
  <si>
    <t>Atraminių apsauginių įėjimo į Smiltynės paplūdimį prie centrinės gelbėtojų stoties sienučių remontas</t>
  </si>
  <si>
    <t>Turgaus aikštės su prieigomis sutvarkymas, pritaikant verslo, bendruomenės poreikiams (I ir II etapas)</t>
  </si>
  <si>
    <t>Šalia Klaipėdos Simono Dacho progimnazijos esančio Jūrininkų tako gatvės prailginimas (10 m važiuojamosios dalies)</t>
  </si>
  <si>
    <t xml:space="preserve">4 </t>
  </si>
  <si>
    <t>Savivaldybės socialinio būsto fondo gyvenamųjų namų statyba žemės sklype Akmenų g. 1 B (projektavimas)</t>
  </si>
  <si>
    <t>Švietimo paslaugų modernizavimo 2018–2021 m. programos priemonių įgyvendinimas (išmaniųjų klasių įrengimas, kompiuterinės technikos įsigijimas)</t>
  </si>
  <si>
    <t xml:space="preserve">Skulptūrų parko sutvarkymas </t>
  </si>
  <si>
    <t>projektai</t>
  </si>
  <si>
    <t>projektų</t>
  </si>
  <si>
    <t xml:space="preserve">Klemiškės g. rekonstravimas                       </t>
  </si>
  <si>
    <t>Klaipėdos miesto savivaldybės jachtos „Lietuva“ kapitalinis remontas</t>
  </si>
  <si>
    <t>Automobilių stovėjimo aikštelės įrengimas žemės sklype Rambyno g. 14</t>
  </si>
  <si>
    <t xml:space="preserve">Klaipėdos vaikų globos namų „Smiltelė“ patalpų ir infrastruktūros pritaikymas vaikų dienos centro veiklai </t>
  </si>
  <si>
    <t>Klaipėdos pilies ir bastionų komplekso restauravimas ir atgaivinimas (II etapas – pilies didžiojo bokšto atkūrimas)</t>
  </si>
  <si>
    <t>Dviračių ir pėsčiųjų takų bei jungčių Smiltynėje iki Naujosios perkėlos įrengimo techninio projekto korektūra</t>
  </si>
  <si>
    <t>Triukšmo mažinimo priemonių geležinkeliuose įrengimas Klaipėdos miesto savivaldybėje. II etapas (projektą įgyvendina AB „Lietuvos geležinkeliai“)</t>
  </si>
  <si>
    <t>Eismo juostos, skirtos iš Prano Lideikio g. pasukti į H. Manto gatvę, įrengimas</t>
  </si>
  <si>
    <t>Įvažiuojamojo kelio į Taikos pr. 101;</t>
  </si>
  <si>
    <t>Įvažiuojamojo kelio  į Debreceno g. 61</t>
  </si>
  <si>
    <t>Klaipėdos miesto gatvių rekonstravimas bendromis savivaldybės ir privačių asmenų lėšomis</t>
  </si>
  <si>
    <t>Šilutės plento ruožo nuo Tilžės g. iki geležinkelio pervažos (iki Kauno g.) rekonstrukcija (SM programa 06.2.1-TID-R-511 pr. Vietinių kelių vystymas)</t>
  </si>
  <si>
    <t>ES ir kita tarptautinė finansinė parama</t>
  </si>
  <si>
    <t xml:space="preserve">2021 </t>
  </si>
  <si>
    <t>Tilžės g. nuo Šilutės pl. iki geležinkelio pervažos rekonstravimas, pertvarkant žiedinę Mokyklos g. ir Šilutės pl. sankryžą (I ir II etapai)</t>
  </si>
  <si>
    <t>Įvažiuojamųjų kelių atnaujinimas: Įvažiuojamojo kelio į Taikos pr. 109 ir šalia esančio skvero (Įvažiuojamojo kelio į Taikos pr. 101; Įvažiuojamojo kelio  į Debreceno g. 61)</t>
  </si>
  <si>
    <t>02 programa. Ekonominės plėtros programa</t>
  </si>
  <si>
    <t>Reikalingos papildomos lėšos kompensacijai už žemės sklypo servitutą apmokėti.</t>
  </si>
  <si>
    <r>
      <rPr>
        <sz val="10"/>
        <color rgb="FFFF0000"/>
        <rFont val="Times New Roman"/>
        <family val="1"/>
        <charset val="186"/>
      </rPr>
      <t xml:space="preserve">2021 </t>
    </r>
    <r>
      <rPr>
        <strike/>
        <sz val="10"/>
        <rFont val="Times New Roman"/>
        <family val="1"/>
        <charset val="186"/>
      </rPr>
      <t>2020</t>
    </r>
  </si>
  <si>
    <t>Rentgeno diagnostikos medicinos priemonių  (prietaisų) įsigijimas VšĮ Klaipėdos miesto poliklinikoje</t>
  </si>
  <si>
    <t>LR Sveikatos apsaugos ministro 2020-06-08 įsakymu Nr. V-1397 skirtos investicinės lėšos rengeno diagnostikos paslaugų kokybės gerinimo programai įgyvendinti.</t>
  </si>
  <si>
    <t>Naujos sporto salės statyba (Kretingos g. / Šviesos g.)</t>
  </si>
  <si>
    <t>Projekto vertė didėja, atsižvelgiant į parengtų techninių darbo projektų skaičiavimus.</t>
  </si>
  <si>
    <t>Danės g. rekonstravimas (ruožas nuo Laivų skg. iki Artojų g.+ nuo Atgimimo iki Laivų skrg.)</t>
  </si>
  <si>
    <t>Keleivinio transporto stotelių su įvažomis Klaipėdos miesto gatvėse projektavimas ir įrengimas (I etapas, II etapas + III etapas)</t>
  </si>
  <si>
    <r>
      <t>Uostamiesčiai: darnaus judumo principų integravimas (</t>
    </r>
    <r>
      <rPr>
        <i/>
        <sz val="10"/>
        <color rgb="FFFF0000"/>
        <rFont val="Times New Roman"/>
        <family val="1"/>
        <charset val="186"/>
      </rPr>
      <t>PORT Cities: Integrating Sustainability</t>
    </r>
    <r>
      <rPr>
        <sz val="10"/>
        <color rgb="FFFF0000"/>
        <rFont val="Times New Roman"/>
        <family val="1"/>
        <charset val="186"/>
      </rPr>
      <t xml:space="preserve">, PORTIS) </t>
    </r>
  </si>
  <si>
    <r>
      <t xml:space="preserve">Elektra varomo viešojo transporto naujų galimybių plėtra (DEPO), ELENA </t>
    </r>
    <r>
      <rPr>
        <i/>
        <sz val="10"/>
        <color rgb="FFFF0000"/>
        <rFont val="Times New Roman"/>
        <family val="1"/>
        <charset val="186"/>
      </rPr>
      <t>(dokumentacijos parengimas</t>
    </r>
    <r>
      <rPr>
        <sz val="10"/>
        <color rgb="FFFF0000"/>
        <rFont val="Times New Roman"/>
        <family val="1"/>
        <charset val="186"/>
      </rPr>
      <t>)</t>
    </r>
  </si>
  <si>
    <t>Statybininkų prospekto tęsinio tiesimas nuo Šilutės pl. per LEZ teritoriją iki 141 kelio</t>
  </si>
  <si>
    <t>Projekto įgyvendinimas pratęstas iki 2021-05-30 dėl panaikinto statybos leidimo.</t>
  </si>
  <si>
    <t>Lėšų keitimas pagal finansavimo šaltinius</t>
  </si>
  <si>
    <t xml:space="preserve">Didinama projekto vertė papildomų darbų (betono dangos impregnavimo) galutiniam atsiskaitymui su rangovu. </t>
  </si>
  <si>
    <t>Lėšų keitimas tarp finansavimo šaltinių, atliktas sutarties keitimas dėl ES papildomo finansavimo.</t>
  </si>
  <si>
    <t>Didinama projekto vertė dėl papildomų darbų atlikimo (drenažas, ESO ir kiti darbai)</t>
  </si>
  <si>
    <t>Lėšų keitimas pagal finansavimo šaltinius ir suma tikslinta pagal bendradarbiavimo sutartį tarp LAKD ir KMSA.</t>
  </si>
  <si>
    <t>2020 m. birželio mėn. keitime tarp finansavimo lėšų ir skiriant paskolos lėšas padidinta rezervo suma.</t>
  </si>
  <si>
    <t>Keitimas tarp priemonių (etapų)</t>
  </si>
  <si>
    <t>Projektas įgyvendintas, nepanaudotas rezervas papildomiems darbams.</t>
  </si>
  <si>
    <t>Gatvės remontuojamos atsižvelgiant į KMSA direktoriaus 2020-04-27 įsakymą Nr. AD1-554 "Dėl Klaipėdos miesto savivaldybės 2020-2023 metų žvyruotų kelių asfaltavimo priemonių plano patvirtinimo".</t>
  </si>
  <si>
    <r>
      <t xml:space="preserve">Savivaldybės biudžetinės įstaigos l.-d. „Klevelis“ kapitalinis remontas </t>
    </r>
    <r>
      <rPr>
        <strike/>
        <sz val="10"/>
        <rFont val="Times New Roman"/>
        <family val="1"/>
        <charset val="186"/>
      </rPr>
      <t>Savivaldybės biudžetinės įstaigos bandomojo energijos vartojimo efektyvumo didinimo projekto įgyvendinimas (2020 m. – l.-d. „Klevelis“)</t>
    </r>
  </si>
  <si>
    <t>Keitimas daromas dėl rangos darbų perkėlimo iš vieno etapo į kitą, sumažinant II etapo lėšų rezervą.</t>
  </si>
  <si>
    <t>Didinama finansavimo apimtis dėl investicinio projekto parengimo.</t>
  </si>
  <si>
    <t>Pakoreguotas projeko pavadinimas</t>
  </si>
  <si>
    <t xml:space="preserve">Kadangi yra pateikta paraiška Ateities ekonomikos DNR planui bei vyksta derybos su valstybinėmis institucijomis dėl finansavimo skyrimo, siūloma įtraukti  į planą  šį projektą. </t>
  </si>
  <si>
    <t>Parengus techninę dokumentaciją, paaiškėjo, kad papildomas finansavimas reikalingas II etapo įgyvendinimui, taip pat siūloma numatyti III etapo pradžią.</t>
  </si>
  <si>
    <t>Reikalingos papildomos lėšos ESO tinklų iškėlimo darbams.</t>
  </si>
  <si>
    <t xml:space="preserve">Didinama vertė dėl  papildomų projektavimo darbų </t>
  </si>
  <si>
    <t>Projektas įgyvendintas, nepanaudotas lėšų likutis.</t>
  </si>
  <si>
    <t xml:space="preserve">Lėšų keitimas pagal finansavimo šaltinius </t>
  </si>
  <si>
    <t>Eko kempingo įrengimas Smiltynėje</t>
  </si>
  <si>
    <t>Lietaus nuotekų tinklų įrengimas Turistų gatvėje</t>
  </si>
  <si>
    <t>BĮ Klaipėdos lengvosios atletikos mokyklos pastato (maniežo) renovacija</t>
  </si>
  <si>
    <t>Danės g. rekonstravimas</t>
  </si>
  <si>
    <t>Institucija, atsakinga už įgyvendinimą</t>
  </si>
  <si>
    <t>KMSA</t>
  </si>
  <si>
    <t>Savivaldybės socialinės infrastruktūros plėtros projektai</t>
  </si>
  <si>
    <t>2021 m.</t>
  </si>
  <si>
    <t>2022 m.</t>
  </si>
  <si>
    <t>2023 m.</t>
  </si>
  <si>
    <t>02 Ekonominės plėtros programa</t>
  </si>
  <si>
    <t>05 Aplinkos apsaugos programa</t>
  </si>
  <si>
    <t>Dviračių ir pėsčiųjų takų bei jungčių Smiltynėje iki Naujosios perkėlos įrengimas</t>
  </si>
  <si>
    <t>Dviračių ir pėsčiųjų tilto per Danės upę, jungiančio naująją mokyklą šiaurinėje miesto dalyje su Tauralaukio kvartalu,  statyba</t>
  </si>
  <si>
    <t>06 Susisiekimo sistemos priežiūros ir plėtros programa</t>
  </si>
  <si>
    <t>Savivaldybės inžinerinės infrastruktūros plėtros projektai</t>
  </si>
  <si>
    <t xml:space="preserve">Automatinių oro matavimo stotelių tinklo sukūrimas </t>
  </si>
  <si>
    <t>Danės skvero su inžineriniais tinklais (tarp Naujosios uosto g. ir Senosios perkėlos) rekonstrukcija</t>
  </si>
  <si>
    <t>Turgaus aikštės su prieigomis sutvarkymas, pritaikant verslo, bendruomenės poreikiams (I , II ir III etapai)</t>
  </si>
  <si>
    <t>Projekto "Darnaus judumo priemonių diegimas Klaipėdos mieste" įgyvendinimas (Senamiesčio gatvių rekonstravimas bei keleivinio transporto stotelių su įvažomis įrengimas)</t>
  </si>
  <si>
    <t>Turizmo infrastruktūros plėtra</t>
  </si>
  <si>
    <t>Kultūros infrastruktūros plėtra</t>
  </si>
  <si>
    <t>Švietimo infrastruktūros plėtra</t>
  </si>
  <si>
    <t>Sporto infrastruktūros plėtra</t>
  </si>
  <si>
    <t xml:space="preserve">Socialinių paslaugų infrastruktūros plėtra </t>
  </si>
  <si>
    <t xml:space="preserve">Savivaldybės socialinio būsto fondo gyvenamųjų namų statyba žemės sklype Akmenų g. 1 B </t>
  </si>
  <si>
    <t xml:space="preserve">Sveikatos infrastruktūros plėtra </t>
  </si>
  <si>
    <t>Dviračių takų ir kitų transporto statinių infrastruktūros plėtra</t>
  </si>
  <si>
    <t>Vietinės reikšmės kelių ir gatvių infrastruktūros plėtra</t>
  </si>
  <si>
    <t xml:space="preserve">Vandentiekio ir nuotekų tinklų statyba Klaipėdos m. </t>
  </si>
  <si>
    <t>Vandentiekio tinklų statyba I. Simonaitytės g. 4, 6, 10, 14, 16, 18,  9, 13, 19, 23 Klaipėda</t>
  </si>
  <si>
    <t>Vandentiekio tinklų rekonstravimas Panevėžio g. 3, 5, 9, 11, 13, 15, 17</t>
  </si>
  <si>
    <t>Nuotekų tinklų rekonstravimas Kauno g., Šiaulių g., Nidos g.</t>
  </si>
  <si>
    <t xml:space="preserve">Nuotekų tinklų rekonstravimas I. Simonaitytės g., Liepų g. </t>
  </si>
  <si>
    <t>Paviršinių nuotekų tinklų rekonstravimo ir statybos projektavimas</t>
  </si>
  <si>
    <t>AB "Klaipėdos vanduo"</t>
  </si>
  <si>
    <t>07 Miesto infrastruktūros objektų priežiūros ir modernizavimo programa</t>
  </si>
  <si>
    <t>Parkų, aikščių, skverų ir kitų viešųjų erdvių infrastruktūros plėtra</t>
  </si>
  <si>
    <t>Miesto kapinių infrastruktūros atnaujinimas</t>
  </si>
  <si>
    <t>Šilumos tinklai nuo kameros 1Š-21-1 iki Sportininkų 11A, 13</t>
  </si>
  <si>
    <t>Šilumos tinklai nuo kameros 1Š-22a-1 iki Sportininkų 13, Malūnininkų 4, Sportininkų 13</t>
  </si>
  <si>
    <t>Šilumos tinklų statyba nuo šulinio 1P-12-2-5-1 iki pastato Nemuno g. 8</t>
  </si>
  <si>
    <t>Šilumos tinklų rekonstrukcija nuo kameros 4Š-24 iki taško „A“ prie sklypo ribos Kretingos g. 100</t>
  </si>
  <si>
    <t>AB "Klaipėdos energija"</t>
  </si>
  <si>
    <t>Vandens tiekimo ir buitinių bei paviršinių nuotekų infrastruktūros plėtra</t>
  </si>
  <si>
    <t xml:space="preserve">Vaikų žaidimo aikštelių įrengimo ir atnaujinimo programos įgyvendinimas </t>
  </si>
  <si>
    <t>Šilumos tiekimo infrastruktūros plėtra</t>
  </si>
  <si>
    <t xml:space="preserve">08 Kultūros plėtros programa </t>
  </si>
  <si>
    <t>Klaipėdos Pajūrio progimnazijos fasado apšiltinimo darbai</t>
  </si>
  <si>
    <t>Sporto salių atnaujinimas (2022 m. – „Aitvaro“ gimnazija, 2023 m. –  „Versmės“ progimnazija)</t>
  </si>
  <si>
    <t>Atsinaujinančių energijos išteklių  panaudojimas švietimo įstaigų pastatuose (2021 m. – l.-d. „Čiauškutė“ Martyno Mažvydo progimnazijoje ir „Žemynos“ gimnazijoje; 2022 m. – l.-d. „Versmė“)</t>
  </si>
  <si>
    <t xml:space="preserve">Futbolo mokyklos ir baseino pastatų konversija, I ir II etapai </t>
  </si>
  <si>
    <t>Atsinaujinančių energijos išteklių  panaudojimas sporto įstaigų pastatuose (Lengvosios atletikos mokykloje)</t>
  </si>
  <si>
    <t>Dirbtinės žolės dangos keitimo darbai (Sportininkų g. 46), proc.</t>
  </si>
  <si>
    <t>Projekto „Bendruomeninių vaikų globos namų steigimas Klaipėdos mieste“ įgyvendinimas (pastato Kalvos g. 4 rekonstrukcija)</t>
  </si>
  <si>
    <t>12 Socialinės atskirties mažinimo programa</t>
  </si>
  <si>
    <t>UAB "Gatvių apšvietimas"</t>
  </si>
  <si>
    <t>Molo g. apšvietimo tinklų rekonstrukcija</t>
  </si>
  <si>
    <t xml:space="preserve">Šviesoforo posto Mokyklos g. rekonstrukcija </t>
  </si>
  <si>
    <t xml:space="preserve">Apšvietimo atramų keitimas į dekoratyvines Kulių Vartų g. bei Taikos pr. prie senojo turgaus </t>
  </si>
  <si>
    <t>Automobilių stovėjimo aikštelės teritorijoje  Bangų g., Klaipėdoje, įrengimas</t>
  </si>
  <si>
    <t>Gatvės ir pėsčiųjų bei dviračių takų įrengimas prisidedant prie BĮ Lietuvos jūrų muziejaus projekto „Baltijos jūros gyvūnų reabilitacinis centras“  įgyvendinimo</t>
  </si>
  <si>
    <t>Dubliuojančios gatvės nuo Šiltnamių g. iki Klaipėdos g. su pėsčiųjų ir dviračių taku ir įvažomis į Liepojos g. įrengimas</t>
  </si>
  <si>
    <t>Papildomos eismo juostos ir pėsčiųjų saugumo salelės Mogiliovo gatvėje įrengimas</t>
  </si>
  <si>
    <t>Jaunystės g. ir privažiuojamojo kelio sankryžos, Rūko g. kapitalinis remontas</t>
  </si>
  <si>
    <t>Infrastruktūros įrengimas, reikalingas BRT sistemai funkcionuoti</t>
  </si>
  <si>
    <t>Klaipėdos miesto žvyruotų gatvių kapitalinis remonto techninių projektų parengimas</t>
  </si>
  <si>
    <t>UAB "Klaipėdos regiono atliekų tvarkymo centras"</t>
  </si>
  <si>
    <t>04 Sveikatos apsaugos programa</t>
  </si>
  <si>
    <t>Klaipėdos sutrikusio vystymosi kūdikių namų trumpalaikės socialinės globos atokvėpio paslaugos prieinamumo didinimas (lifto įrengimas)</t>
  </si>
  <si>
    <t>10 Ugdymo proceso užtikrinimo programa</t>
  </si>
  <si>
    <t>11 Kūno kultūros ir sporto plėtros programa</t>
  </si>
  <si>
    <t>Įvažiuojamųjų kelių atnaujinimas:                                                                                                                                              Įvažiuojamojo kelio į Taikos pr. 109 ir šalia esančio skvero;</t>
  </si>
  <si>
    <t>SVP - Klaipėdos miesto savivaldybės 2021-2023 metų strateginis veiklos planas</t>
  </si>
  <si>
    <t>*Sutrumpinimų paaiškinimai:</t>
  </si>
  <si>
    <t>KMSA - Klaipėdos miesto savivaldybės administracija</t>
  </si>
  <si>
    <t xml:space="preserve">Kompensacijų mokėjimas infrastruktūros plėtros iniciatoriams </t>
  </si>
  <si>
    <t>Kompensacijų mokėjimas infrastruktūros plėtros iniciatoriams už patirtas infrastruktūros plėtros sutartyje nustatytas savivaldybės infrastruktūros plėtros išlaidas ir savivaldybės infrastruktūros plėtros rėmimo programos administravimas</t>
  </si>
  <si>
    <t>Dviračių takų, gatvių apšvietimo ir kitų transporto statinių infrastruktūros plėtra</t>
  </si>
  <si>
    <t>SVP* programa, kurioje planuojama priemonė</t>
  </si>
  <si>
    <t>KMSA*</t>
  </si>
  <si>
    <t>Bendras lėšų poreikis (iš visų finansavimo šaltinių)**</t>
  </si>
  <si>
    <t>**Lėšų poreikis nurodomas preliminarus ir iš visų finansavimo šaltinių - savivaldybės biudžeto lėšos, valstybės biudžeto lėšos, Europos Sąjungos struktūrinių fondų bei programų lėšos, nuosavos savivaldybės infrastruktūros valdytojų lėšos, kitos lėšos</t>
  </si>
  <si>
    <t>Priemonės pavadinimas</t>
  </si>
  <si>
    <t>Šilumos tinklų nuo kameros 2P-40-1 iki kameros 2P-40-1-2,Taikos 95, 97, Debreceno g. 61 rekonstrukcija</t>
  </si>
  <si>
    <t>Šilumos tinklų nuo kameros 2P-39-2-1 iki Naikupės g. 28; nuo Darželio g. 4 iki  Nidos g. 9; Rambyno g. 4, 6; Kalnupės g. 25 rekonstrukcija</t>
  </si>
  <si>
    <t>Šilumos tinklų nuo kameros 2P-39-4 iki kameros 2P -39-4-3, Minijos g. 145,147,149,151 rekonstrukcija</t>
  </si>
  <si>
    <t>Šilumos tinklų nuo kameros 1P-4-7-5 iki Pilies g. 1; nuo kameros 1P-4-7-8 iki Bružės g. 2 rekonstrukcija</t>
  </si>
  <si>
    <t>Šilumos tinklų Mokyklos g. iš magistralės 1P nuo kameros T-19 iki kameros T-19-3-1 rekonstrukcija</t>
  </si>
  <si>
    <t xml:space="preserve">Šilumos tiekimo infrastruktūros plėtra </t>
  </si>
  <si>
    <t>Šilumos tinklų nuo kameros 2P-40-2 iki Taikos pr. 99; nuo kameros 2P-40-3 iki Naujakiemio g. 18, 10, 12, 14, 22, 24; nuo Debreceno g. 51 iki Debreceno g. 55, 53, 49 rekonstrukcija</t>
  </si>
  <si>
    <t>Šilumos tinklų Jūreivių g. nuo kameros 2P-42-16 iki kameros 2P-42-18; nuo kameros 2P-42-19 iki Nidos g. 76 rekonstrukcija</t>
  </si>
  <si>
    <t>Šilumos tinklų nuo Reikjaviko g. 15 iki Reikjaviko g. 13,9,11,7 rekonstrukcija</t>
  </si>
  <si>
    <t>Magistralinų šilumos tinklų nuo Klaipėdos rajoninės katilinės kolektorinės iki kameros 4P-4  rekonstrukcija</t>
  </si>
  <si>
    <t>Šilumos tinklų nuo kameros 2P-33-11-2 iki Debreceno 21, 23, 25, 11, 13 ir Debreceno 19, 5, 17 rekonstrukcija</t>
  </si>
  <si>
    <t>Šilumos tinklų nuo Taikos pr. 83 iki Taikos pr. 87,85,89 rekonstrukcija</t>
  </si>
  <si>
    <t>Šilumos tinklų nuo Gedminų g. 20 iki Gedminų g. 22 ir nuo kameros 2P-42-12 iki Gedminų g. 7 rekonstrukcija</t>
  </si>
  <si>
    <t>Šilumos tinklų nuo kameros 2P-39-5-1 iki Minijos g. 130a, 130b, 130c,  Naikupės g. 9a,11, Sulupės g. 10a rekonstrukcija</t>
  </si>
  <si>
    <t>Šilumos tinklų nuo kameros 2P-39-6   iki kameros 2P-39-6-1-2 rekonstrukcija</t>
  </si>
  <si>
    <t>Šilumos tinklų nuo kameros 2P-42-1a iki Taikos pr. 109,111,113, Statybininkų pr. 26, 28, 30, 32 rekonstrukcija</t>
  </si>
  <si>
    <t>Šilumos tinklų nuo kameros 2P-42-4 iki Gedminų g. 14, 16, 18, Naujakiemio g. 1,9,7 ir iki Statybininkų pr. 20,18,4,8 rekonstrukcija</t>
  </si>
  <si>
    <t>Šilumos tinklų nuo S.Daukanto g. 35 iki Sodų g. 3, 5, 7 per kameras 1Š-5-4-1 ir 1Š-5-4-1A rekonstrukcija</t>
  </si>
  <si>
    <t>Šilumos tinklų nuo kameros 1Š-22b-2 iki kameros 1Š 22b-2-3 ir įvadų į Sportininkų g. 10, 14 rekonstrukcija</t>
  </si>
  <si>
    <t>Šilumos tinklų nuo kameros 1Š-22b-4 iki kameros 1Š-22b-4-2 ir Viršutinė g. 21 rekonstrukcija</t>
  </si>
  <si>
    <t>Šilumos tinklų  Jūrininkų pr. nuo kameros 4P-24 iki Lūžų g.  1 rekonstrukcija</t>
  </si>
  <si>
    <t>Šilumos tinklų nuo kameros 4P-14 iki Simonaitytės g. 1,5,7,3, nuo kameros 4P-21-1 iki Vyturio g. 19, 21a ir nuo kameros 4P-23-2 iki Laukininkų g. 32 rekonstrukcija</t>
  </si>
  <si>
    <t>Šilumos tinklų RK-2 iki Klaipėdos rajoninės katilinės kolektorinės rekonstrukcija</t>
  </si>
  <si>
    <t xml:space="preserve">Šilumos trasų statyba ir įvadų įrengimas bei  įsigijimas naujiems vartotojams  Klaipėdoje </t>
  </si>
  <si>
    <t>Magistralinių šilumos tinklų nuo kameros 6P-15 iki Elektrinės kolektorinės Danės g. rekonstrukcija</t>
  </si>
  <si>
    <t>Šilumos tinklų nuo kameros 1Š-30b-5 iki kameros 1Š-30b-5-2, Geležinkelio g. 12 ir iki kamerų 1Š-30b-6, 1Š-30b-6-1, Herkaus Manto g. 75,77 rekonstrukcija</t>
  </si>
  <si>
    <t>Šilumos tinklų nuo kameros 2P-33-6 iki boilerinės B13, Debrecenog.  28, 30, 32, 36, 38, 40, 42, 44 rekonstrukcija</t>
  </si>
  <si>
    <t>Šilumos tinklų nuo kameros 2P-39a-1 iki Naikupės g. 25 ir nuo kameros 2P-39a-6 iki Nidos g. 3,  nuo kameros 2P-39a-5 iki Taikos pr. 68 rekonstrukcija</t>
  </si>
  <si>
    <t>Šilumos tinklų nuo Naikupės g. 17 iki Nidos g. 50, Sulupės g. 18, 20 ir iki Minijos g. 135a, 133, 131, Sulupės g. 11, 13, 13a, Nidos g. 40c, 40a, 40, Minijos g. 129, 127 rekonstrukcija</t>
  </si>
  <si>
    <t>Šilumos tinklų  Alksnynės g. nuo kameros 2P-44-12a iki kameros 2P-44-13 rekonstrukcija</t>
  </si>
  <si>
    <t>Šilumos tinklų  nuo Baltijos pr. 19 iki Baltijos pr. 21, 23, nuo Baltijos pr.  35 iki Baltijos pr.  37, 25, 31 ir nuo Baltijos pr. 41 iki Baltijos pr. 33, 49 rekonstrukcija</t>
  </si>
  <si>
    <t>Šilumos tinklų nuo kameros 2P-34-1-2 iki Baltijos pr. 71, 77, 65, 75 ir boilerinės B-16 iki Baltijos pr. 93,Taikos pr. 77 rekonstrukcija</t>
  </si>
  <si>
    <t>Šilumos tinklų nuo kameros D-7 iki Liepų g.  16a rekonstrukcija</t>
  </si>
  <si>
    <t>Šilumos tinklų nuo kameros 1Š-14-1 iki S.Daukanto g. 9; I. Kanto g. 8 rekonstrukcija</t>
  </si>
  <si>
    <t>Šilumos tinklų nuo kameros 1Š-18-2 iki I. Kanto g. 46 ir iki  J. Janonio g. 17 rekonstrukcija</t>
  </si>
  <si>
    <t>Šilumos tinklų  nuo kameros 1Š-3 iki Liepų g. 43a rekonstrukcija</t>
  </si>
  <si>
    <t>Šilumos tinklų nuo 1Š-12a iki Herkaus Manto 11a, Herkaus Manto 11b rekonstrukcija</t>
  </si>
  <si>
    <t>Šilumos tinklų nuo kameros 1Š-19-1A iki Karklų g.15 rekonstrukcija</t>
  </si>
  <si>
    <t>Šilumos tinklų nuo kameros 1Š-19A iki Gulbių g. 8 rekonstrukcija</t>
  </si>
  <si>
    <t>Šilumos tinklų nuo Dailidžių g. kameros 4Š-12 iki kameros 4Š-10 rekonstrukcija</t>
  </si>
  <si>
    <t>Šilumos tinklų tarp Dailidžių g. kameros 2Š-5 ir 2Š-5-5; Panevėžio g. 2 rekonstrukcija</t>
  </si>
  <si>
    <t>Šilumos tinklų nuo kameros 2Š-7 iki Šviesos g. 3 rekonstrukcija</t>
  </si>
  <si>
    <t>Šilumos tinklų nuo Kretingos g. 58 iki Veterinarijos g. 29 rekonstrukcija</t>
  </si>
  <si>
    <t>Šilumos tinklų Kretingos g. nuo kameros 2Š-31B iki taško „A“(nejudamos atramos) rekonstrukcija</t>
  </si>
  <si>
    <t>Šilumos tinklų rekonstrukcija nuo Karklų g.17 iki Karklų g. 18, Janonio 21</t>
  </si>
  <si>
    <t>Šilumos tinklų  nuo kameros 1Š-24 iki Švyturio g.16, Švyturio g.18 rekonstrukcija</t>
  </si>
  <si>
    <t>Šilumos tinklų nuo kameros 3Š-12 iki Liepojos g. 39 rekonstrukcija</t>
  </si>
  <si>
    <t>Šilumos tinklų  nuo kameros 4Š-25 iki Liepojos g. 43 rekonstrukcija</t>
  </si>
  <si>
    <t>Šilumos tinklų nuo kameros 4P-21 iki Vyturio g. 21a, 19, 15, 23, kameros 4P-21-13 rekonstrukcija</t>
  </si>
  <si>
    <t>Šilumos tinklų nuo kameros 2P-39-5-4-2a iki 2P-36-9, Strėvos g. 6, 8,10, Minijos g. 120, 122</t>
  </si>
  <si>
    <t>Šilumos tinklų tarp kameros 2P-44-5 ir Žardininkų g. 25/27, 29, Reikjaviko g. 1, 3, 5 rekonstrukcija</t>
  </si>
  <si>
    <t>Šilumos tinklų nuo kameros 4P-22 iki Vingio g. 37, Brožynų g. 1, 9, Budelkiemio g. 13 rekonstrukcija</t>
  </si>
  <si>
    <t>Šilumos tinklų nuo kameros 4P-20A iki Markučių g. 2, Mogiliovo g. 3 rekonstrukcija</t>
  </si>
  <si>
    <t>Šilumos tinklų Kretingos g. nuo kameros 4Š-17 iki 4Š-16 rekonstrukcija</t>
  </si>
  <si>
    <t>Šilumos tinklų nuo kameros 1P-2a-4 iki Bangų g. 23 rekonstrukcija</t>
  </si>
  <si>
    <t>Šilumos tinklų  nuo kameros 1P-3-21 iki Galinio Pylimo g. 9, 13, 17 rekonstrukcija</t>
  </si>
  <si>
    <t>Šilumos tinklų nuo kameros 1P-4-5-4 iki Tomo g. 11 rekonstrukcija</t>
  </si>
  <si>
    <t>Šilumos tinklų nuo Turgaus g. 2 iki Tomo g. rekonstrukcija</t>
  </si>
  <si>
    <t>Šilumos tinklų nuo Kepėjų g. 11 iki Kepėjų g. 9 rekonstrukcija</t>
  </si>
  <si>
    <t>Šilumos tinklų nuo kameros 1P-10 iki Taikos pr. 39 rekonstrukcija</t>
  </si>
  <si>
    <t>Šilumos tinklų nuo kameros 1P-13a iki Tilžės g.11 rekonstrukcija</t>
  </si>
  <si>
    <t>Šilumos tinklų nuo Tilžės g. 23 iki Tilžės g. 21 rekonstrukcija</t>
  </si>
  <si>
    <t>Šilumos tinklų rekonstrukcija  nuo kameros 1P-19 iki Tilžės g. 52b</t>
  </si>
  <si>
    <t>Šilumos tinklų nuo kameros 1P-19a iki Tilžės g. 54 rekonstrukcija</t>
  </si>
  <si>
    <t>Šilumos tinklų nuo kameros 1P-8-5 iki 1P-8-5-2a, Rumpiškės g.31, Ryšininkų g. 6, 4 rekonstrukcija</t>
  </si>
  <si>
    <t>Šilumos tinklų tarp kameros 2P-43-1 ir Rambyno g. 18 rekonstrukcija</t>
  </si>
  <si>
    <t>Šilumos tinklų tarp kamerų 2P-39-5-13a, 2P-39-5-13, Naikupės g. 10, 8 ir Minijos g. 136, 138, 140, 142, 144 rekonstrukcija</t>
  </si>
  <si>
    <t>Šilumos tinklų tarp kameros 2P-44 ir 2P-44-12a, Alksnynės g. 5b, Taikos pr. 88a rekonstrukcija</t>
  </si>
  <si>
    <t>Šilumos tinklų nuo kameros 4P-23-16B iki Vingio g. 43, Bandužių g. 18, 16, 4P-23-23 rekonstrukcija</t>
  </si>
  <si>
    <t>Šilumos tinklų nuo kameros 2P-43-1 iki 2P-43-2, Alksnynės g.  6a, 3, 7, 4, 6, Statybininkų g.  33 rekonstrukcija</t>
  </si>
  <si>
    <t>Naujos šilumos trasos į Arimų g. 64, 66 projektavimas ir statyba</t>
  </si>
  <si>
    <t>Dirbtinės žolės dangos keitimo darbai (Sportininkų g. 46)</t>
  </si>
  <si>
    <t>Klaipėdos miesto šiaurinės  dalies gatvių apšvietimo modernizavimas (Herkaus Manto g., Liepojos g., Šiaurės pr., Liepų g., Lideikio g., Medelyno g.)</t>
  </si>
  <si>
    <t xml:space="preserve">Šviesoforų valdymo spintų keitimas ( 2021 m. - Šilutės pl. - Debreceno g., Šilutės pl. - Statybininkų pr., Šilutės pl. - Vingio g.,  Joniškės g. - Mokyklos g., Taikos pr. - Paryžiaus Komunos g., Taikos pr. - Dubysos g., Minijos g. - Dubysos g., Sausio 15-osios g. - Pilies g. sankryžų valdymo spintų keitimas) </t>
  </si>
  <si>
    <t xml:space="preserve">Apšvietimo valdymo skydų keitimas (pietinėje miesto dalyje) </t>
  </si>
  <si>
    <t xml:space="preserve">Seno tipo natrio šviestuvų keitimas į naujo tipo LED šviestuvus, taip taupat el. energiją (pietinėje miesto dalyje) </t>
  </si>
  <si>
    <t>Kompensacijų mokėjimas infrastruktūros plėtros iniciatoriams už įrengtą savivaldybės infrastruktūrą</t>
  </si>
  <si>
    <t>Šilumos tinklų nuo kameros 1Š-14-1 iki S. Daukanto g. 9; I. Kanto g. 8 rekonstrukcija</t>
  </si>
  <si>
    <t>Liepų, Jaunystės ir Arimų gatvių sankryžos (įrengiant šviesoforus ir apšvietimą) kapitalinis remontas</t>
  </si>
  <si>
    <t>Miesto kapinių infrastruktūros atnaujinimas (Joniškės ir Lėbartų kapinės)</t>
  </si>
  <si>
    <t>Savanorių g. rekonstrukcija</t>
  </si>
  <si>
    <t>Vandentiekio ir nuotekų tinklų statyba (SB "Ranetas", SB "Draugystė", SB "Inkaras", SB " Švyturys")</t>
  </si>
  <si>
    <t xml:space="preserve">Vandentiekio ir nuotekų tinklų statyba Veterinarijos g. 41A, 45A, 47A </t>
  </si>
  <si>
    <t xml:space="preserve">Vandentiekio tinklų statyba Baltijos pr. 25, 27, 29, 31, 33, 35 </t>
  </si>
  <si>
    <t>Vandentiekio tinklų statyba ir rekonstravimas Baltijos pr. 17, 15, 13, 21, 23</t>
  </si>
  <si>
    <t>Vandentiekio įvadų į pastatą Šilutės pl. 31 rekonstravimas</t>
  </si>
  <si>
    <t>Vandentiekio tinklų statyba  Rambyno g. 5, 7, 6, Poilsio g. 10, 12, 14, 16, 20</t>
  </si>
  <si>
    <t xml:space="preserve">Nuotekų tinklų rekonstravimas S. Daukanto g., Herkaus Manto g., Mažvydo al., Debreceno g. </t>
  </si>
  <si>
    <t>Projekto „Paslaugų vaikams su negalia ir jų šeimoms plėtra Klaipėdos regione“ įgyvendinimas (BĮ Klaipėdos sutrikusio vystymosi kūdikių namų pastatų  Turistų g. 28, pritaikymas kompleksinių paslaugų vaikams su negalia ir jų šeimoms centro veiklai)</t>
  </si>
  <si>
    <t>BĮ Klaipėdos sutrikusio vystymosi kūdikių namų trumpalaikės socialinės globos atokvėpio paslaugos prieinamumo didinimas (lifto įrengimas)</t>
  </si>
  <si>
    <t xml:space="preserve">VšĮ Klaipėdos vaikų ligoninės administracinės paskirties pastato J. Karoso g. 12 rekonstravimas į gydymo paskirties pastatą </t>
  </si>
  <si>
    <t>Aplinkosaugos ir atliekų tvarkymo infrastruktūros plėtra</t>
  </si>
  <si>
    <t>Klaipėdos regioninio sąvartyno III sekcijos įrengimas (regioninis projektas)</t>
  </si>
  <si>
    <t xml:space="preserve">Komunalinių atliekų tvarkymo infrastruktūros plėtra Klaipėdos miesto, Skuodo ir Kretingos rajonų bei Neringos savivaldybėse </t>
  </si>
  <si>
    <t>Maisto atliekų apdorojimo infrastruktūros sukūrimas Klaipėdos RATC (regioninis projektas)</t>
  </si>
  <si>
    <t>Atsinaujinančios energijos išteklių saulės fotovoltinės elektrinės įrengimas ant rekultivuoto Glaudėnų sąvartyno Klaipėdos rajone  (regioninis projektas)</t>
  </si>
  <si>
    <t>Nuotekų siurblinės NS65 rekonstravimas šalia Stovyklos g. 4</t>
  </si>
  <si>
    <t>Nuotekų siurblinės NS24 rekonstravimas šalia Rokiškio g. 1</t>
  </si>
  <si>
    <t>Paviršinių nuotekų tinklų rekonstravimas ir statyba Gulbių g., Danės g., Skerdyklos g.</t>
  </si>
  <si>
    <r>
      <t xml:space="preserve">Nuotakyno atliekų nuvandeninimo įrangos įsigijimas </t>
    </r>
    <r>
      <rPr>
        <sz val="10"/>
        <rFont val="Times New Roman"/>
        <family val="1"/>
        <charset val="186"/>
      </rPr>
      <t>(Uosių g. 8, Dumpių k., Klaipėdos raj.)</t>
    </r>
  </si>
  <si>
    <t>Energetinių įrenginių modernizavimas (Uosių g. 8, Dumpių k., Klaipėdos raj.)</t>
  </si>
  <si>
    <t>Maišyklių įsigijimas (Uosių g. 8, Dumpių k., Klaipėdos raj.)</t>
  </si>
  <si>
    <t>Dumblo sraigtinių konvejerių spiralių įsigijimas ir sumontavimas (Uosių g. 8, Dumpių k., Klaipėdos raj.)</t>
  </si>
  <si>
    <t>Centrifūgos ALFA LAVAL atnaujinimas (Uosių g. 8, Dumpių k., Klaipėdos raj.)</t>
  </si>
  <si>
    <t>Polimero stotelės įsigijimas (Uosių g. 8, Dumpių k., Klaipėdos raj.)</t>
  </si>
  <si>
    <t>Sraigtinio konvejerio lovio įsigijimas ir sumontavimas (Uosių g. 8, Dumpių k., Klaipėdos raj.)</t>
  </si>
  <si>
    <t>Dujų talpyklos įsigijimas ir sumontavimas (Uosių g. 8, Dumpių k., Klaipėdos raj.)</t>
  </si>
  <si>
    <t>Dumblo džiovyklos įrangos įsigijimas (Uosių g. 8, Dumpių k., Klaipėdos raj.)</t>
  </si>
  <si>
    <t>Trečio dumblo pūdytuvo statyba  (Uosių g. 8, Dumpių k., Klaipėdos raj.)</t>
  </si>
  <si>
    <t>Grotų ir smėlio sėsdinimo pastato rekonstrukcija                                                                                            (Smėliagaudžių tilto kapitalinis remontas/keitimas, smėliagaudžių uždengimas ir pastato vidaus ir išorės remontas) (Uosių g. 8, Dumpių k., Klaipėdos raj.)</t>
  </si>
  <si>
    <t>Kvapų mažinimo sistemos įgyvendinimas latake nuo smėliagaudės iki pirminių nusodintuvų (Uosių g. 8, Dumpių k., Klaipėdos raj.)</t>
  </si>
  <si>
    <t>Kvapų mažinimo sistemos įgyvendinimas smėliagaudėje (Uosių g. 8, Dumpių k., Klaipėdos raj.)</t>
  </si>
  <si>
    <t>Kvapų mažinimo sistemos įgyvendinimas džiovyklos biofiltre (Uosių g. 8, Dumpių k., Klaipėdos raj.)</t>
  </si>
  <si>
    <t>Pirminių nusodintuvų uždengimas (Uosių g. 8, Dumpių k., Klaipėdos raj.)</t>
  </si>
  <si>
    <t>Ventiliacinių sistemų atnaujinimas ("A" pastatas) (Uosių g. 8, Dumpių k., Klaipėdos raj.)</t>
  </si>
  <si>
    <t>Dumblo pūdytuvų apšiltinimas (Uosių g. 8, Dumpių k., Klaipėdos raj.)</t>
  </si>
  <si>
    <t>Mikroteršalų valymo technologijų alternatyvų vertinimas, projektavimas ir įdiegimas (Uosių g. 8, Dumpių k., Klaipėdos raj.)</t>
  </si>
  <si>
    <t>1-osios vandenvietės aeracijų orapūtė (Liepų g. 49a)</t>
  </si>
  <si>
    <t>Gręžinių giluminių siurblių atnaujinimas 1-oje vand. (Liepų g. 49a)</t>
  </si>
  <si>
    <t>3-ios vandenvietės Actiflo kamerų  remontas  (Kairių g. 13)</t>
  </si>
  <si>
    <t>1-osios vandenvietės 14 gręžinio pergrežimas (Liepų g. 49a)</t>
  </si>
  <si>
    <t>1-os vandenvietės tvoros remontas (Liepų g. 49a)</t>
  </si>
  <si>
    <t>Vandenviečių elektros paskirstymo įrangos atnaujinimas (Liepų g. 49a ir Kairių g. 13)</t>
  </si>
  <si>
    <t xml:space="preserve">1-os vandvenvietės 2-o kėlimo siurblio įsigijimas (Liepų g. 49a) </t>
  </si>
  <si>
    <t>1-osios vandenvietės vandens ruošyklos osmoso membranų pakeitimas (Liepų g. 49a)</t>
  </si>
  <si>
    <t>3-ios vandenvietės filtrų įkrovos keitimas (Kairių g. 13)</t>
  </si>
  <si>
    <t>3-ios vandenvietės siurblių keitimas (Kairių g. 13)</t>
  </si>
  <si>
    <t xml:space="preserve">3-ios vandenvietės drenų siublio įsigijimas (Kairių g. 13) </t>
  </si>
  <si>
    <t>Vandenviečių 3-čio kėlimo įrenginių atnaujinimas (Liepų g. 49a ir Kairių g. 13)</t>
  </si>
  <si>
    <t xml:space="preserve">3-ios vandenvietės filtrų plovimo siurblio įsigijimas (Kairių g. 13) </t>
  </si>
  <si>
    <t>3-ios vandenvietės orapūtės įsigijimas  (Kairių g. 13)</t>
  </si>
  <si>
    <t>3-ios vandenvietės pastatų rekonstrukcija (Kairių g. 13)</t>
  </si>
  <si>
    <t>3-ios vandenvietės Klaipėdos šliuzo vartų valdymo sistemos iš SCADA  įdiegimas (Kairių g. 13)</t>
  </si>
  <si>
    <t>3-ios vandenvietės tvoros vakarinės dalies remontas (Kairių g. 13)</t>
  </si>
  <si>
    <t>3-ios vandenvietės 2-o kėlimo siurblių įsigijimas (Kairių g. 13)</t>
  </si>
  <si>
    <t>Vilhelmo kanalo šliuzo vartų remontas  (Kairių g. 13)</t>
  </si>
  <si>
    <t>III kėlimo siurblinių įrangos atnaujinimas  Klaipėdos miesto teritorijoje</t>
  </si>
  <si>
    <t>3-ios  vandenvietės drenų magistralinės linijos ir uždaromosios armatūros keitimas  (Kairių g. 13)</t>
  </si>
  <si>
    <t>1-osios vandenvietės aeracinių koštuvų remontas  (Liepų g. 49a)</t>
  </si>
  <si>
    <t>Kvartalinių 3-čio kėlimo siurblinių statyba  Klaipėdos g. 6a ir šalia Liepų g. 95</t>
  </si>
  <si>
    <t>Energinio efektyvumo didinimas ikimokyklinio ugdymo įstaigose (pastatų atnaujinimas m/d „Saulutė“, l/d „Vėrinėlis“, l/d „Pingvinukas“, l/d „Putinėlis“, l/d „Kregždutė“, l/d „Radastėlė“, l/d „Boružėlė, “l.-d „Alksniukas“  ir l.-d „Želmenėlis“)</t>
  </si>
  <si>
    <t>Maisto atliekų apdorojimo infrastruktūros sukūrimas Klaipėdos RATC (regioninis projektas, vykdomas Dumpių k., Klaipėdos r.)</t>
  </si>
  <si>
    <t>Klaipėdos regioninio sąvartyno III sekcijos įrengimas (regioninis projektas, vykdomas Dumpių k., Klaipėdos r.)</t>
  </si>
  <si>
    <t>Apsauginės paskirties želdynų ir želdinių įrengimo labiausiai taršos veikiamose teritorijose veiksmų plano 2020-2023 m. vykdymas</t>
  </si>
  <si>
    <t>Transporto (eismo) valdymo sistemos diegimas (Minijos g. - Pilies g. - Naujojo uosto g.)</t>
  </si>
  <si>
    <t>Šilumos tinklų S.Šimkaus g. nuo 1Š-11 iki 1Š-14 rekonstrukcija</t>
  </si>
  <si>
    <t xml:space="preserve">Keleivinio transporto stotelių su įvažomis Klaipėdos miesto gatvėse projektavimas </t>
  </si>
  <si>
    <t>Konteinerinių tualetų įrengimas Klaipėdos miesto paplūdimiuose</t>
  </si>
  <si>
    <t>Elektros įvadų įrengimas paplūdimiuose</t>
  </si>
  <si>
    <t>Vasaros koncertų estrados modernizavimas (kapitalinis remontas ir aplinkos sutvarkymas)</t>
  </si>
  <si>
    <t>Paviršinių nuotekų tinklų statybos projektavimas Skautų g.</t>
  </si>
  <si>
    <t xml:space="preserve">Mėgėjų sodų teritorijoje savivaldybių institucijų valdomų kelių remontas </t>
  </si>
  <si>
    <t>1.3.</t>
  </si>
  <si>
    <t>1.1.3.</t>
  </si>
  <si>
    <t>1.2.1.</t>
  </si>
  <si>
    <t>1.3., 1.1.2.</t>
  </si>
  <si>
    <t>1.3., 1.1.1.</t>
  </si>
  <si>
    <t>1.3., 1.2.1.</t>
  </si>
  <si>
    <t>1.6.</t>
  </si>
  <si>
    <t>1.3., 1.1.3.</t>
  </si>
  <si>
    <t>1.3., 1.1.4.</t>
  </si>
  <si>
    <t>1.3., 1.6.</t>
  </si>
  <si>
    <t>1.3., 1.1.2., 1.6.</t>
  </si>
  <si>
    <t>1.3., 1.1.3., 1.6.</t>
  </si>
  <si>
    <t>1.3., 1.1.1., 1.6.</t>
  </si>
  <si>
    <t>1.1.5.</t>
  </si>
  <si>
    <t>1.2.1., 1.1.4.</t>
  </si>
  <si>
    <t>1.1.3, 1.1.4.</t>
  </si>
  <si>
    <t>1.3., 1.1.5.</t>
  </si>
  <si>
    <t>**Sutrumpinimų paaiškinimai:</t>
  </si>
  <si>
    <t>Atitiktis kriterijams*</t>
  </si>
  <si>
    <t>SVP** programa, kurioje planuojama priemonė ir finansavimas</t>
  </si>
  <si>
    <t>KMSA**</t>
  </si>
  <si>
    <t>KLAIPĖDOS MIESTO SAVIVALDYBĖS INFRASTRUKTŪROS PLĖTROS PRIEMONIŲ 2021–2023 METŲ PLANAS</t>
  </si>
  <si>
    <t xml:space="preserve">PATVIRTINTA
Klaipėdos miesto savivaldybės
tarybos  
sprendimu Nr. 
</t>
  </si>
  <si>
    <t>UAB Klaipėdos regiono atliekų tvarkymo centras</t>
  </si>
  <si>
    <t>UAB „Gatvių apšvietimas“</t>
  </si>
  <si>
    <t>AB „Klaipėdos vanduo“</t>
  </si>
  <si>
    <t>AB „Klaipėdos energija“</t>
  </si>
  <si>
    <t>AB „Klaipėdos energija“"</t>
  </si>
  <si>
    <t xml:space="preserve">*Kriterijai, patvirtinti Klaipėdos miesto savivaldybės tarybos 2020 m. gruodžio 22 d. sprendimu Nr. T2-284 „Dėl Klaipėdos miesto savivaldybės infrastruktūros pripažinimo prioritetine kriterijų patvirtinimo" </t>
  </si>
  <si>
    <t>KMSA – Klaipėdos miesto savivaldybės administracija</t>
  </si>
  <si>
    <t>SVP – Klaipėdos miesto savivaldybės 2021–2023 metų strateginis veiklos planas</t>
  </si>
  <si>
    <t>Ekologinio kempingo įrengimas Smiltynėje</t>
  </si>
  <si>
    <t>Apsauginės paskirties želdynų ir želdinių įrengimo labiausiai taršos veikiamose teritorijose veiksmų plano 2020–2023 m. vykdymas</t>
  </si>
  <si>
    <t>Vilniaus dailės akademijos Klaipėdos fakulteto teritorijos sutvarkymas</t>
  </si>
  <si>
    <t>Danės skvero su inžineriniais tinklais (tarp Naujosios Uosto g. ir Senosios perkėlos) rekonstrukcija</t>
  </si>
  <si>
    <t>Lifto įrengimas Klaipėdos miesto savivaldybės Mažosios Lietuvos istorijos muziejuje</t>
  </si>
  <si>
    <t>Energinio efektyvumo didinimas ikimokyklinio ugdymo įstaigose:                          - pastatų atnaujinimas m.-d. „Saulutė“, l.-d. „Vėrinėlis“, l.-d. „Pingvinukas“, l.-d. „Putinėlis“, l.-d. „Kregždutė“, l.-d. „Radastėlė“, l.-d. „Boružėlė“, l.-d. „Alksniukas“  ir l.-d. „Želmenėlis“</t>
  </si>
  <si>
    <t>Klaipėdos „Pajūrio“ progimnazijos fasado apšiltinimo darbai</t>
  </si>
  <si>
    <t>Atsinaujinančių energijos išteklių  panaudojimas švietimo įstaigų pastatuose (2021 m. – l.-d. „Čiauškutė“, Martyno Mažvydo progimnazijoje ir „Žemynos“ gimnazijoje; 2022 m. – l.-d. „Versmė“)</t>
  </si>
  <si>
    <t xml:space="preserve">Savivaldybės socialinio būsto fondo gyvenamųjų namų statyba žemės sklype Akmenų g. 1B </t>
  </si>
  <si>
    <t>Projekto „Paslaugų vaikams su negalia ir jų šeimoms plėtra Klaipėdos regione“ įgyvendinimas (BĮ Klaipėdos sutrikusio vystymosi kūdikių namų pastatų  Turistų g. 28 pritaikymas kompleksinių paslaugų vaikams su negalia ir jų šeimoms centro veiklai)</t>
  </si>
  <si>
    <t>Dviračių ir pėsčiųjų tilto per Danės upę, jungiančio naująją mokyklą šiaurinėje miesto dalyje su Tauralaukio kvartalu, statyba</t>
  </si>
  <si>
    <t>Klaipėdos miesto šiaurinės  dalies gatvių apšvietimo modernizavimas (Herkaus Manto g., Liepojos g., Šiaurės pr., Liepų g., Prano Lideikio g., Medelyno g.)</t>
  </si>
  <si>
    <t xml:space="preserve">Seno tipo natrio šviestuvų keitimas į naujo tipo LED šviestuvus, taip taupat elektros energiją (pietinėje miesto dalyje) </t>
  </si>
  <si>
    <t xml:space="preserve">Šviesoforų valdymo spintų keitimas (2021 m. – Šilutės pl. – Debreceno g., Šilutės pl. – Statybininkų pr., Šilutės pl. – Vingio g.,  Joniškės g. – Mokyklos g., Taikos pr. – Paryžiaus Komunos g., Taikos pr. – Dubysos g., Minijos g. – Dubysos g., Sausio 15-osios g. – Pilies g. sankryžų valdymo spintų keitimas) </t>
  </si>
  <si>
    <t xml:space="preserve">Apšvietimo atramų keitimas į dekoratyvines Kūlių Vartų g. bei Taikos pr. prie Senojo turgaus </t>
  </si>
  <si>
    <t>Projekto „Darnaus judumo priemonių diegimas Klaipėdos mieste“ įgyvendinimas (Senamiesčio gatvių rekonstravimas bei keleivinio transporto stotelių su įvažomis įrengimas)</t>
  </si>
  <si>
    <t>Šalia Klaipėdos Simono Dacho progimnazijos esančio Jūrininkų tako gatvės pailginimas (10 m važiuojamosios dalies)</t>
  </si>
  <si>
    <t>Įvažiuojamųjų kelių atnaujinimas:                                                                                                Įvažiuojamojo kelio į Taikos pr. 109 ir šalia esančio skvero</t>
  </si>
  <si>
    <t>Įvažiuojamojo kelio į Taikos pr. 101</t>
  </si>
  <si>
    <t>Jaunystės g. ir privažiuojamojo kelio sankryžos Rūko g. kapitalinis remontas</t>
  </si>
  <si>
    <t>Vandentiekio ir nuotekų tinklų tiesimas (SB „Renetas“, SB „Draugystė“, SB „Inkaras“, SB „Švyturys“)</t>
  </si>
  <si>
    <t xml:space="preserve">Vandentiekio ir nuotekų tinklų tiesimas Veterinarijos g. 41A, 45A, 47A </t>
  </si>
  <si>
    <t xml:space="preserve">Vandentiekio ir nuotekų tinklų tiesimas Klaipėdos m. </t>
  </si>
  <si>
    <t xml:space="preserve">Vandentiekio tinklų tiesimas Baltijos pr. 25, 27, 29, 31, 33, 35 </t>
  </si>
  <si>
    <t>Vandentiekio tinklų tiesimas ir rekonstravimas Baltijos pr. 17, 15, 13, 21, 23</t>
  </si>
  <si>
    <t>Vandentiekio tinklų tiesimas I. Simonaitytės g. 4, 6, 10, 14, 16, 18,  9, 13, 19, 23 Klaipėda</t>
  </si>
  <si>
    <t>Vandentiekio tinklų tiesimas Rambyno g. 5, 7, 6, Poilsio g. 10, 12, 14, 16, 20</t>
  </si>
  <si>
    <t xml:space="preserve">Nuotekų tinklų rekonstravimas S. Daukanto g., Herkaus Manto g., M. Mažvydo al., Debreceno g. </t>
  </si>
  <si>
    <t>Paviršinių nuotekų tinklų rekonstravimas ir tiesimas Gulbių g., Danės g., Skerdyklos g.</t>
  </si>
  <si>
    <t>Paviršinių nuotekų tinklų tiesimo projektavimas Skautų g.</t>
  </si>
  <si>
    <t>Paviršinių nuotekų tinklų rekonstravimo ir tiesimo projektavimas</t>
  </si>
  <si>
    <r>
      <t xml:space="preserve">Nuotakyno atliekų nuvandeninimo įrangos įsigijimas </t>
    </r>
    <r>
      <rPr>
        <sz val="10"/>
        <rFont val="Times New Roman"/>
        <family val="1"/>
        <charset val="186"/>
      </rPr>
      <t>(Uosių g. 8, Dumpių k., Klaipėdos r.)</t>
    </r>
  </si>
  <si>
    <t>Energinių įrenginių modernizavimas (Uosių g. 8, Dumpių k., Klaipėdos r.)</t>
  </si>
  <si>
    <t>Maišyklių įsigijimas (Uosių g. 8, Dumpių k., Klaipėdos r.)</t>
  </si>
  <si>
    <t>Dumblo sraigtinių konvejerių spiralių įsigijimas ir sumontavimas (Uosių g. 8, Dumpių k., Klaipėdos r.)</t>
  </si>
  <si>
    <t>Centrifūgos ALFA LAVAL atnaujinimas (Uosių g. 8, Dumpių k., Klaipėdos r.)</t>
  </si>
  <si>
    <t>Polimero stotelės įsigijimas (Uosių g. 8, Dumpių k., Klaipėdos r.)</t>
  </si>
  <si>
    <t>Sraigtinio konvejerio lovio įsigijimas ir sumontavimas (Uosių g. 8, Dumpių k., Klaipėdos r.)</t>
  </si>
  <si>
    <t>Dujų talpyklos įsigijimas ir sumontavimas (Uosių g. 8, Dumpių k., Klaipėdos r.)</t>
  </si>
  <si>
    <t>Dumblo džiovyklos įrangos įsigijimas (Uosių g. 8, Dumpių k., Klaipėdos r.)</t>
  </si>
  <si>
    <t>Trečio dumblo pūdytuvo statyba  (Uosių g. 8, Dumpių k., Klaipėdos r.)</t>
  </si>
  <si>
    <t>Grotų ir smėlio sėsdinimo pastato rekonstrukcija                                                                                            (Smėliagaudžių tilto kapitalinis remontas, keitimas, smėliagaudžių uždengimas ir pastato vidaus ir išorės remontas) (Uosių g. 8, Dumpių k., Klaipėdos r.)</t>
  </si>
  <si>
    <t>Kvapų mažinimo sistemos įgyvendinimas latake nuo smėliagaudės iki pirminių nusodintuvų (Uosių g. 8, Dumpių k., Klaipėdos r.)</t>
  </si>
  <si>
    <t>Kvapų mažinimo sistemos įgyvendinimas smėliagaudėje (Uosių g. 8, Dumpių k., Klaipėdos r.)</t>
  </si>
  <si>
    <t>Kvapų mažinimo sistemos įgyvendinimas džiovyklos biofiltre (Uosių g. 8, Dumpių k., Klaipėdos r.)</t>
  </si>
  <si>
    <t>Pirminių nusodintuvų uždengimas (Uosių g. 8, Dumpių k., Klaipėdos r.)</t>
  </si>
  <si>
    <t>Dumblo pūdytuvų apšiltinimas (Uosių g. 8, Dumpių k., Klaipėdos r.)</t>
  </si>
  <si>
    <t>Ventiliacinių sistemų atnaujinimas („A“ pastatas) (Uosių g. 8, Dumpių k., Klaipėdos r.)</t>
  </si>
  <si>
    <t>Mikroteršalų valymo technologijų alternatyvų vertinimas, projektavimas ir įdiegimas (Uosių g. 8, Dumpių k., Klaipėdos r.)</t>
  </si>
  <si>
    <t>1-osios vandenvietės aeracijų orapūtė (Liepų g. 49A)</t>
  </si>
  <si>
    <t>Gręžinių giluminių siurblių atnaujinimas 1-ojoje vandenvietėje (Liepų g. 49A)</t>
  </si>
  <si>
    <t>3-ioios vandenvietės actiflo kamerų remontas  (Kairių g. 13)</t>
  </si>
  <si>
    <t>1-osios vandenvietės tvoros remontas (Liepų g. 49A)</t>
  </si>
  <si>
    <t>1-osios vandenvietės 14 gręžinio pergręžimas (Liepų g. 49A)</t>
  </si>
  <si>
    <t>Vandenviečių elektros paskirstymo įrangos atnaujinimas (Liepų g. 49A ir Kairių g. 13)</t>
  </si>
  <si>
    <t>1-osios vandenvietės vandens ruošyklos osmoso membranų pakeitimas (Liepų g. 49A)</t>
  </si>
  <si>
    <t>Vandenviečių 3-čio kėlimo įrenginių atnaujinimas (Liepų g. 49A ir Kairių g. 13)</t>
  </si>
  <si>
    <t xml:space="preserve">1-osios vandvenvietės 2-o kėlimo siurblio įsigijimas (Liepų g. 49A) </t>
  </si>
  <si>
    <t>3-iosios vandenvietės filtrų įkrovos keitimas (Kairių g. 13)</t>
  </si>
  <si>
    <t>3-iosios vandenvietės siurblių keitimas (Kairių g. 13)</t>
  </si>
  <si>
    <t xml:space="preserve">3-iosios vandenvietės drenų siublio įsigijimas (Kairių g. 13) </t>
  </si>
  <si>
    <t>3-iosios vandenvietės tvoros vakarinės dalies remontas (Kairių g. 13)</t>
  </si>
  <si>
    <t>3-iosios vandenvietės Klaipėdos šliuzo vartų valdymo sistemos iš SCADA  įdiegimas (Kairių g. 13)</t>
  </si>
  <si>
    <t>3-iosios vandenvietės pastatų rekonstrukcija (Kairių g. 13)</t>
  </si>
  <si>
    <t xml:space="preserve">3-iosios vandenvietės filtrų plovimo siurblio įsigijimas (Kairių g. 13) </t>
  </si>
  <si>
    <t>3-iosios vandenvietės orapūtės įsigijimas  (Kairių g. 13)</t>
  </si>
  <si>
    <t>3-iosios vandenvietės drenų magistralinės linijos ir uždaromosios armatūros keitimas  (Kairių g. 13)</t>
  </si>
  <si>
    <t>1-osios vandenvietės aeracinių koštuvų remontas  (Liepų g. 49A)</t>
  </si>
  <si>
    <t>Kvartalinių 3-čio kėlimo siurblinių statyba Klaipėdos g. 6A ir šalia Liepų g. 95</t>
  </si>
  <si>
    <t>3-čio kėlimo siurblinių įrangos atnaujinimas Klaipėdos miesto teritorijoje</t>
  </si>
  <si>
    <t>Šilumos tinklų nuo kameros 2P-40-1 iki kameros 2P-40-1-2, Taikos 95, 97, Debreceno g. 61 rekonstrukcija</t>
  </si>
  <si>
    <t>Šilumos tinklų nuo kameros 2P-39-2-1 iki Naikupės g. 28; nuo Darželio g. 4 iki Nidos g. 9; Rambyno g. 4, 6; Kalnupės g. 25 rekonstrukcija</t>
  </si>
  <si>
    <t>Šilumos tinklų nuo kameros 2P-39-5-1 iki Minijos g. 130A, 130B, 130C,  Naikupės g. 9A,11, Sulupės g. 10A rekonstrukcija</t>
  </si>
  <si>
    <t>Šilumos tinklų nuo kameros 2P-42-1a iki Taikos pr. 109, 111, 113, Statybininkų pr. 26, 28, 30, 32 rekonstrukcija</t>
  </si>
  <si>
    <t>Šilumos tinklų nuo kameros 2P-42-4 iki Gedminų g. 14, 16, 18, Naujakiemio g. 1, 9, 7 ir iki Statybininkų pr. 20, 18, 4, 8 rekonstrukcija</t>
  </si>
  <si>
    <t>Šilumos tinklų nuo S. Daukanto g. 35 iki Sodų g. 3, 5, 7 per kameras 1Š-5-4-1 ir 1Š-5-4-1A rekonstrukcija</t>
  </si>
  <si>
    <t>Šilumos tinklai nuo kameros 1Š-21-1 iki Sportininkų g. 11A, 13</t>
  </si>
  <si>
    <t>Šilumos tinklai nuo kameros 1Š-22a-1 iki Sportininkų 13, Malūnininkų g. 4, Sportininkų g. 13</t>
  </si>
  <si>
    <t>Šilumos tinklų  Jūrininkų pr. nuo kameros 4P-24 iki Lūžų g. 1 rekonstrukcija</t>
  </si>
  <si>
    <t>Šilumos tinklų nuo kameros 4P-14 iki I. Simonaitytės g. 1,5,7,3, nuo kameros 4P-21-1 iki Vyturio g. 19, 21A ir nuo kameros 4P-23-2 iki Laukininkų g. 32 rekonstrukcija</t>
  </si>
  <si>
    <t xml:space="preserve">Šilumos trasų tiesimas ir įvadų įrengimas bei  įsigijimas naujiems vartotojams  Klaipėdoje </t>
  </si>
  <si>
    <t>Šilumos tinklų tiesimas nuo šulinio 1P-12-2-5-1 iki pastato Nemuno g. 8</t>
  </si>
  <si>
    <t>Magistralinių šilumos tinklų nuo kameros 6P-15 iki elektrinės kolektorinės Danės g. rekonstrukcija</t>
  </si>
  <si>
    <t>Šilumos tinklų nuo Naikupės g. 17 iki Nidos g. 50, Sulupės g. 18, 20 ir iki Minijos g. 135A, 133, 131, Sulupės g. 11, 13, 13A, Nidos g. 40C, 40A, 40, Minijos g. 129, 127 rekonstrukcija</t>
  </si>
  <si>
    <t>Šilumos tinklų nuo kameros 2P-34-1-2 iki Baltijos pr. 71, 77, 65, 75 ir boilerinės B-16 iki Baltijos pr. 93, Taikos pr. 77 rekonstrukcija</t>
  </si>
  <si>
    <t>Šilumos tinklų S. Šimkaus g. nuo 1Š-11 iki 1Š-14 rekonstrukcija</t>
  </si>
  <si>
    <t>Šilumos tinklų nuo kameros D-7 iki Liepų g. 16A rekonstrukcija</t>
  </si>
  <si>
    <t>Šilumos tinklų  nuo kameros 1Š-3 iki Liepų g. 43A rekonstrukcija</t>
  </si>
  <si>
    <t>Šilumos tinklų nuo 1Š-12a iki Herkaus Manto g. 11A, Herkaus Manto g. 11B rekonstrukcija</t>
  </si>
  <si>
    <t>Šilumos tinklų rekonstrukcija nuo Karklų g. 17 iki Karklų g. 18, J. Janonio g. 21</t>
  </si>
  <si>
    <t>Šilumos tinklų  nuo kameros 1Š-24 iki Švyturio g. 16, Švyturio g. 18 rekonstrukcija</t>
  </si>
  <si>
    <t>Šilumos tinklų nuo kameros 4Š-25 iki Liepojos g. 43 rekonstrukcija</t>
  </si>
  <si>
    <t>Šilumos tinklų nuo kameros 4P-21 iki Vyturio g. 21A, 19, 15, 23, kameros 4P-21-13 rekonstrukcija</t>
  </si>
  <si>
    <t>Šilumos tinklų nuo kameros 2P-39-5-4-2a iki 2P-36-9, Strėvos g. 6, 8, 10, Minijos g. 120, 122</t>
  </si>
  <si>
    <t>Šilumos tinklų rekonstrukcija  nuo kameros 1P-19 iki Tilžės g. 52B</t>
  </si>
  <si>
    <t>Šilumos tinklų nuo kameros 1P-8-5 iki 1P-8-5-2a, Rumpiškės g. 31, Ryšininkų g. 6, 4 rekonstrukcija</t>
  </si>
  <si>
    <t>Šilumos tinklų tarp kameros 2P-44 ir 2P-44-12a, Alksnynės g. 5B, Taikos pr. 88A rekonstrukcija</t>
  </si>
  <si>
    <t>Šilumos tinklų nuo kameros 2P-43-1 iki 2P-43-2, Alksnynės g.  6A, 3, 7, 4, 6, Statybininkų g. 33 rekonstrukcija</t>
  </si>
  <si>
    <t>Naujos šilumos trasos į Arimų g. 64, 66 projektavimas ir tiesimas</t>
  </si>
  <si>
    <t>Šilumos tinklų nuo Tilžės g. 34 iki Tilžės g. 32 rekonstrukcija</t>
  </si>
  <si>
    <t>Šilumos tinklų  nuo Tilžės g. 34 iki Tilžės g. 32 rekonstrukcija</t>
  </si>
  <si>
    <t>Statybininkų prospekto tęsinio tiesimas nuo Šilutės pl. per LEZ teritoriją iki 141 kelio (su estakada)</t>
  </si>
  <si>
    <t>Klaipėdos miesto gatvių rekonstravimas bendromis savivaldybės ir privačių asmenų lėšomis pagal Savivaldybės tarybos patvirtintą Fizinių ar juridinių asmenų, pageidaujančių skirti tikslinių lėšų Klaipėdos miesto savivaldybės teritorijoje esančiai viešai susisiekimo infrastruktūrai, pasiūlymų teikimo, vertinimo, pripažinimo tinkamais įgyvendinti ir finansavimo tvarkos aprašą</t>
  </si>
  <si>
    <t xml:space="preserve">Aiškinamojo rašto 2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</si>
</sst>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
    <numFmt numFmtId="166" formatCode="[$-10427]#,##0.00;\-#,##0.00"/>
    <numFmt numFmtId="167" formatCode="0.0"/>
    <numFmt numFmtId="168" formatCode="[$-409]General"/>
  </numFmts>
  <fonts count="3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sz val="10"/>
      <color rgb="FF000000"/>
      <name val="Times New Roman"/>
      <family val="1"/>
      <charset val="186"/>
    </font>
    <font>
      <i/>
      <sz val="10"/>
      <name val="Times New Roman"/>
      <family val="1"/>
      <charset val="186"/>
    </font>
    <font>
      <sz val="9"/>
      <color indexed="81"/>
      <name val="Tahoma"/>
      <family val="2"/>
      <charset val="186"/>
    </font>
    <font>
      <b/>
      <sz val="9"/>
      <color indexed="81"/>
      <name val="Tahoma"/>
      <family val="2"/>
      <charset val="186"/>
    </font>
    <font>
      <b/>
      <sz val="10"/>
      <name val="Times New Roman"/>
      <family val="1"/>
      <charset val="186"/>
    </font>
    <font>
      <b/>
      <sz val="12"/>
      <color theme="1"/>
      <name val="Times New Roman"/>
      <family val="1"/>
      <charset val="186"/>
    </font>
    <font>
      <sz val="11"/>
      <name val="Times New Roman"/>
      <family val="1"/>
      <charset val="186"/>
    </font>
    <font>
      <sz val="11"/>
      <name val="Calibri"/>
      <family val="2"/>
      <charset val="186"/>
      <scheme val="minor"/>
    </font>
    <font>
      <i/>
      <sz val="11"/>
      <color theme="1"/>
      <name val="Times New Roman"/>
      <family val="1"/>
      <charset val="186"/>
    </font>
    <font>
      <sz val="9"/>
      <name val="Times New Roman"/>
      <family val="1"/>
      <charset val="186"/>
    </font>
    <font>
      <b/>
      <sz val="9"/>
      <name val="Times New Roman"/>
      <family val="1"/>
      <charset val="186"/>
    </font>
    <font>
      <b/>
      <sz val="10"/>
      <color rgb="FFFF0000"/>
      <name val="Times New Roman"/>
      <family val="1"/>
      <charset val="186"/>
    </font>
    <font>
      <b/>
      <sz val="9"/>
      <color rgb="FFFF0000"/>
      <name val="Times New Roman"/>
      <family val="1"/>
      <charset val="186"/>
    </font>
    <font>
      <sz val="11"/>
      <color rgb="FFFF0000"/>
      <name val="Calibri"/>
      <family val="2"/>
      <charset val="186"/>
      <scheme val="minor"/>
    </font>
    <font>
      <b/>
      <sz val="12"/>
      <color rgb="FFFF0000"/>
      <name val="Times New Roman"/>
      <family val="1"/>
      <charset val="186"/>
    </font>
    <font>
      <i/>
      <sz val="11"/>
      <color rgb="FFFF0000"/>
      <name val="Times New Roman"/>
      <family val="1"/>
      <charset val="186"/>
    </font>
    <font>
      <sz val="11"/>
      <color rgb="FFFF0000"/>
      <name val="Times New Roman"/>
      <family val="1"/>
      <charset val="186"/>
    </font>
    <font>
      <b/>
      <sz val="12"/>
      <name val="Times New Roman"/>
      <family val="1"/>
      <charset val="186"/>
    </font>
    <font>
      <sz val="10"/>
      <color theme="0"/>
      <name val="Times New Roman"/>
      <family val="1"/>
      <charset val="186"/>
    </font>
    <font>
      <b/>
      <sz val="11"/>
      <name val="Times New Roman"/>
      <family val="1"/>
      <charset val="186"/>
    </font>
    <font>
      <b/>
      <sz val="10"/>
      <color theme="0"/>
      <name val="Times New Roman"/>
      <family val="1"/>
      <charset val="186"/>
    </font>
    <font>
      <b/>
      <sz val="10"/>
      <color theme="3"/>
      <name val="Times New Roman"/>
      <family val="1"/>
      <charset val="186"/>
    </font>
    <font>
      <sz val="10"/>
      <color theme="3"/>
      <name val="Times New Roman"/>
      <family val="1"/>
      <charset val="186"/>
    </font>
    <font>
      <b/>
      <sz val="11"/>
      <color theme="1"/>
      <name val="Calibri"/>
      <family val="2"/>
      <charset val="186"/>
      <scheme val="minor"/>
    </font>
    <font>
      <b/>
      <sz val="11"/>
      <color theme="1"/>
      <name val="Times New Roman"/>
      <family val="1"/>
      <charset val="186"/>
    </font>
    <font>
      <b/>
      <sz val="11"/>
      <color rgb="FFFF0000"/>
      <name val="Times New Roman"/>
      <family val="1"/>
      <charset val="186"/>
    </font>
    <font>
      <strike/>
      <sz val="10"/>
      <name val="Times New Roman"/>
      <family val="1"/>
      <charset val="186"/>
    </font>
    <font>
      <i/>
      <sz val="10"/>
      <color rgb="FFFF0000"/>
      <name val="Times New Roman"/>
      <family val="1"/>
      <charset val="186"/>
    </font>
    <font>
      <sz val="11"/>
      <color theme="1"/>
      <name val="Calibri"/>
      <family val="2"/>
      <charset val="186"/>
      <scheme val="minor"/>
    </font>
    <font>
      <sz val="10"/>
      <name val="Arial"/>
      <family val="2"/>
      <charset val="186"/>
    </font>
    <font>
      <sz val="10"/>
      <color indexed="8"/>
      <name val="Times New Roman"/>
      <family val="1"/>
      <charset val="186"/>
    </font>
    <font>
      <sz val="11"/>
      <color rgb="FF000000"/>
      <name val="Calibri"/>
      <family val="2"/>
      <charset val="186"/>
    </font>
    <font>
      <sz val="11"/>
      <color theme="1"/>
      <name val="Calibri"/>
      <family val="2"/>
      <scheme val="minor"/>
    </font>
    <font>
      <sz val="10"/>
      <name val="Times New Roman"/>
      <family val="1"/>
    </font>
  </fonts>
  <fills count="15">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485"/>
        <bgColor indexed="64"/>
      </patternFill>
    </fill>
    <fill>
      <patternFill patternType="solid">
        <fgColor rgb="FFCCFFCC"/>
        <bgColor indexed="64"/>
      </patternFill>
    </fill>
    <fill>
      <patternFill patternType="solid">
        <fgColor theme="0"/>
        <bgColor rgb="FFFFFFFF"/>
      </patternFill>
    </fill>
    <fill>
      <patternFill patternType="solid">
        <fgColor rgb="FF00B0F0"/>
        <bgColor indexed="64"/>
      </patternFill>
    </fill>
    <fill>
      <patternFill patternType="solid">
        <fgColor rgb="FFFFFFFF"/>
        <bgColor rgb="FFFFFFFF"/>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s>
  <cellStyleXfs count="7">
    <xf numFmtId="0" fontId="0" fillId="0" borderId="0"/>
    <xf numFmtId="164" fontId="33" fillId="0" borderId="0" applyFont="0" applyFill="0" applyBorder="0" applyAlignment="0" applyProtection="0"/>
    <xf numFmtId="0" fontId="34" fillId="0" borderId="0"/>
    <xf numFmtId="0" fontId="34" fillId="0" borderId="0"/>
    <xf numFmtId="168" fontId="36" fillId="0" borderId="0" applyBorder="0" applyProtection="0"/>
    <xf numFmtId="0" fontId="37" fillId="0" borderId="0"/>
    <xf numFmtId="164" fontId="33" fillId="0" borderId="0" applyFont="0" applyFill="0" applyBorder="0" applyAlignment="0" applyProtection="0"/>
  </cellStyleXfs>
  <cellXfs count="810">
    <xf numFmtId="0" fontId="0" fillId="0" borderId="0" xfId="0"/>
    <xf numFmtId="49" fontId="1" fillId="0" borderId="0" xfId="0" applyNumberFormat="1" applyFont="1"/>
    <xf numFmtId="4" fontId="3" fillId="0" borderId="1" xfId="0" applyNumberFormat="1" applyFont="1" applyFill="1" applyBorder="1" applyAlignment="1">
      <alignment vertical="top" wrapText="1"/>
    </xf>
    <xf numFmtId="4" fontId="1" fillId="0" borderId="0" xfId="0" applyNumberFormat="1" applyFont="1"/>
    <xf numFmtId="49" fontId="3" fillId="0" borderId="4" xfId="0" applyNumberFormat="1" applyFont="1" applyBorder="1" applyAlignment="1">
      <alignment horizontal="center" vertical="top" wrapText="1"/>
    </xf>
    <xf numFmtId="49" fontId="9" fillId="0" borderId="1"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xf>
    <xf numFmtId="4" fontId="3" fillId="3" borderId="2" xfId="0" applyNumberFormat="1" applyFont="1" applyFill="1" applyBorder="1" applyAlignment="1">
      <alignment horizontal="center" vertical="top"/>
    </xf>
    <xf numFmtId="4" fontId="1" fillId="3" borderId="6"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xf>
    <xf numFmtId="4" fontId="3" fillId="3" borderId="5" xfId="0" applyNumberFormat="1" applyFont="1" applyFill="1" applyBorder="1" applyAlignment="1">
      <alignment vertical="top" wrapText="1"/>
    </xf>
    <xf numFmtId="49" fontId="9" fillId="3"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3" borderId="2"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xf>
    <xf numFmtId="49" fontId="1" fillId="0" borderId="0" xfId="0" applyNumberFormat="1" applyFont="1" applyAlignment="1">
      <alignment vertical="top"/>
    </xf>
    <xf numFmtId="49" fontId="9" fillId="0" borderId="6" xfId="0" applyNumberFormat="1" applyFont="1" applyBorder="1" applyAlignment="1">
      <alignment horizontal="center" vertical="top" wrapText="1"/>
    </xf>
    <xf numFmtId="4" fontId="3" fillId="3" borderId="4" xfId="0" applyNumberFormat="1" applyFont="1" applyFill="1" applyBorder="1" applyAlignment="1">
      <alignment horizontal="center" vertical="top"/>
    </xf>
    <xf numFmtId="49" fontId="9"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4" fontId="3" fillId="3" borderId="6" xfId="0" applyNumberFormat="1" applyFont="1" applyFill="1" applyBorder="1" applyAlignment="1">
      <alignment horizontal="center" vertical="top" wrapText="1"/>
    </xf>
    <xf numFmtId="49" fontId="9" fillId="3" borderId="4"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wrapText="1"/>
    </xf>
    <xf numFmtId="49" fontId="9"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xf>
    <xf numFmtId="49" fontId="3" fillId="3" borderId="1" xfId="0" applyNumberFormat="1" applyFont="1" applyFill="1" applyBorder="1" applyAlignment="1">
      <alignment horizontal="center" vertical="top" wrapText="1" readingOrder="1"/>
    </xf>
    <xf numFmtId="4" fontId="3" fillId="3" borderId="1" xfId="0" applyNumberFormat="1" applyFont="1" applyFill="1" applyBorder="1" applyAlignment="1">
      <alignment horizontal="center" vertical="top" wrapText="1" readingOrder="1"/>
    </xf>
    <xf numFmtId="49" fontId="3" fillId="3" borderId="3" xfId="0" applyNumberFormat="1" applyFont="1" applyFill="1" applyBorder="1" applyAlignment="1">
      <alignment horizontal="center" vertical="top" wrapText="1" readingOrder="1"/>
    </xf>
    <xf numFmtId="49" fontId="9"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Border="1" applyAlignment="1">
      <alignment vertical="top"/>
    </xf>
    <xf numFmtId="4" fontId="11" fillId="3" borderId="4" xfId="0" applyNumberFormat="1" applyFont="1" applyFill="1" applyBorder="1" applyAlignment="1">
      <alignment vertical="top"/>
    </xf>
    <xf numFmtId="4" fontId="11" fillId="0" borderId="4" xfId="0" applyNumberFormat="1" applyFont="1" applyBorder="1" applyAlignment="1">
      <alignment vertical="top"/>
    </xf>
    <xf numFmtId="4" fontId="3" fillId="3" borderId="28"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xf>
    <xf numFmtId="4" fontId="3" fillId="3" borderId="10" xfId="0" applyNumberFormat="1" applyFont="1" applyFill="1" applyBorder="1" applyAlignment="1">
      <alignment horizontal="center" vertical="top" wrapText="1"/>
    </xf>
    <xf numFmtId="4" fontId="3" fillId="3" borderId="12" xfId="0" applyNumberFormat="1" applyFont="1" applyFill="1" applyBorder="1" applyAlignment="1">
      <alignment horizontal="center" vertical="top" wrapText="1"/>
    </xf>
    <xf numFmtId="4" fontId="3" fillId="3" borderId="29" xfId="0" applyNumberFormat="1" applyFont="1" applyFill="1" applyBorder="1" applyAlignment="1">
      <alignment horizontal="center" vertical="top"/>
    </xf>
    <xf numFmtId="4" fontId="3" fillId="3" borderId="10" xfId="0" applyNumberFormat="1" applyFont="1" applyFill="1" applyBorder="1" applyAlignment="1">
      <alignment vertical="top"/>
    </xf>
    <xf numFmtId="4" fontId="3" fillId="0" borderId="10" xfId="0" applyNumberFormat="1" applyFont="1" applyBorder="1" applyAlignment="1">
      <alignment horizontal="center" vertical="top" wrapText="1"/>
    </xf>
    <xf numFmtId="4" fontId="11" fillId="0" borderId="10" xfId="0" applyNumberFormat="1" applyFont="1" applyBorder="1" applyAlignment="1">
      <alignment vertical="top"/>
    </xf>
    <xf numFmtId="4" fontId="11" fillId="0" borderId="12" xfId="0" applyNumberFormat="1" applyFont="1" applyBorder="1" applyAlignment="1">
      <alignment vertical="top"/>
    </xf>
    <xf numFmtId="49" fontId="3" fillId="3" borderId="7" xfId="0" applyNumberFormat="1" applyFont="1" applyFill="1" applyBorder="1" applyAlignment="1">
      <alignment horizontal="center" vertical="top" wrapText="1"/>
    </xf>
    <xf numFmtId="4" fontId="3" fillId="3" borderId="28"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wrapText="1"/>
    </xf>
    <xf numFmtId="49" fontId="9" fillId="3" borderId="7" xfId="0" applyNumberFormat="1" applyFont="1" applyFill="1" applyBorder="1" applyAlignment="1">
      <alignment horizontal="center" vertical="top" wrapText="1"/>
    </xf>
    <xf numFmtId="49" fontId="9" fillId="0" borderId="1" xfId="0" applyNumberFormat="1" applyFont="1" applyBorder="1" applyAlignment="1">
      <alignment horizontal="center" vertical="top" wrapText="1"/>
    </xf>
    <xf numFmtId="49" fontId="9" fillId="0" borderId="5" xfId="0" applyNumberFormat="1" applyFont="1" applyBorder="1" applyAlignment="1">
      <alignment horizontal="center" vertical="top" wrapText="1"/>
    </xf>
    <xf numFmtId="49" fontId="9" fillId="6" borderId="3" xfId="0" applyNumberFormat="1" applyFont="1" applyFill="1" applyBorder="1" applyAlignment="1">
      <alignment horizontal="right" vertical="top" wrapText="1"/>
    </xf>
    <xf numFmtId="4" fontId="9" fillId="6" borderId="1"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xf>
    <xf numFmtId="4" fontId="3" fillId="3" borderId="6" xfId="0" applyNumberFormat="1" applyFont="1" applyFill="1" applyBorder="1" applyAlignment="1">
      <alignment horizontal="center" vertical="top"/>
    </xf>
    <xf numFmtId="49" fontId="9" fillId="3" borderId="8"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4" fontId="3" fillId="3" borderId="1" xfId="0" applyNumberFormat="1" applyFont="1" applyFill="1" applyBorder="1" applyAlignment="1">
      <alignment horizontal="left" vertical="top" wrapText="1"/>
    </xf>
    <xf numFmtId="49" fontId="9" fillId="6" borderId="2" xfId="0" applyNumberFormat="1" applyFont="1" applyFill="1" applyBorder="1" applyAlignment="1">
      <alignment horizontal="right" vertical="top" wrapText="1"/>
    </xf>
    <xf numFmtId="4" fontId="3" fillId="0" borderId="1" xfId="0" applyNumberFormat="1" applyFont="1" applyBorder="1" applyAlignment="1">
      <alignment vertical="top" wrapText="1"/>
    </xf>
    <xf numFmtId="49" fontId="9" fillId="0" borderId="4" xfId="0" applyNumberFormat="1" applyFont="1" applyBorder="1" applyAlignment="1">
      <alignment horizontal="center" vertical="top" wrapText="1"/>
    </xf>
    <xf numFmtId="4" fontId="3" fillId="0" borderId="0" xfId="0" applyNumberFormat="1" applyFont="1" applyBorder="1" applyAlignment="1">
      <alignment horizontal="center" vertical="top"/>
    </xf>
    <xf numFmtId="4" fontId="3" fillId="0" borderId="4" xfId="0" applyNumberFormat="1" applyFont="1" applyFill="1" applyBorder="1" applyAlignment="1">
      <alignment horizontal="center" vertical="top" wrapText="1"/>
    </xf>
    <xf numFmtId="49" fontId="3" fillId="3" borderId="0" xfId="0" applyNumberFormat="1" applyFont="1" applyFill="1" applyBorder="1" applyAlignment="1">
      <alignment horizontal="center" vertical="top" wrapText="1"/>
    </xf>
    <xf numFmtId="4" fontId="3" fillId="3" borderId="0"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 fontId="3" fillId="3" borderId="3" xfId="0" applyNumberFormat="1" applyFont="1" applyFill="1" applyBorder="1" applyAlignment="1">
      <alignment horizontal="center" vertical="top"/>
    </xf>
    <xf numFmtId="4" fontId="9" fillId="6" borderId="1" xfId="0" applyNumberFormat="1" applyFont="1" applyFill="1" applyBorder="1" applyAlignment="1">
      <alignment horizontal="center" vertical="top" wrapText="1"/>
    </xf>
    <xf numFmtId="4" fontId="9" fillId="7" borderId="27" xfId="0" applyNumberFormat="1" applyFont="1" applyFill="1" applyBorder="1" applyAlignment="1">
      <alignment horizontal="center" vertical="center" wrapText="1"/>
    </xf>
    <xf numFmtId="49" fontId="3" fillId="0" borderId="0" xfId="0" applyNumberFormat="1" applyFont="1" applyAlignment="1">
      <alignment vertical="top"/>
    </xf>
    <xf numFmtId="49" fontId="3" fillId="0" borderId="0" xfId="0" applyNumberFormat="1" applyFont="1"/>
    <xf numFmtId="4" fontId="3" fillId="0" borderId="0" xfId="0" applyNumberFormat="1" applyFont="1"/>
    <xf numFmtId="4" fontId="3" fillId="3" borderId="3" xfId="0" applyNumberFormat="1" applyFont="1" applyFill="1" applyBorder="1" applyAlignment="1">
      <alignment horizontal="center"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3" borderId="30" xfId="0" applyNumberFormat="1" applyFont="1" applyFill="1" applyBorder="1" applyAlignment="1">
      <alignment horizontal="center" vertical="top" wrapText="1"/>
    </xf>
    <xf numFmtId="4" fontId="9" fillId="6" borderId="10"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top"/>
    </xf>
    <xf numFmtId="4" fontId="9" fillId="6" borderId="10" xfId="0" applyNumberFormat="1" applyFont="1" applyFill="1" applyBorder="1" applyAlignment="1">
      <alignment horizontal="center" vertical="top" wrapText="1"/>
    </xf>
    <xf numFmtId="4" fontId="15" fillId="7" borderId="27" xfId="0" applyNumberFormat="1" applyFont="1" applyFill="1" applyBorder="1" applyAlignment="1">
      <alignment horizontal="center" vertical="center" wrapText="1"/>
    </xf>
    <xf numFmtId="4" fontId="3" fillId="0" borderId="7" xfId="0" applyNumberFormat="1" applyFont="1" applyBorder="1" applyAlignment="1">
      <alignment horizontal="center" vertical="top"/>
    </xf>
    <xf numFmtId="4" fontId="4" fillId="3"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xf>
    <xf numFmtId="4" fontId="4" fillId="3" borderId="6" xfId="0" applyNumberFormat="1" applyFont="1" applyFill="1" applyBorder="1" applyAlignment="1">
      <alignment horizontal="center" vertical="top" wrapText="1"/>
    </xf>
    <xf numFmtId="4" fontId="4" fillId="3" borderId="4" xfId="0" applyNumberFormat="1" applyFont="1" applyFill="1" applyBorder="1" applyAlignment="1">
      <alignment horizontal="center" vertical="top" wrapText="1"/>
    </xf>
    <xf numFmtId="4" fontId="4" fillId="3" borderId="12"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wrapText="1"/>
    </xf>
    <xf numFmtId="4" fontId="4" fillId="3" borderId="10" xfId="0" applyNumberFormat="1" applyFont="1" applyFill="1" applyBorder="1" applyAlignment="1">
      <alignment horizontal="center" vertical="top"/>
    </xf>
    <xf numFmtId="4" fontId="4" fillId="3" borderId="3" xfId="0" applyNumberFormat="1" applyFont="1" applyFill="1" applyBorder="1" applyAlignment="1">
      <alignment horizontal="center" vertical="top"/>
    </xf>
    <xf numFmtId="4" fontId="4" fillId="3" borderId="3"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xf>
    <xf numFmtId="4" fontId="3" fillId="0" borderId="6"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readingOrder="1"/>
    </xf>
    <xf numFmtId="4" fontId="4" fillId="3" borderId="0"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xf>
    <xf numFmtId="4" fontId="4" fillId="3" borderId="10" xfId="0" applyNumberFormat="1" applyFont="1" applyFill="1" applyBorder="1" applyAlignment="1">
      <alignment horizontal="center" vertical="top" wrapText="1"/>
    </xf>
    <xf numFmtId="4" fontId="1" fillId="0" borderId="0" xfId="0" applyNumberFormat="1" applyFont="1" applyFill="1" applyAlignment="1">
      <alignment horizontal="left" vertical="top" wrapText="1"/>
    </xf>
    <xf numFmtId="4" fontId="4" fillId="3" borderId="1" xfId="0" applyNumberFormat="1" applyFont="1" applyFill="1" applyBorder="1" applyAlignment="1">
      <alignment horizontal="center" vertical="top" wrapText="1" readingOrder="1"/>
    </xf>
    <xf numFmtId="4" fontId="3" fillId="3" borderId="9" xfId="0" applyNumberFormat="1" applyFont="1" applyFill="1" applyBorder="1" applyAlignment="1">
      <alignment horizontal="center" vertical="top"/>
    </xf>
    <xf numFmtId="4" fontId="3" fillId="3" borderId="9" xfId="0" applyNumberFormat="1" applyFont="1" applyFill="1" applyBorder="1" applyAlignment="1">
      <alignment horizontal="center" vertical="top" wrapText="1"/>
    </xf>
    <xf numFmtId="4" fontId="3" fillId="0" borderId="5" xfId="0" applyNumberFormat="1" applyFont="1" applyBorder="1" applyAlignment="1">
      <alignment horizontal="left" vertical="top" wrapText="1"/>
    </xf>
    <xf numFmtId="4" fontId="17" fillId="7" borderId="27" xfId="0" applyNumberFormat="1" applyFont="1" applyFill="1" applyBorder="1" applyAlignment="1">
      <alignment horizontal="center" vertical="center" wrapText="1"/>
    </xf>
    <xf numFmtId="4" fontId="3" fillId="3" borderId="20" xfId="0" applyNumberFormat="1" applyFont="1" applyFill="1" applyBorder="1" applyAlignment="1">
      <alignment horizontal="center" vertical="top" wrapText="1"/>
    </xf>
    <xf numFmtId="4" fontId="3" fillId="0" borderId="5" xfId="0" applyNumberFormat="1" applyFont="1" applyBorder="1" applyAlignment="1">
      <alignment horizontal="center" vertical="top" wrapText="1"/>
    </xf>
    <xf numFmtId="4" fontId="3" fillId="3" borderId="4" xfId="0" applyNumberFormat="1" applyFont="1" applyFill="1" applyBorder="1" applyAlignment="1">
      <alignment horizontal="left" vertical="top" wrapText="1"/>
    </xf>
    <xf numFmtId="4" fontId="3" fillId="3" borderId="1" xfId="0" applyNumberFormat="1" applyFont="1" applyFill="1" applyBorder="1" applyAlignment="1">
      <alignment horizontal="center" vertical="center" wrapText="1"/>
    </xf>
    <xf numFmtId="4" fontId="9" fillId="6" borderId="18" xfId="0" applyNumberFormat="1" applyFont="1" applyFill="1" applyBorder="1" applyAlignment="1">
      <alignment horizontal="right" vertical="top" wrapText="1"/>
    </xf>
    <xf numFmtId="4" fontId="9" fillId="6" borderId="2" xfId="0" applyNumberFormat="1" applyFont="1" applyFill="1" applyBorder="1" applyAlignment="1">
      <alignment horizontal="right" vertical="top" wrapText="1"/>
    </xf>
    <xf numFmtId="4" fontId="3" fillId="3" borderId="17" xfId="0" applyNumberFormat="1" applyFont="1" applyFill="1" applyBorder="1" applyAlignment="1">
      <alignment horizontal="center" vertical="top" wrapText="1"/>
    </xf>
    <xf numFmtId="4" fontId="3" fillId="0" borderId="17" xfId="0" applyNumberFormat="1" applyFont="1" applyFill="1" applyBorder="1" applyAlignment="1">
      <alignment horizontal="center" vertical="top" wrapText="1"/>
    </xf>
    <xf numFmtId="4" fontId="3" fillId="3" borderId="2" xfId="0" applyNumberFormat="1" applyFont="1" applyFill="1" applyBorder="1" applyAlignment="1">
      <alignment horizontal="left" vertical="top" wrapText="1"/>
    </xf>
    <xf numFmtId="4" fontId="3" fillId="3" borderId="2" xfId="0" applyNumberFormat="1" applyFont="1" applyFill="1" applyBorder="1" applyAlignment="1">
      <alignment horizontal="center" vertical="top" wrapText="1" readingOrder="1"/>
    </xf>
    <xf numFmtId="4" fontId="1" fillId="0" borderId="0" xfId="0" applyNumberFormat="1" applyFont="1" applyFill="1"/>
    <xf numFmtId="4" fontId="13" fillId="0" borderId="0" xfId="0" applyNumberFormat="1" applyFont="1" applyFill="1" applyAlignment="1">
      <alignment horizontal="right" vertical="top" wrapText="1"/>
    </xf>
    <xf numFmtId="4" fontId="10" fillId="0" borderId="0" xfId="0" applyNumberFormat="1" applyFont="1" applyFill="1" applyAlignment="1">
      <alignment horizontal="center" wrapText="1"/>
    </xf>
    <xf numFmtId="4" fontId="1" fillId="0" borderId="0" xfId="0" applyNumberFormat="1" applyFont="1" applyFill="1" applyAlignment="1">
      <alignment horizontal="center" wrapText="1"/>
    </xf>
    <xf numFmtId="4" fontId="2" fillId="0" borderId="0" xfId="0" applyNumberFormat="1" applyFont="1" applyFill="1" applyAlignment="1">
      <alignment horizontal="right" vertical="top"/>
    </xf>
    <xf numFmtId="4" fontId="0" fillId="0" borderId="0" xfId="0" applyNumberFormat="1" applyFill="1" applyAlignment="1">
      <alignment wrapText="1"/>
    </xf>
    <xf numFmtId="4" fontId="4" fillId="0" borderId="0" xfId="0" applyNumberFormat="1" applyFont="1" applyFill="1"/>
    <xf numFmtId="4" fontId="1" fillId="0" borderId="0" xfId="0" applyNumberFormat="1" applyFont="1" applyFill="1" applyAlignment="1">
      <alignment horizontal="right"/>
    </xf>
    <xf numFmtId="4" fontId="1" fillId="3" borderId="16" xfId="0" applyNumberFormat="1" applyFont="1" applyFill="1" applyBorder="1" applyAlignment="1">
      <alignment vertical="center" wrapText="1"/>
    </xf>
    <xf numFmtId="4" fontId="3" fillId="3" borderId="23" xfId="0" applyNumberFormat="1" applyFont="1" applyFill="1" applyBorder="1" applyAlignment="1">
      <alignment horizontal="center" vertical="center" wrapText="1"/>
    </xf>
    <xf numFmtId="4" fontId="3" fillId="0" borderId="8" xfId="0" applyNumberFormat="1" applyFont="1" applyBorder="1" applyAlignment="1">
      <alignment vertical="center" wrapText="1"/>
    </xf>
    <xf numFmtId="4" fontId="3" fillId="0" borderId="8" xfId="0" applyNumberFormat="1" applyFont="1" applyBorder="1" applyAlignment="1">
      <alignment horizontal="center" vertical="center" wrapText="1"/>
    </xf>
    <xf numFmtId="4" fontId="3" fillId="3" borderId="20" xfId="0" applyNumberFormat="1" applyFont="1" applyFill="1" applyBorder="1" applyAlignment="1">
      <alignment horizontal="center" vertical="center" wrapText="1"/>
    </xf>
    <xf numFmtId="4" fontId="3" fillId="0" borderId="6" xfId="0" applyNumberFormat="1" applyFont="1" applyBorder="1" applyAlignment="1">
      <alignment vertical="center" wrapText="1"/>
    </xf>
    <xf numFmtId="4" fontId="3" fillId="0" borderId="6" xfId="0" applyNumberFormat="1" applyFont="1" applyBorder="1" applyAlignment="1">
      <alignment horizontal="center" vertical="center" wrapText="1"/>
    </xf>
    <xf numFmtId="4" fontId="3" fillId="3" borderId="17" xfId="0" applyNumberFormat="1" applyFont="1" applyFill="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3" borderId="5" xfId="0" applyNumberFormat="1" applyFont="1" applyFill="1" applyBorder="1" applyAlignment="1">
      <alignment vertical="center" wrapText="1"/>
    </xf>
    <xf numFmtId="4" fontId="3" fillId="0" borderId="5" xfId="0" applyNumberFormat="1" applyFont="1" applyBorder="1" applyAlignment="1">
      <alignment horizontal="center" vertical="center" wrapText="1"/>
    </xf>
    <xf numFmtId="4" fontId="9" fillId="4" borderId="18" xfId="0" applyNumberFormat="1" applyFont="1" applyFill="1" applyBorder="1" applyAlignment="1">
      <alignment horizontal="right" vertical="top" wrapText="1"/>
    </xf>
    <xf numFmtId="4" fontId="9" fillId="4" borderId="2" xfId="0" applyNumberFormat="1" applyFont="1" applyFill="1" applyBorder="1" applyAlignment="1">
      <alignment horizontal="right" vertical="top" wrapText="1"/>
    </xf>
    <xf numFmtId="4" fontId="3" fillId="3" borderId="16" xfId="0" applyNumberFormat="1" applyFont="1" applyFill="1" applyBorder="1" applyAlignment="1">
      <alignment horizontal="center" vertical="top" wrapText="1"/>
    </xf>
    <xf numFmtId="4" fontId="3" fillId="0" borderId="4" xfId="0" applyNumberFormat="1" applyFont="1" applyBorder="1" applyAlignment="1">
      <alignment horizontal="center" vertical="top" wrapText="1"/>
    </xf>
    <xf numFmtId="4" fontId="3" fillId="0" borderId="6" xfId="0" applyNumberFormat="1" applyFont="1" applyBorder="1" applyAlignment="1">
      <alignment horizontal="center" vertical="top" wrapText="1"/>
    </xf>
    <xf numFmtId="4" fontId="3" fillId="0" borderId="7" xfId="0" applyNumberFormat="1" applyFont="1" applyFill="1" applyBorder="1" applyAlignment="1">
      <alignment horizontal="center" vertical="top" wrapText="1"/>
    </xf>
    <xf numFmtId="4" fontId="3" fillId="0" borderId="0" xfId="0" applyNumberFormat="1" applyFont="1" applyFill="1"/>
    <xf numFmtId="4" fontId="9" fillId="6" borderId="18" xfId="0" applyNumberFormat="1" applyFont="1" applyFill="1" applyBorder="1" applyAlignment="1">
      <alignment horizontal="center" vertical="top" wrapText="1"/>
    </xf>
    <xf numFmtId="4" fontId="9" fillId="6" borderId="2" xfId="0" applyNumberFormat="1" applyFont="1" applyFill="1" applyBorder="1" applyAlignment="1">
      <alignment horizontal="center" vertical="top" wrapText="1"/>
    </xf>
    <xf numFmtId="4" fontId="3" fillId="0" borderId="0" xfId="0" applyNumberFormat="1" applyFont="1" applyAlignment="1">
      <alignment horizontal="center"/>
    </xf>
    <xf numFmtId="4" fontId="3" fillId="3" borderId="4" xfId="0" applyNumberFormat="1" applyFont="1" applyFill="1" applyBorder="1" applyAlignment="1">
      <alignment horizontal="center" vertical="center" wrapText="1"/>
    </xf>
    <xf numFmtId="4" fontId="3" fillId="3" borderId="23" xfId="0" applyNumberFormat="1" applyFont="1" applyFill="1" applyBorder="1" applyAlignment="1">
      <alignment horizontal="center" vertical="top" wrapText="1"/>
    </xf>
    <xf numFmtId="4" fontId="3" fillId="3" borderId="7" xfId="0" applyNumberFormat="1" applyFont="1" applyFill="1" applyBorder="1" applyAlignment="1">
      <alignment horizontal="center" vertical="center" wrapText="1"/>
    </xf>
    <xf numFmtId="4" fontId="3" fillId="8" borderId="29" xfId="0" applyNumberFormat="1" applyFont="1" applyFill="1" applyBorder="1" applyAlignment="1">
      <alignment horizontal="center" vertical="center" wrapText="1"/>
    </xf>
    <xf numFmtId="4" fontId="3" fillId="8" borderId="7" xfId="0" applyNumberFormat="1" applyFont="1" applyFill="1" applyBorder="1" applyAlignment="1">
      <alignment horizontal="center" vertical="center" wrapText="1"/>
    </xf>
    <xf numFmtId="4" fontId="3" fillId="3" borderId="18"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3"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4" fontId="3" fillId="3" borderId="7" xfId="0" applyNumberFormat="1" applyFont="1" applyFill="1" applyBorder="1" applyAlignment="1">
      <alignment horizontal="left" vertical="top" wrapText="1"/>
    </xf>
    <xf numFmtId="4" fontId="3" fillId="3" borderId="0" xfId="0" applyNumberFormat="1" applyFont="1" applyFill="1" applyBorder="1" applyAlignment="1">
      <alignment horizontal="center" vertical="top"/>
    </xf>
    <xf numFmtId="4" fontId="3" fillId="3" borderId="12" xfId="0" applyNumberFormat="1" applyFont="1" applyFill="1" applyBorder="1" applyAlignment="1">
      <alignment horizontal="left" vertical="top" wrapText="1"/>
    </xf>
    <xf numFmtId="4" fontId="11" fillId="0" borderId="0" xfId="0" applyNumberFormat="1" applyFont="1" applyAlignment="1">
      <alignment vertical="top"/>
    </xf>
    <xf numFmtId="4" fontId="9" fillId="3" borderId="17" xfId="0" applyNumberFormat="1" applyFont="1" applyFill="1" applyBorder="1" applyAlignment="1">
      <alignment horizontal="center" vertical="top" wrapText="1"/>
    </xf>
    <xf numFmtId="4" fontId="9" fillId="3" borderId="1" xfId="0" applyNumberFormat="1" applyFont="1" applyFill="1" applyBorder="1" applyAlignment="1">
      <alignment horizontal="left" vertical="top" wrapText="1"/>
    </xf>
    <xf numFmtId="4" fontId="3" fillId="0" borderId="1" xfId="0" applyNumberFormat="1" applyFont="1" applyBorder="1" applyAlignment="1">
      <alignment horizontal="center" vertical="top" textRotation="90" wrapText="1"/>
    </xf>
    <xf numFmtId="4" fontId="9" fillId="5" borderId="1" xfId="0" applyNumberFormat="1" applyFont="1" applyFill="1" applyBorder="1" applyAlignment="1">
      <alignment vertical="top" wrapText="1"/>
    </xf>
    <xf numFmtId="4" fontId="9" fillId="3" borderId="1" xfId="0" applyNumberFormat="1" applyFont="1" applyFill="1" applyBorder="1" applyAlignment="1">
      <alignment vertical="top" wrapText="1"/>
    </xf>
    <xf numFmtId="4" fontId="9" fillId="0" borderId="1" xfId="0" applyNumberFormat="1" applyFont="1" applyBorder="1" applyAlignment="1">
      <alignment vertical="top" wrapText="1"/>
    </xf>
    <xf numFmtId="4" fontId="9" fillId="6" borderId="24" xfId="0" applyNumberFormat="1" applyFont="1" applyFill="1" applyBorder="1" applyAlignment="1">
      <alignment horizontal="right" vertical="top" wrapText="1"/>
    </xf>
    <xf numFmtId="4" fontId="9" fillId="4" borderId="13" xfId="0" applyNumberFormat="1" applyFont="1" applyFill="1" applyBorder="1" applyAlignment="1">
      <alignment horizontal="right" vertical="top" wrapText="1"/>
    </xf>
    <xf numFmtId="4" fontId="9" fillId="4" borderId="32" xfId="0" applyNumberFormat="1" applyFont="1" applyFill="1" applyBorder="1" applyAlignment="1">
      <alignment horizontal="center" vertical="top" wrapText="1"/>
    </xf>
    <xf numFmtId="4" fontId="9" fillId="4" borderId="33" xfId="0" applyNumberFormat="1" applyFont="1" applyFill="1" applyBorder="1" applyAlignment="1">
      <alignment horizontal="center" vertical="top" wrapText="1"/>
    </xf>
    <xf numFmtId="4" fontId="14" fillId="7" borderId="25" xfId="0" applyNumberFormat="1" applyFont="1" applyFill="1" applyBorder="1"/>
    <xf numFmtId="4" fontId="14" fillId="0" borderId="0" xfId="0" applyNumberFormat="1" applyFont="1"/>
    <xf numFmtId="4" fontId="3" fillId="3" borderId="0" xfId="0" applyNumberFormat="1" applyFont="1" applyFill="1"/>
    <xf numFmtId="4" fontId="1" fillId="3" borderId="0" xfId="0" applyNumberFormat="1" applyFont="1" applyFill="1"/>
    <xf numFmtId="4" fontId="1" fillId="0" borderId="0" xfId="0" applyNumberFormat="1" applyFont="1" applyAlignment="1">
      <alignment horizontal="center"/>
    </xf>
    <xf numFmtId="4" fontId="19" fillId="0" borderId="0" xfId="0" applyNumberFormat="1" applyFont="1" applyFill="1" applyAlignment="1">
      <alignment horizontal="center" wrapText="1"/>
    </xf>
    <xf numFmtId="4" fontId="4" fillId="0" borderId="0" xfId="0" applyNumberFormat="1" applyFont="1" applyFill="1" applyAlignment="1">
      <alignment horizontal="left" vertical="top" wrapText="1"/>
    </xf>
    <xf numFmtId="4" fontId="4" fillId="0" borderId="0" xfId="0" applyNumberFormat="1" applyFont="1" applyFill="1" applyAlignment="1">
      <alignment horizontal="center" wrapText="1"/>
    </xf>
    <xf numFmtId="4" fontId="4" fillId="3" borderId="7"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16" fillId="6" borderId="1" xfId="0" applyNumberFormat="1" applyFont="1" applyFill="1" applyBorder="1" applyAlignment="1">
      <alignment horizontal="center" vertical="top" wrapText="1"/>
    </xf>
    <xf numFmtId="4" fontId="4" fillId="0" borderId="1" xfId="0" applyNumberFormat="1" applyFont="1" applyBorder="1" applyAlignment="1">
      <alignment horizontal="center" vertical="top" wrapText="1"/>
    </xf>
    <xf numFmtId="4" fontId="16" fillId="4" borderId="32" xfId="0" applyNumberFormat="1" applyFont="1" applyFill="1" applyBorder="1" applyAlignment="1">
      <alignment horizontal="center" vertical="top" wrapText="1"/>
    </xf>
    <xf numFmtId="4" fontId="4" fillId="0" borderId="0" xfId="0" applyNumberFormat="1" applyFont="1"/>
    <xf numFmtId="4" fontId="18" fillId="0" borderId="0" xfId="0" applyNumberFormat="1" applyFont="1" applyFill="1" applyAlignment="1">
      <alignment wrapText="1"/>
    </xf>
    <xf numFmtId="4" fontId="4" fillId="3" borderId="6" xfId="0" applyNumberFormat="1" applyFont="1" applyFill="1" applyBorder="1" applyAlignment="1">
      <alignment horizontal="center" vertical="top"/>
    </xf>
    <xf numFmtId="4" fontId="4" fillId="3" borderId="40" xfId="0" applyNumberFormat="1" applyFont="1" applyFill="1" applyBorder="1" applyAlignment="1">
      <alignment horizontal="center" vertical="top"/>
    </xf>
    <xf numFmtId="4" fontId="4" fillId="3" borderId="2" xfId="0" applyNumberFormat="1" applyFont="1" applyFill="1" applyBorder="1" applyAlignment="1">
      <alignment horizontal="center" vertical="top"/>
    </xf>
    <xf numFmtId="4" fontId="4" fillId="3" borderId="4" xfId="0" applyNumberFormat="1" applyFont="1" applyFill="1" applyBorder="1" applyAlignment="1">
      <alignment horizontal="center" vertical="top"/>
    </xf>
    <xf numFmtId="4" fontId="4" fillId="0" borderId="0" xfId="0" applyNumberFormat="1" applyFont="1" applyAlignment="1">
      <alignment horizontal="center"/>
    </xf>
    <xf numFmtId="4" fontId="20" fillId="0" borderId="0" xfId="0" applyNumberFormat="1" applyFont="1" applyFill="1" applyAlignment="1">
      <alignment horizontal="right" vertical="top" wrapText="1"/>
    </xf>
    <xf numFmtId="4" fontId="4" fillId="3" borderId="7" xfId="0" applyNumberFormat="1" applyFont="1" applyFill="1" applyBorder="1" applyAlignment="1">
      <alignment horizontal="center" vertical="top"/>
    </xf>
    <xf numFmtId="4" fontId="21" fillId="3" borderId="1" xfId="0" applyNumberFormat="1" applyFont="1" applyFill="1" applyBorder="1" applyAlignment="1">
      <alignment vertical="top"/>
    </xf>
    <xf numFmtId="4" fontId="21" fillId="3" borderId="4" xfId="0" applyNumberFormat="1" applyFont="1" applyFill="1" applyBorder="1" applyAlignment="1">
      <alignment vertical="top"/>
    </xf>
    <xf numFmtId="4" fontId="21" fillId="0" borderId="1" xfId="0" applyNumberFormat="1" applyFont="1" applyBorder="1" applyAlignment="1">
      <alignment vertical="top"/>
    </xf>
    <xf numFmtId="4" fontId="21" fillId="0" borderId="4" xfId="0" applyNumberFormat="1" applyFont="1" applyBorder="1" applyAlignment="1">
      <alignment vertical="top"/>
    </xf>
    <xf numFmtId="4" fontId="4" fillId="0" borderId="0" xfId="0" applyNumberFormat="1" applyFont="1" applyFill="1" applyAlignment="1">
      <alignment horizontal="right"/>
    </xf>
    <xf numFmtId="4" fontId="4" fillId="3" borderId="30" xfId="0" applyNumberFormat="1" applyFont="1" applyFill="1" applyBorder="1" applyAlignment="1">
      <alignment horizontal="center" vertical="top" wrapText="1"/>
    </xf>
    <xf numFmtId="4" fontId="4" fillId="3" borderId="30" xfId="0" applyNumberFormat="1" applyFont="1" applyFill="1" applyBorder="1" applyAlignment="1">
      <alignment horizontal="center" vertical="top"/>
    </xf>
    <xf numFmtId="4" fontId="4" fillId="0" borderId="10" xfId="0" applyNumberFormat="1" applyFont="1" applyBorder="1" applyAlignment="1">
      <alignment horizontal="center" vertical="top" wrapText="1"/>
    </xf>
    <xf numFmtId="4" fontId="16" fillId="6" borderId="10" xfId="0" applyNumberFormat="1" applyFont="1" applyFill="1" applyBorder="1" applyAlignment="1">
      <alignment horizontal="center" vertical="top" wrapText="1"/>
    </xf>
    <xf numFmtId="4" fontId="21" fillId="0" borderId="10" xfId="0" applyNumberFormat="1" applyFont="1" applyBorder="1" applyAlignment="1">
      <alignment vertical="top"/>
    </xf>
    <xf numFmtId="4" fontId="21" fillId="0" borderId="12" xfId="0" applyNumberFormat="1" applyFont="1" applyBorder="1" applyAlignment="1">
      <alignment vertical="top"/>
    </xf>
    <xf numFmtId="4" fontId="16" fillId="4" borderId="33" xfId="0" applyNumberFormat="1" applyFont="1" applyFill="1" applyBorder="1" applyAlignment="1">
      <alignment horizontal="center" vertical="top" wrapText="1"/>
    </xf>
    <xf numFmtId="4" fontId="9" fillId="6" borderId="32" xfId="0" applyNumberFormat="1" applyFont="1" applyFill="1" applyBorder="1" applyAlignment="1">
      <alignment horizontal="center" vertical="top" wrapText="1"/>
    </xf>
    <xf numFmtId="4" fontId="3" fillId="0" borderId="5" xfId="0" applyNumberFormat="1" applyFont="1" applyFill="1" applyBorder="1" applyAlignment="1">
      <alignment horizontal="center" vertical="top" wrapText="1"/>
    </xf>
    <xf numFmtId="4" fontId="16" fillId="6" borderId="32" xfId="0" applyNumberFormat="1" applyFont="1" applyFill="1" applyBorder="1" applyAlignment="1">
      <alignment horizontal="center" vertical="top" wrapText="1"/>
    </xf>
    <xf numFmtId="4" fontId="3" fillId="3" borderId="20" xfId="0" applyNumberFormat="1" applyFont="1" applyFill="1" applyBorder="1" applyAlignment="1">
      <alignment horizontal="center" vertical="top" wrapText="1"/>
    </xf>
    <xf numFmtId="49" fontId="1" fillId="0" borderId="0" xfId="0" applyNumberFormat="1" applyFont="1" applyFill="1" applyAlignment="1">
      <alignment vertical="top"/>
    </xf>
    <xf numFmtId="49" fontId="10" fillId="0" borderId="0" xfId="0" applyNumberFormat="1" applyFont="1" applyFill="1" applyAlignment="1">
      <alignment horizontal="center" vertical="top" wrapText="1"/>
    </xf>
    <xf numFmtId="49" fontId="9" fillId="0" borderId="8" xfId="0" applyNumberFormat="1" applyFont="1" applyBorder="1" applyAlignment="1">
      <alignment horizontal="center" vertical="top" wrapText="1"/>
    </xf>
    <xf numFmtId="49" fontId="9" fillId="4" borderId="2" xfId="0" applyNumberFormat="1" applyFont="1" applyFill="1" applyBorder="1" applyAlignment="1">
      <alignment horizontal="right" vertical="top" wrapText="1"/>
    </xf>
    <xf numFmtId="49" fontId="9" fillId="6" borderId="2" xfId="0" applyNumberFormat="1" applyFont="1" applyFill="1" applyBorder="1" applyAlignment="1">
      <alignment horizontal="center" vertical="top" wrapText="1"/>
    </xf>
    <xf numFmtId="49" fontId="9" fillId="0" borderId="5" xfId="0" applyNumberFormat="1" applyFont="1" applyBorder="1" applyAlignment="1">
      <alignment horizontal="center" vertical="top"/>
    </xf>
    <xf numFmtId="49" fontId="9" fillId="3" borderId="4" xfId="0" applyNumberFormat="1" applyFont="1" applyFill="1" applyBorder="1" applyAlignment="1">
      <alignment horizontal="center" vertical="top"/>
    </xf>
    <xf numFmtId="49" fontId="9" fillId="4" borderId="13" xfId="0" applyNumberFormat="1" applyFont="1" applyFill="1" applyBorder="1" applyAlignment="1">
      <alignment horizontal="right" vertical="top" wrapText="1"/>
    </xf>
    <xf numFmtId="49" fontId="1" fillId="0" borderId="0" xfId="0" applyNumberFormat="1" applyFont="1" applyFill="1"/>
    <xf numFmtId="49" fontId="10" fillId="0" borderId="0" xfId="0" applyNumberFormat="1" applyFont="1" applyFill="1" applyAlignment="1">
      <alignment horizontal="center" wrapText="1"/>
    </xf>
    <xf numFmtId="49" fontId="1" fillId="0" borderId="0" xfId="0" applyNumberFormat="1" applyFont="1" applyFill="1" applyAlignment="1">
      <alignment horizontal="center" wrapText="1"/>
    </xf>
    <xf numFmtId="49" fontId="3" fillId="3" borderId="8" xfId="0" applyNumberFormat="1" applyFont="1" applyFill="1" applyBorder="1" applyAlignment="1">
      <alignment horizontal="center" vertical="top" wrapText="1"/>
    </xf>
    <xf numFmtId="49" fontId="9" fillId="6" borderId="3"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readingOrder="1"/>
    </xf>
    <xf numFmtId="49" fontId="3" fillId="3" borderId="2" xfId="0" applyNumberFormat="1" applyFont="1" applyFill="1" applyBorder="1" applyAlignment="1">
      <alignment horizontal="center" vertical="top" wrapText="1"/>
    </xf>
    <xf numFmtId="49" fontId="9" fillId="4" borderId="31" xfId="0" applyNumberFormat="1" applyFont="1" applyFill="1" applyBorder="1" applyAlignment="1">
      <alignment horizontal="right" vertical="top" wrapText="1"/>
    </xf>
    <xf numFmtId="4" fontId="3" fillId="0" borderId="0" xfId="0" applyNumberFormat="1" applyFont="1" applyAlignment="1">
      <alignment horizontal="center" vertical="top"/>
    </xf>
    <xf numFmtId="4" fontId="3" fillId="3" borderId="20" xfId="0" applyNumberFormat="1" applyFont="1" applyFill="1" applyBorder="1" applyAlignment="1">
      <alignment horizontal="center" vertical="top" wrapText="1"/>
    </xf>
    <xf numFmtId="4" fontId="3" fillId="0" borderId="0" xfId="0" applyNumberFormat="1" applyFont="1" applyFill="1" applyAlignment="1">
      <alignment horizontal="right"/>
    </xf>
    <xf numFmtId="4" fontId="9" fillId="3" borderId="4" xfId="0" applyNumberFormat="1" applyFont="1" applyFill="1" applyBorder="1" applyAlignment="1">
      <alignment vertical="top" wrapText="1"/>
    </xf>
    <xf numFmtId="4" fontId="3" fillId="0" borderId="4" xfId="0" applyNumberFormat="1" applyFont="1" applyBorder="1" applyAlignment="1">
      <alignment horizontal="center" vertical="top"/>
    </xf>
    <xf numFmtId="4" fontId="3" fillId="3" borderId="4" xfId="0" applyNumberFormat="1" applyFont="1" applyFill="1" applyBorder="1" applyAlignment="1">
      <alignment vertical="top" wrapText="1"/>
    </xf>
    <xf numFmtId="4" fontId="3" fillId="0" borderId="12" xfId="0" applyNumberFormat="1" applyFont="1" applyFill="1" applyBorder="1" applyAlignment="1">
      <alignment horizontal="center" vertical="top" wrapText="1"/>
    </xf>
    <xf numFmtId="4" fontId="3" fillId="3" borderId="42" xfId="0" applyNumberFormat="1" applyFont="1" applyFill="1" applyBorder="1" applyAlignment="1">
      <alignment horizontal="center" vertical="top" wrapText="1"/>
    </xf>
    <xf numFmtId="4" fontId="3" fillId="3" borderId="11" xfId="0" applyNumberFormat="1" applyFont="1" applyFill="1" applyBorder="1" applyAlignment="1">
      <alignment vertical="top" wrapText="1"/>
    </xf>
    <xf numFmtId="4" fontId="3" fillId="8" borderId="40" xfId="0" applyNumberFormat="1" applyFont="1" applyFill="1" applyBorder="1" applyAlignment="1">
      <alignment horizontal="center" vertical="center" wrapText="1"/>
    </xf>
    <xf numFmtId="4" fontId="3" fillId="3" borderId="5" xfId="0" applyNumberFormat="1" applyFont="1" applyFill="1" applyBorder="1" applyAlignment="1">
      <alignment horizontal="left" vertical="top" wrapText="1"/>
    </xf>
    <xf numFmtId="4" fontId="4" fillId="0" borderId="1" xfId="0" applyNumberFormat="1" applyFont="1" applyFill="1" applyBorder="1" applyAlignment="1">
      <alignment horizontal="center" vertical="top" wrapText="1"/>
    </xf>
    <xf numFmtId="4" fontId="1" fillId="3" borderId="43" xfId="0" applyNumberFormat="1" applyFont="1" applyFill="1" applyBorder="1"/>
    <xf numFmtId="4" fontId="1" fillId="3" borderId="45" xfId="0" applyNumberFormat="1" applyFont="1" applyFill="1" applyBorder="1"/>
    <xf numFmtId="4" fontId="17" fillId="7" borderId="46" xfId="0" applyNumberFormat="1" applyFont="1" applyFill="1" applyBorder="1" applyAlignment="1">
      <alignment horizontal="center" vertical="center" wrapText="1"/>
    </xf>
    <xf numFmtId="4" fontId="3" fillId="0" borderId="43" xfId="0" applyNumberFormat="1" applyFont="1" applyBorder="1"/>
    <xf numFmtId="4" fontId="3" fillId="0" borderId="44" xfId="0" applyNumberFormat="1" applyFont="1" applyBorder="1"/>
    <xf numFmtId="4" fontId="3" fillId="0" borderId="44" xfId="0" applyNumberFormat="1" applyFont="1" applyFill="1" applyBorder="1"/>
    <xf numFmtId="4" fontId="3" fillId="0" borderId="44" xfId="0" applyNumberFormat="1" applyFont="1" applyBorder="1" applyAlignment="1">
      <alignment horizontal="center"/>
    </xf>
    <xf numFmtId="4" fontId="11" fillId="0" borderId="44" xfId="0" applyNumberFormat="1" applyFont="1" applyBorder="1" applyAlignment="1">
      <alignment vertical="top"/>
    </xf>
    <xf numFmtId="4" fontId="14" fillId="0" borderId="45" xfId="0" applyNumberFormat="1" applyFont="1" applyBorder="1"/>
    <xf numFmtId="4" fontId="1" fillId="3" borderId="44" xfId="0" applyNumberFormat="1" applyFont="1" applyFill="1" applyBorder="1" applyAlignment="1">
      <alignment horizontal="center" vertical="top"/>
    </xf>
    <xf numFmtId="4" fontId="4" fillId="3" borderId="1" xfId="0" applyNumberFormat="1" applyFont="1" applyFill="1" applyBorder="1" applyAlignment="1">
      <alignment horizontal="left" vertical="top" wrapText="1"/>
    </xf>
    <xf numFmtId="4" fontId="3" fillId="0" borderId="48" xfId="0" applyNumberFormat="1" applyFont="1" applyBorder="1" applyAlignment="1">
      <alignment vertical="top" wrapText="1"/>
    </xf>
    <xf numFmtId="0" fontId="3" fillId="0" borderId="47" xfId="0" applyFont="1" applyBorder="1" applyAlignment="1">
      <alignment vertical="top" wrapText="1"/>
    </xf>
    <xf numFmtId="49" fontId="15" fillId="6" borderId="3" xfId="0" applyNumberFormat="1" applyFont="1" applyFill="1" applyBorder="1" applyAlignment="1">
      <alignment horizontal="right" vertical="top" wrapText="1"/>
    </xf>
    <xf numFmtId="4" fontId="3" fillId="0" borderId="47" xfId="0" applyNumberFormat="1" applyFont="1" applyBorder="1" applyAlignment="1">
      <alignment vertical="top" wrapText="1"/>
    </xf>
    <xf numFmtId="4" fontId="15" fillId="6" borderId="18" xfId="0" applyNumberFormat="1" applyFont="1" applyFill="1" applyBorder="1" applyAlignment="1">
      <alignment horizontal="right" vertical="top" wrapText="1"/>
    </xf>
    <xf numFmtId="4" fontId="15" fillId="6" borderId="2" xfId="0" applyNumberFormat="1" applyFont="1" applyFill="1" applyBorder="1" applyAlignment="1">
      <alignment horizontal="right" vertical="top" wrapText="1"/>
    </xf>
    <xf numFmtId="49" fontId="15" fillId="6" borderId="2" xfId="0" applyNumberFormat="1" applyFont="1" applyFill="1" applyBorder="1" applyAlignment="1">
      <alignment horizontal="right" vertical="top" wrapText="1"/>
    </xf>
    <xf numFmtId="4" fontId="14" fillId="0" borderId="44" xfId="0" applyNumberFormat="1" applyFont="1" applyBorder="1"/>
    <xf numFmtId="4" fontId="15" fillId="6" borderId="1" xfId="0" applyNumberFormat="1" applyFont="1" applyFill="1" applyBorder="1" applyAlignment="1">
      <alignment vertical="center" wrapText="1"/>
    </xf>
    <xf numFmtId="4" fontId="17" fillId="6" borderId="1" xfId="0" applyNumberFormat="1" applyFont="1" applyFill="1" applyBorder="1" applyAlignment="1">
      <alignment vertical="center" wrapText="1"/>
    </xf>
    <xf numFmtId="4" fontId="17" fillId="6" borderId="10" xfId="0" applyNumberFormat="1" applyFont="1" applyFill="1" applyBorder="1" applyAlignment="1">
      <alignment vertical="center" wrapText="1"/>
    </xf>
    <xf numFmtId="4" fontId="4" fillId="0" borderId="1" xfId="0" applyNumberFormat="1" applyFont="1" applyFill="1" applyBorder="1" applyAlignment="1">
      <alignment horizontal="center" vertical="top" wrapText="1" readingOrder="1"/>
    </xf>
    <xf numFmtId="4" fontId="3" fillId="0" borderId="44" xfId="0" applyNumberFormat="1" applyFont="1" applyBorder="1" applyAlignment="1">
      <alignment vertical="top" wrapText="1"/>
    </xf>
    <xf numFmtId="4" fontId="4" fillId="3" borderId="1" xfId="0" applyNumberFormat="1" applyFont="1" applyFill="1" applyBorder="1" applyAlignment="1">
      <alignment vertical="top" wrapText="1"/>
    </xf>
    <xf numFmtId="165" fontId="3" fillId="0" borderId="0" xfId="0" applyNumberFormat="1" applyFont="1" applyFill="1"/>
    <xf numFmtId="165" fontId="3" fillId="0" borderId="0" xfId="0" applyNumberFormat="1" applyFont="1"/>
    <xf numFmtId="165" fontId="3" fillId="0" borderId="0" xfId="0" applyNumberFormat="1" applyFont="1" applyFill="1" applyAlignment="1">
      <alignment horizontal="center"/>
    </xf>
    <xf numFmtId="165" fontId="3" fillId="0" borderId="6" xfId="0" applyNumberFormat="1" applyFont="1" applyBorder="1" applyAlignment="1">
      <alignment horizontal="center" vertical="center" wrapText="1"/>
    </xf>
    <xf numFmtId="165" fontId="3" fillId="3" borderId="6" xfId="0" applyNumberFormat="1" applyFont="1" applyFill="1" applyBorder="1" applyAlignment="1">
      <alignment horizontal="center" vertical="top" wrapText="1"/>
    </xf>
    <xf numFmtId="165" fontId="3" fillId="3"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0" borderId="5" xfId="0" applyNumberFormat="1" applyFont="1" applyFill="1" applyBorder="1" applyAlignment="1">
      <alignment horizontal="left" vertical="top" wrapText="1"/>
    </xf>
    <xf numFmtId="165" fontId="3" fillId="0" borderId="4" xfId="0" applyNumberFormat="1" applyFont="1" applyBorder="1" applyAlignment="1">
      <alignment horizontal="center" vertical="top" wrapText="1"/>
    </xf>
    <xf numFmtId="165" fontId="3" fillId="0" borderId="1" xfId="0" applyNumberFormat="1" applyFont="1" applyFill="1" applyBorder="1" applyAlignment="1">
      <alignment horizontal="left" vertical="top" wrapText="1"/>
    </xf>
    <xf numFmtId="165" fontId="3" fillId="3" borderId="1" xfId="0" applyNumberFormat="1" applyFont="1" applyFill="1" applyBorder="1" applyAlignment="1">
      <alignment horizontal="center" vertical="top"/>
    </xf>
    <xf numFmtId="165" fontId="4" fillId="3" borderId="1" xfId="0" applyNumberFormat="1" applyFont="1" applyFill="1" applyBorder="1" applyAlignment="1">
      <alignment horizontal="center" vertical="top"/>
    </xf>
    <xf numFmtId="165" fontId="3" fillId="3" borderId="4" xfId="0" applyNumberFormat="1"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165" fontId="3" fillId="3" borderId="1" xfId="0" applyNumberFormat="1" applyFont="1" applyFill="1" applyBorder="1" applyAlignment="1">
      <alignment horizontal="center" vertical="center" wrapText="1"/>
    </xf>
    <xf numFmtId="165" fontId="3" fillId="3" borderId="7" xfId="0" applyNumberFormat="1" applyFont="1" applyFill="1" applyBorder="1" applyAlignment="1">
      <alignment horizontal="center" vertical="top" wrapText="1"/>
    </xf>
    <xf numFmtId="165" fontId="3" fillId="0" borderId="5" xfId="0" applyNumberFormat="1" applyFont="1" applyFill="1" applyBorder="1" applyAlignment="1">
      <alignment vertical="top" wrapText="1"/>
    </xf>
    <xf numFmtId="165" fontId="3" fillId="3" borderId="5" xfId="0" applyNumberFormat="1" applyFont="1" applyFill="1" applyBorder="1" applyAlignment="1">
      <alignment horizontal="center" vertical="top"/>
    </xf>
    <xf numFmtId="165" fontId="3" fillId="0" borderId="1" xfId="0" applyNumberFormat="1" applyFont="1" applyFill="1" applyBorder="1" applyAlignment="1">
      <alignment horizontal="center" vertical="center" wrapText="1"/>
    </xf>
    <xf numFmtId="165" fontId="4" fillId="3" borderId="7" xfId="0" applyNumberFormat="1" applyFont="1" applyFill="1" applyBorder="1" applyAlignment="1">
      <alignment horizontal="center" vertical="top" wrapText="1"/>
    </xf>
    <xf numFmtId="165" fontId="4" fillId="3" borderId="2" xfId="0" applyNumberFormat="1" applyFont="1" applyFill="1" applyBorder="1" applyAlignment="1">
      <alignment horizontal="center" vertical="top"/>
    </xf>
    <xf numFmtId="165" fontId="4" fillId="3" borderId="0"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xf>
    <xf numFmtId="165" fontId="3" fillId="3" borderId="3" xfId="0" applyNumberFormat="1" applyFont="1" applyFill="1" applyBorder="1" applyAlignment="1">
      <alignment horizontal="center" vertical="top"/>
    </xf>
    <xf numFmtId="165" fontId="3" fillId="3" borderId="1" xfId="0" applyNumberFormat="1" applyFont="1" applyFill="1" applyBorder="1" applyAlignment="1">
      <alignment vertical="top" wrapText="1"/>
    </xf>
    <xf numFmtId="165" fontId="11" fillId="0" borderId="0" xfId="0" applyNumberFormat="1" applyFont="1" applyAlignment="1">
      <alignment vertical="top"/>
    </xf>
    <xf numFmtId="165" fontId="3" fillId="3" borderId="1" xfId="0" applyNumberFormat="1" applyFont="1" applyFill="1" applyBorder="1" applyAlignment="1">
      <alignment horizontal="center" vertical="top" wrapText="1" readingOrder="1"/>
    </xf>
    <xf numFmtId="165" fontId="3" fillId="0" borderId="2" xfId="0" applyNumberFormat="1" applyFont="1" applyFill="1" applyBorder="1" applyAlignment="1">
      <alignment horizontal="left" vertical="top" wrapText="1"/>
    </xf>
    <xf numFmtId="165" fontId="3" fillId="3" borderId="2" xfId="0" applyNumberFormat="1" applyFont="1" applyFill="1" applyBorder="1" applyAlignment="1">
      <alignment horizontal="center" vertical="top" wrapText="1" readingOrder="1"/>
    </xf>
    <xf numFmtId="165" fontId="3" fillId="3" borderId="3" xfId="0" applyNumberFormat="1" applyFont="1" applyFill="1" applyBorder="1" applyAlignment="1">
      <alignment horizontal="center" vertical="top" wrapText="1"/>
    </xf>
    <xf numFmtId="165" fontId="3" fillId="0" borderId="1" xfId="0" applyNumberFormat="1" applyFont="1" applyBorder="1" applyAlignment="1">
      <alignment horizontal="center" vertical="top"/>
    </xf>
    <xf numFmtId="165" fontId="3" fillId="3" borderId="4" xfId="0" applyNumberFormat="1" applyFont="1" applyFill="1" applyBorder="1" applyAlignment="1">
      <alignment horizontal="center" vertical="top"/>
    </xf>
    <xf numFmtId="165" fontId="3" fillId="0" borderId="4" xfId="0" applyNumberFormat="1" applyFont="1" applyBorder="1" applyAlignment="1">
      <alignment horizontal="center" vertical="top"/>
    </xf>
    <xf numFmtId="165" fontId="3" fillId="0" borderId="0" xfId="0" applyNumberFormat="1" applyFont="1" applyAlignment="1">
      <alignment vertical="top"/>
    </xf>
    <xf numFmtId="49" fontId="3" fillId="0" borderId="0" xfId="0" applyNumberFormat="1" applyFont="1" applyFill="1"/>
    <xf numFmtId="49" fontId="3" fillId="0" borderId="1"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165" fontId="3" fillId="3" borderId="7" xfId="0" applyNumberFormat="1" applyFont="1" applyFill="1" applyBorder="1" applyAlignment="1">
      <alignment horizontal="center" vertical="top"/>
    </xf>
    <xf numFmtId="165" fontId="3" fillId="3" borderId="5" xfId="0" applyNumberFormat="1" applyFont="1" applyFill="1" applyBorder="1" applyAlignment="1">
      <alignment vertical="center" wrapText="1"/>
    </xf>
    <xf numFmtId="165" fontId="3" fillId="3" borderId="6" xfId="0" applyNumberFormat="1" applyFont="1" applyFill="1" applyBorder="1" applyAlignment="1">
      <alignment vertical="center" wrapText="1"/>
    </xf>
    <xf numFmtId="165" fontId="3" fillId="3" borderId="6"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165" fontId="3" fillId="3" borderId="4" xfId="0" applyNumberFormat="1" applyFont="1" applyFill="1" applyBorder="1" applyAlignment="1">
      <alignment vertical="top" wrapText="1"/>
    </xf>
    <xf numFmtId="165" fontId="3" fillId="3" borderId="5"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65" fontId="3" fillId="3" borderId="0" xfId="0" applyNumberFormat="1" applyFont="1" applyFill="1" applyBorder="1" applyAlignment="1">
      <alignment horizontal="center" vertical="top"/>
    </xf>
    <xf numFmtId="165" fontId="3" fillId="3" borderId="2" xfId="0" applyNumberFormat="1" applyFont="1" applyFill="1" applyBorder="1" applyAlignment="1">
      <alignment horizontal="center" vertical="top"/>
    </xf>
    <xf numFmtId="165" fontId="3" fillId="3" borderId="0" xfId="0" applyNumberFormat="1" applyFont="1" applyFill="1" applyBorder="1" applyAlignment="1">
      <alignment horizontal="center" vertical="top" wrapText="1"/>
    </xf>
    <xf numFmtId="165" fontId="3" fillId="3" borderId="10" xfId="0" applyNumberFormat="1" applyFont="1" applyFill="1" applyBorder="1" applyAlignment="1">
      <alignment horizontal="center" vertical="top" wrapText="1"/>
    </xf>
    <xf numFmtId="165" fontId="3" fillId="3" borderId="10" xfId="0" applyNumberFormat="1" applyFont="1" applyFill="1" applyBorder="1" applyAlignment="1">
      <alignment horizontal="center" vertical="top"/>
    </xf>
    <xf numFmtId="165" fontId="21" fillId="3" borderId="0" xfId="0" applyNumberFormat="1" applyFont="1" applyFill="1" applyAlignment="1">
      <alignment vertical="top"/>
    </xf>
    <xf numFmtId="165" fontId="3" fillId="0" borderId="10" xfId="0" applyNumberFormat="1" applyFont="1" applyFill="1" applyBorder="1" applyAlignment="1">
      <alignment vertical="top" wrapText="1"/>
    </xf>
    <xf numFmtId="165" fontId="3" fillId="3" borderId="2"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wrapText="1"/>
    </xf>
    <xf numFmtId="165" fontId="3" fillId="0" borderId="0" xfId="0" applyNumberFormat="1" applyFont="1" applyAlignment="1">
      <alignment horizontal="center"/>
    </xf>
    <xf numFmtId="165" fontId="4" fillId="0" borderId="0" xfId="0" applyNumberFormat="1" applyFont="1" applyFill="1"/>
    <xf numFmtId="49" fontId="3" fillId="0" borderId="5" xfId="0" applyNumberFormat="1" applyFont="1" applyFill="1" applyBorder="1" applyAlignment="1">
      <alignment horizontal="center" vertical="top" wrapText="1"/>
    </xf>
    <xf numFmtId="165" fontId="23" fillId="0" borderId="0" xfId="0" applyNumberFormat="1" applyFont="1" applyAlignment="1">
      <alignment horizontal="center"/>
    </xf>
    <xf numFmtId="165" fontId="24" fillId="9" borderId="2" xfId="0" applyNumberFormat="1" applyFont="1" applyFill="1" applyBorder="1" applyAlignment="1">
      <alignment horizontal="right" vertical="top" wrapText="1"/>
    </xf>
    <xf numFmtId="49" fontId="24" fillId="9" borderId="2" xfId="0" applyNumberFormat="1" applyFont="1" applyFill="1" applyBorder="1" applyAlignment="1">
      <alignment horizontal="right" vertical="top" wrapText="1"/>
    </xf>
    <xf numFmtId="49" fontId="24" fillId="9" borderId="1" xfId="0" applyNumberFormat="1" applyFont="1" applyFill="1" applyBorder="1" applyAlignment="1">
      <alignment horizontal="right" vertical="top" wrapText="1"/>
    </xf>
    <xf numFmtId="165" fontId="24" fillId="9" borderId="1" xfId="0" applyNumberFormat="1" applyFont="1" applyFill="1" applyBorder="1" applyAlignment="1">
      <alignment horizontal="center" vertical="center" wrapText="1"/>
    </xf>
    <xf numFmtId="165" fontId="24" fillId="10" borderId="2" xfId="0" applyNumberFormat="1" applyFont="1" applyFill="1" applyBorder="1" applyAlignment="1">
      <alignment horizontal="right" vertical="top" wrapText="1"/>
    </xf>
    <xf numFmtId="49" fontId="24" fillId="10" borderId="2" xfId="0" applyNumberFormat="1" applyFont="1" applyFill="1" applyBorder="1" applyAlignment="1">
      <alignment horizontal="right" vertical="top" wrapText="1"/>
    </xf>
    <xf numFmtId="49" fontId="24" fillId="10" borderId="3" xfId="0" applyNumberFormat="1" applyFont="1" applyFill="1" applyBorder="1" applyAlignment="1">
      <alignment horizontal="right" vertical="top" wrapText="1"/>
    </xf>
    <xf numFmtId="165" fontId="24" fillId="10" borderId="1" xfId="0" applyNumberFormat="1" applyFont="1" applyFill="1" applyBorder="1" applyAlignment="1">
      <alignment horizontal="center" vertical="center" wrapText="1"/>
    </xf>
    <xf numFmtId="49" fontId="24" fillId="9" borderId="3" xfId="0" applyNumberFormat="1" applyFont="1" applyFill="1" applyBorder="1" applyAlignment="1">
      <alignment horizontal="right" vertical="top" wrapText="1"/>
    </xf>
    <xf numFmtId="165" fontId="24" fillId="9" borderId="1" xfId="0" applyNumberFormat="1" applyFont="1" applyFill="1" applyBorder="1" applyAlignment="1">
      <alignment horizontal="center" vertical="top" wrapText="1"/>
    </xf>
    <xf numFmtId="165" fontId="24" fillId="10" borderId="1" xfId="0" applyNumberFormat="1" applyFont="1" applyFill="1" applyBorder="1" applyAlignment="1">
      <alignment horizontal="center" vertical="top" wrapText="1"/>
    </xf>
    <xf numFmtId="1" fontId="3" fillId="0" borderId="0" xfId="0" applyNumberFormat="1" applyFont="1" applyFill="1" applyAlignment="1">
      <alignment horizontal="center"/>
    </xf>
    <xf numFmtId="1" fontId="3" fillId="0" borderId="0" xfId="0" applyNumberFormat="1" applyFont="1" applyAlignment="1">
      <alignment horizontal="center"/>
    </xf>
    <xf numFmtId="49" fontId="3" fillId="0" borderId="9" xfId="0" applyNumberFormat="1" applyFont="1" applyBorder="1"/>
    <xf numFmtId="165" fontId="3" fillId="0" borderId="5"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top" wrapText="1"/>
    </xf>
    <xf numFmtId="165" fontId="9" fillId="0" borderId="0" xfId="0" applyNumberFormat="1" applyFont="1" applyFill="1" applyAlignment="1">
      <alignment horizontal="center"/>
    </xf>
    <xf numFmtId="165" fontId="9" fillId="0" borderId="6" xfId="0" applyNumberFormat="1" applyFont="1" applyFill="1" applyBorder="1" applyAlignment="1">
      <alignment horizontal="center" vertical="top" wrapText="1"/>
    </xf>
    <xf numFmtId="165" fontId="9" fillId="3" borderId="1" xfId="0" applyNumberFormat="1" applyFont="1" applyFill="1" applyBorder="1" applyAlignment="1">
      <alignment horizontal="center" vertical="top" wrapText="1"/>
    </xf>
    <xf numFmtId="165" fontId="9" fillId="3" borderId="5" xfId="0" applyNumberFormat="1" applyFont="1" applyFill="1" applyBorder="1" applyAlignment="1">
      <alignment horizontal="center" vertical="top" wrapText="1"/>
    </xf>
    <xf numFmtId="165" fontId="9" fillId="0" borderId="5" xfId="0" applyNumberFormat="1" applyFont="1" applyFill="1" applyBorder="1" applyAlignment="1">
      <alignment horizontal="center" vertical="top" wrapText="1"/>
    </xf>
    <xf numFmtId="165" fontId="9" fillId="3" borderId="4" xfId="0" applyNumberFormat="1" applyFont="1" applyFill="1" applyBorder="1" applyAlignment="1">
      <alignment horizontal="center" vertical="top" wrapText="1"/>
    </xf>
    <xf numFmtId="165" fontId="9" fillId="0" borderId="4" xfId="0" applyNumberFormat="1" applyFont="1" applyFill="1" applyBorder="1" applyAlignment="1">
      <alignment horizontal="center" vertical="top" wrapText="1"/>
    </xf>
    <xf numFmtId="165" fontId="9" fillId="0" borderId="7"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24" fillId="9" borderId="10"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4" fillId="10" borderId="10" xfId="0" applyNumberFormat="1" applyFont="1" applyFill="1" applyBorder="1" applyAlignment="1">
      <alignment horizontal="center" vertical="top" wrapText="1"/>
    </xf>
    <xf numFmtId="1" fontId="3" fillId="3" borderId="29" xfId="0" applyNumberFormat="1" applyFont="1" applyFill="1" applyBorder="1" applyAlignment="1">
      <alignment horizontal="center" vertical="top" wrapText="1"/>
    </xf>
    <xf numFmtId="1" fontId="3" fillId="3" borderId="10" xfId="0" applyNumberFormat="1" applyFont="1" applyFill="1" applyBorder="1" applyAlignment="1">
      <alignment horizontal="center" vertical="top" wrapText="1"/>
    </xf>
    <xf numFmtId="165" fontId="4" fillId="3" borderId="5" xfId="0" applyNumberFormat="1" applyFont="1" applyFill="1" applyBorder="1" applyAlignment="1">
      <alignment horizontal="center" vertical="top" wrapText="1"/>
    </xf>
    <xf numFmtId="165" fontId="3" fillId="0" borderId="6" xfId="0" applyNumberFormat="1" applyFont="1" applyFill="1" applyBorder="1" applyAlignment="1">
      <alignment horizontal="left" vertical="top" wrapText="1"/>
    </xf>
    <xf numFmtId="165"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top"/>
    </xf>
    <xf numFmtId="165" fontId="3" fillId="0" borderId="6" xfId="0" applyNumberFormat="1" applyFont="1" applyFill="1" applyBorder="1" applyAlignment="1">
      <alignment horizontal="center" vertical="top"/>
    </xf>
    <xf numFmtId="165" fontId="25" fillId="0" borderId="9" xfId="0" applyNumberFormat="1" applyFont="1" applyFill="1" applyBorder="1" applyAlignment="1">
      <alignment horizontal="center"/>
    </xf>
    <xf numFmtId="165" fontId="23" fillId="0" borderId="9" xfId="0" applyNumberFormat="1" applyFont="1" applyBorder="1" applyAlignment="1">
      <alignment horizontal="center"/>
    </xf>
    <xf numFmtId="1" fontId="24" fillId="7" borderId="28" xfId="0" applyNumberFormat="1" applyFont="1" applyFill="1" applyBorder="1" applyAlignment="1">
      <alignment horizontal="center" vertical="top"/>
    </xf>
    <xf numFmtId="1" fontId="9" fillId="9" borderId="10" xfId="0" applyNumberFormat="1" applyFont="1" applyFill="1" applyBorder="1" applyAlignment="1">
      <alignment horizontal="center" vertical="top" wrapText="1"/>
    </xf>
    <xf numFmtId="1" fontId="3" fillId="3" borderId="5"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5" fontId="26" fillId="0" borderId="0" xfId="0" applyNumberFormat="1" applyFont="1" applyFill="1" applyAlignment="1">
      <alignment horizontal="center"/>
    </xf>
    <xf numFmtId="165" fontId="27" fillId="0" borderId="0" xfId="0" applyNumberFormat="1" applyFont="1" applyFill="1" applyAlignment="1">
      <alignment horizontal="center"/>
    </xf>
    <xf numFmtId="165" fontId="26" fillId="0" borderId="0" xfId="0" applyNumberFormat="1" applyFont="1" applyAlignment="1">
      <alignment horizontal="center"/>
    </xf>
    <xf numFmtId="165" fontId="27" fillId="0" borderId="0" xfId="0" applyNumberFormat="1" applyFont="1" applyAlignment="1">
      <alignment horizontal="center"/>
    </xf>
    <xf numFmtId="0" fontId="3" fillId="3" borderId="7" xfId="0" applyFont="1" applyFill="1" applyBorder="1" applyAlignment="1">
      <alignment horizontal="left" vertical="top" wrapText="1"/>
    </xf>
    <xf numFmtId="165" fontId="3" fillId="3" borderId="3" xfId="0" applyNumberFormat="1" applyFont="1" applyFill="1" applyBorder="1" applyAlignment="1">
      <alignment horizontal="left" vertical="top" wrapText="1"/>
    </xf>
    <xf numFmtId="165" fontId="24" fillId="10" borderId="3"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 fontId="3" fillId="3" borderId="5"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3" fillId="3" borderId="42" xfId="0" applyNumberFormat="1" applyFont="1" applyFill="1" applyBorder="1" applyAlignment="1">
      <alignment horizontal="center" vertical="top" wrapText="1"/>
    </xf>
    <xf numFmtId="165" fontId="4" fillId="3" borderId="1" xfId="0" applyNumberFormat="1" applyFont="1" applyFill="1" applyBorder="1" applyAlignment="1">
      <alignment horizontal="left" vertical="top" wrapText="1"/>
    </xf>
    <xf numFmtId="165" fontId="9" fillId="0" borderId="2" xfId="0" applyNumberFormat="1" applyFont="1" applyFill="1" applyBorder="1" applyAlignment="1">
      <alignment horizontal="center" vertical="top" wrapText="1"/>
    </xf>
    <xf numFmtId="165" fontId="9" fillId="3" borderId="2" xfId="0" applyNumberFormat="1" applyFont="1" applyFill="1" applyBorder="1" applyAlignment="1">
      <alignment horizontal="center" vertical="top" wrapText="1"/>
    </xf>
    <xf numFmtId="165" fontId="9" fillId="3" borderId="0" xfId="0" applyNumberFormat="1" applyFont="1" applyFill="1" applyBorder="1" applyAlignment="1">
      <alignment horizontal="center" vertical="top" wrapText="1"/>
    </xf>
    <xf numFmtId="165" fontId="9" fillId="3" borderId="10" xfId="0" applyNumberFormat="1" applyFont="1" applyFill="1" applyBorder="1" applyAlignment="1">
      <alignment horizontal="center" vertical="top" wrapText="1"/>
    </xf>
    <xf numFmtId="165" fontId="24" fillId="9" borderId="0" xfId="0" applyNumberFormat="1" applyFont="1" applyFill="1" applyBorder="1" applyAlignment="1">
      <alignment horizontal="left" vertical="center" wrapText="1"/>
    </xf>
    <xf numFmtId="165" fontId="24" fillId="10" borderId="0" xfId="0" applyNumberFormat="1" applyFont="1" applyFill="1" applyBorder="1" applyAlignment="1">
      <alignment horizontal="left" vertical="top"/>
    </xf>
    <xf numFmtId="165" fontId="24" fillId="9" borderId="0" xfId="0" applyNumberFormat="1" applyFont="1" applyFill="1" applyBorder="1" applyAlignment="1">
      <alignment horizontal="left" vertical="top" wrapText="1"/>
    </xf>
    <xf numFmtId="165" fontId="24" fillId="10" borderId="0"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9" fillId="3" borderId="3"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5" fontId="3" fillId="3" borderId="7" xfId="0" applyNumberFormat="1" applyFont="1" applyFill="1" applyBorder="1" applyAlignment="1">
      <alignment vertical="center" wrapText="1"/>
    </xf>
    <xf numFmtId="0" fontId="3" fillId="3" borderId="1"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wrapText="1"/>
    </xf>
    <xf numFmtId="165" fontId="23" fillId="0" borderId="0" xfId="0" applyNumberFormat="1" applyFont="1" applyBorder="1" applyAlignment="1">
      <alignment horizontal="center"/>
    </xf>
    <xf numFmtId="165" fontId="9" fillId="7" borderId="5" xfId="0" applyNumberFormat="1" applyFont="1" applyFill="1" applyBorder="1" applyAlignment="1">
      <alignment horizontal="center" vertical="center" wrapText="1"/>
    </xf>
    <xf numFmtId="165" fontId="3" fillId="0" borderId="1" xfId="0" applyNumberFormat="1" applyFont="1" applyBorder="1" applyAlignment="1">
      <alignment horizontal="center" vertical="top" wrapText="1"/>
    </xf>
    <xf numFmtId="165" fontId="9" fillId="0" borderId="10"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3" borderId="10"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3" borderId="1" xfId="0" applyNumberFormat="1" applyFont="1" applyFill="1" applyBorder="1" applyAlignment="1">
      <alignment horizontal="center" vertical="top" wrapText="1"/>
    </xf>
    <xf numFmtId="165" fontId="4" fillId="3" borderId="1" xfId="0" applyNumberFormat="1" applyFont="1" applyFill="1" applyBorder="1" applyAlignment="1">
      <alignment vertical="top" wrapText="1"/>
    </xf>
    <xf numFmtId="1" fontId="3" fillId="3" borderId="4" xfId="0" applyNumberFormat="1" applyFont="1" applyFill="1" applyBorder="1" applyAlignment="1">
      <alignment horizontal="center" vertical="top" wrapText="1"/>
    </xf>
    <xf numFmtId="165" fontId="9" fillId="7" borderId="5" xfId="0" applyNumberFormat="1" applyFont="1" applyFill="1" applyBorder="1" applyAlignment="1">
      <alignment horizontal="center" vertical="top" wrapText="1"/>
    </xf>
    <xf numFmtId="165" fontId="9" fillId="7" borderId="1" xfId="0" applyNumberFormat="1" applyFont="1" applyFill="1" applyBorder="1" applyAlignment="1">
      <alignment horizontal="center" vertical="top" wrapText="1"/>
    </xf>
    <xf numFmtId="165" fontId="30" fillId="7" borderId="2" xfId="0" applyNumberFormat="1" applyFont="1" applyFill="1" applyBorder="1" applyAlignment="1">
      <alignment horizontal="center" vertical="top"/>
    </xf>
    <xf numFmtId="165" fontId="30" fillId="7" borderId="5" xfId="0" applyNumberFormat="1" applyFont="1" applyFill="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3" borderId="10" xfId="0" applyNumberFormat="1" applyFont="1" applyFill="1" applyBorder="1" applyAlignment="1">
      <alignment horizontal="center" vertical="top"/>
    </xf>
    <xf numFmtId="165" fontId="4" fillId="3" borderId="10"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wrapText="1"/>
    </xf>
    <xf numFmtId="165" fontId="9" fillId="3" borderId="7" xfId="0" applyNumberFormat="1" applyFont="1" applyFill="1" applyBorder="1" applyAlignment="1">
      <alignment horizontal="center" vertical="top" wrapText="1"/>
    </xf>
    <xf numFmtId="165" fontId="3" fillId="0" borderId="4" xfId="0" applyNumberFormat="1" applyFont="1" applyBorder="1" applyAlignment="1">
      <alignment horizontal="left" vertical="top" wrapText="1"/>
    </xf>
    <xf numFmtId="49" fontId="3" fillId="3" borderId="10"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165" fontId="9" fillId="0" borderId="3"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0" borderId="6" xfId="0" applyNumberFormat="1" applyFont="1" applyFill="1" applyBorder="1" applyAlignment="1">
      <alignment vertical="top" wrapText="1"/>
    </xf>
    <xf numFmtId="165" fontId="3" fillId="7" borderId="6" xfId="0" applyNumberFormat="1" applyFont="1" applyFill="1" applyBorder="1" applyAlignment="1">
      <alignment horizontal="center" vertical="center" wrapText="1"/>
    </xf>
    <xf numFmtId="165" fontId="4" fillId="3" borderId="6" xfId="0" applyNumberFormat="1" applyFont="1" applyFill="1" applyBorder="1" applyAlignment="1">
      <alignment vertical="top" wrapText="1"/>
    </xf>
    <xf numFmtId="165" fontId="3" fillId="3" borderId="6" xfId="0" applyNumberFormat="1" applyFont="1" applyFill="1" applyBorder="1" applyAlignment="1">
      <alignment horizontal="left" vertical="top" wrapText="1"/>
    </xf>
    <xf numFmtId="165" fontId="16" fillId="3" borderId="4"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top"/>
    </xf>
    <xf numFmtId="165" fontId="3" fillId="3" borderId="7" xfId="0" applyNumberFormat="1" applyFont="1" applyFill="1" applyBorder="1" applyAlignment="1">
      <alignment vertical="top" wrapText="1"/>
    </xf>
    <xf numFmtId="49" fontId="4" fillId="3" borderId="1"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24" fillId="10" borderId="3"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65" fontId="24" fillId="10" borderId="10" xfId="0" applyNumberFormat="1" applyFont="1" applyFill="1" applyBorder="1" applyAlignment="1">
      <alignment horizontal="left" vertical="center" wrapText="1"/>
    </xf>
    <xf numFmtId="165" fontId="24" fillId="10" borderId="2" xfId="0" applyNumberFormat="1" applyFont="1" applyFill="1" applyBorder="1" applyAlignment="1">
      <alignment horizontal="left" vertical="center" wrapText="1"/>
    </xf>
    <xf numFmtId="165" fontId="3" fillId="0" borderId="5" xfId="0" applyNumberFormat="1" applyFont="1" applyBorder="1" applyAlignment="1">
      <alignment horizontal="center" vertical="center" wrapText="1"/>
    </xf>
    <xf numFmtId="165" fontId="3" fillId="3" borderId="7"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165" fontId="4" fillId="0" borderId="1" xfId="0" applyNumberFormat="1" applyFont="1" applyFill="1" applyBorder="1" applyAlignment="1">
      <alignment horizontal="left" vertical="top" wrapText="1"/>
    </xf>
    <xf numFmtId="165" fontId="4" fillId="3" borderId="4" xfId="0" applyNumberFormat="1" applyFont="1" applyFill="1" applyBorder="1" applyAlignment="1">
      <alignment horizontal="center" vertical="top" wrapText="1"/>
    </xf>
    <xf numFmtId="165" fontId="16" fillId="0" borderId="4" xfId="0" applyNumberFormat="1" applyFont="1" applyFill="1" applyBorder="1" applyAlignment="1">
      <alignment horizontal="center" vertical="top" wrapText="1"/>
    </xf>
    <xf numFmtId="165" fontId="3" fillId="0" borderId="1" xfId="0" applyNumberFormat="1" applyFont="1" applyBorder="1" applyAlignment="1">
      <alignment horizontal="left" vertical="top" wrapText="1"/>
    </xf>
    <xf numFmtId="165" fontId="4" fillId="0" borderId="1" xfId="0" applyNumberFormat="1" applyFont="1" applyFill="1" applyBorder="1" applyAlignment="1">
      <alignment vertical="top" wrapText="1"/>
    </xf>
    <xf numFmtId="165" fontId="4" fillId="0" borderId="1" xfId="0" applyNumberFormat="1" applyFont="1" applyBorder="1" applyAlignment="1">
      <alignment horizontal="center" vertical="top" wrapText="1"/>
    </xf>
    <xf numFmtId="1" fontId="4" fillId="3" borderId="1" xfId="0" applyNumberFormat="1" applyFont="1" applyFill="1" applyBorder="1" applyAlignment="1">
      <alignment horizontal="center" vertical="top" wrapText="1"/>
    </xf>
    <xf numFmtId="165" fontId="4" fillId="0" borderId="4" xfId="0" applyNumberFormat="1" applyFont="1" applyBorder="1" applyAlignment="1">
      <alignment horizontal="center" vertical="top"/>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3" borderId="4" xfId="0" applyNumberFormat="1" applyFont="1" applyFill="1" applyBorder="1" applyAlignment="1">
      <alignment vertical="top" wrapText="1"/>
    </xf>
    <xf numFmtId="165" fontId="4" fillId="3" borderId="5" xfId="0" applyNumberFormat="1" applyFont="1" applyFill="1" applyBorder="1" applyAlignment="1">
      <alignment vertical="top" wrapText="1"/>
    </xf>
    <xf numFmtId="165" fontId="3" fillId="3" borderId="4"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top" wrapText="1"/>
    </xf>
    <xf numFmtId="165" fontId="24" fillId="10" borderId="3"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3" borderId="6" xfId="0" applyNumberFormat="1" applyFont="1" applyFill="1" applyBorder="1" applyAlignment="1">
      <alignment horizontal="center" vertical="top" wrapText="1"/>
    </xf>
    <xf numFmtId="165" fontId="4" fillId="3" borderId="6"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165" fontId="9" fillId="3" borderId="6" xfId="0" applyNumberFormat="1" applyFont="1" applyFill="1" applyBorder="1" applyAlignment="1">
      <alignment horizontal="center" vertical="top" wrapText="1"/>
    </xf>
    <xf numFmtId="165" fontId="3" fillId="0" borderId="1" xfId="0" applyNumberFormat="1" applyFont="1" applyBorder="1" applyAlignment="1">
      <alignment vertical="top" wrapText="1"/>
    </xf>
    <xf numFmtId="165" fontId="3" fillId="0" borderId="29" xfId="0" applyNumberFormat="1" applyFont="1" applyBorder="1"/>
    <xf numFmtId="165" fontId="9" fillId="3" borderId="3" xfId="0" applyNumberFormat="1" applyFont="1" applyFill="1" applyBorder="1" applyAlignment="1">
      <alignment horizontal="center" vertical="top" wrapText="1"/>
    </xf>
    <xf numFmtId="165" fontId="4" fillId="3" borderId="5" xfId="0" applyNumberFormat="1" applyFont="1" applyFill="1" applyBorder="1" applyAlignment="1">
      <alignment vertical="center" wrapText="1"/>
    </xf>
    <xf numFmtId="165" fontId="4" fillId="0" borderId="1" xfId="0" applyNumberFormat="1" applyFont="1" applyFill="1" applyBorder="1" applyAlignment="1">
      <alignment horizontal="center" vertical="center" wrapText="1"/>
    </xf>
    <xf numFmtId="165" fontId="4" fillId="3" borderId="6" xfId="0" applyNumberFormat="1" applyFont="1" applyFill="1" applyBorder="1" applyAlignment="1">
      <alignment horizontal="center" vertical="top"/>
    </xf>
    <xf numFmtId="165" fontId="4" fillId="3" borderId="5" xfId="0" applyNumberFormat="1" applyFont="1" applyFill="1" applyBorder="1" applyAlignment="1">
      <alignment horizontal="center" vertical="top"/>
    </xf>
    <xf numFmtId="165" fontId="16" fillId="3" borderId="7"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top" wrapText="1"/>
    </xf>
    <xf numFmtId="165" fontId="4" fillId="3" borderId="0" xfId="0" applyNumberFormat="1" applyFont="1" applyFill="1" applyAlignment="1">
      <alignment horizontal="center"/>
    </xf>
    <xf numFmtId="0" fontId="3" fillId="0" borderId="1" xfId="0" applyFont="1" applyBorder="1" applyAlignment="1">
      <alignment vertical="top" wrapText="1"/>
    </xf>
    <xf numFmtId="0" fontId="3" fillId="8" borderId="1" xfId="0" applyFont="1" applyFill="1" applyBorder="1" applyAlignment="1">
      <alignment horizontal="center" vertical="top" wrapText="1"/>
    </xf>
    <xf numFmtId="0" fontId="3" fillId="8" borderId="1" xfId="0" applyFont="1" applyFill="1" applyBorder="1" applyAlignment="1">
      <alignment vertical="top" wrapText="1"/>
    </xf>
    <xf numFmtId="165" fontId="3" fillId="0" borderId="1" xfId="0" applyNumberFormat="1" applyFont="1" applyBorder="1" applyAlignment="1">
      <alignment vertical="top"/>
    </xf>
    <xf numFmtId="0" fontId="1" fillId="0" borderId="1" xfId="0" applyFont="1" applyBorder="1" applyAlignment="1">
      <alignment vertical="top" wrapText="1"/>
    </xf>
    <xf numFmtId="0" fontId="3" fillId="3" borderId="1" xfId="2" applyFont="1" applyFill="1" applyBorder="1" applyAlignment="1" applyProtection="1">
      <alignment vertical="top" wrapText="1"/>
      <protection hidden="1"/>
    </xf>
    <xf numFmtId="0" fontId="1" fillId="0" borderId="0" xfId="0" applyFont="1"/>
    <xf numFmtId="1" fontId="3" fillId="3" borderId="1" xfId="0" applyNumberFormat="1" applyFont="1" applyFill="1"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1" fillId="3" borderId="1" xfId="5" applyFont="1" applyFill="1" applyBorder="1" applyAlignment="1">
      <alignment horizontal="left" vertical="top" wrapText="1"/>
    </xf>
    <xf numFmtId="0" fontId="1" fillId="3" borderId="1" xfId="5" applyNumberFormat="1" applyFont="1" applyFill="1" applyBorder="1" applyAlignment="1">
      <alignment horizontal="center" vertical="top" wrapText="1"/>
    </xf>
    <xf numFmtId="0" fontId="1" fillId="3" borderId="1" xfId="5" applyNumberFormat="1" applyFont="1" applyFill="1" applyBorder="1" applyAlignment="1">
      <alignment horizontal="center" vertical="top"/>
    </xf>
    <xf numFmtId="0" fontId="3" fillId="3" borderId="1" xfId="2" applyFont="1" applyFill="1" applyBorder="1" applyAlignment="1" applyProtection="1">
      <alignment horizontal="left" vertical="top" wrapText="1"/>
      <protection hidden="1"/>
    </xf>
    <xf numFmtId="0" fontId="3" fillId="0" borderId="1" xfId="0" applyFont="1" applyFill="1" applyBorder="1" applyAlignment="1">
      <alignment vertical="top" wrapText="1"/>
    </xf>
    <xf numFmtId="4" fontId="3" fillId="0" borderId="1" xfId="3" applyNumberFormat="1" applyFont="1" applyBorder="1" applyAlignment="1" applyProtection="1">
      <alignment horizontal="right" vertical="top"/>
      <protection locked="0"/>
    </xf>
    <xf numFmtId="0" fontId="35" fillId="0" borderId="1" xfId="0" applyFont="1" applyFill="1" applyBorder="1" applyAlignment="1">
      <alignment vertical="top" wrapText="1"/>
    </xf>
    <xf numFmtId="166" fontId="35" fillId="0" borderId="1" xfId="0" applyNumberFormat="1" applyFont="1" applyBorder="1" applyAlignment="1">
      <alignment horizontal="right" vertical="top"/>
    </xf>
    <xf numFmtId="4" fontId="3" fillId="0" borderId="1" xfId="0" applyNumberFormat="1" applyFont="1" applyBorder="1" applyAlignment="1">
      <alignment horizontal="right" vertical="top"/>
    </xf>
    <xf numFmtId="0" fontId="1" fillId="3" borderId="1" xfId="0" applyFont="1" applyFill="1" applyBorder="1" applyAlignment="1">
      <alignment vertical="top" wrapText="1"/>
    </xf>
    <xf numFmtId="164" fontId="1" fillId="0" borderId="1" xfId="1" applyFont="1" applyBorder="1" applyAlignment="1">
      <alignment horizontal="right" vertical="top"/>
    </xf>
    <xf numFmtId="0" fontId="3" fillId="3" borderId="1" xfId="0" applyFont="1" applyFill="1" applyBorder="1" applyAlignment="1">
      <alignment vertical="top" wrapText="1"/>
    </xf>
    <xf numFmtId="0" fontId="35" fillId="0" borderId="1" xfId="0" applyFont="1" applyBorder="1" applyAlignment="1">
      <alignment vertical="top" wrapText="1"/>
    </xf>
    <xf numFmtId="2" fontId="1" fillId="0" borderId="1" xfId="0" applyNumberFormat="1" applyFont="1" applyBorder="1" applyAlignment="1">
      <alignment horizontal="right" vertical="top"/>
    </xf>
    <xf numFmtId="0" fontId="35" fillId="3" borderId="1" xfId="0" applyFont="1" applyFill="1" applyBorder="1" applyAlignment="1">
      <alignment vertical="top" wrapText="1"/>
    </xf>
    <xf numFmtId="2" fontId="1" fillId="3" borderId="1" xfId="0" applyNumberFormat="1" applyFont="1" applyFill="1" applyBorder="1" applyAlignment="1">
      <alignment horizontal="right" vertical="top"/>
    </xf>
    <xf numFmtId="1" fontId="9" fillId="11" borderId="1" xfId="0" applyNumberFormat="1" applyFont="1" applyFill="1" applyBorder="1" applyAlignment="1">
      <alignment horizontal="center" vertical="top" wrapText="1"/>
    </xf>
    <xf numFmtId="165" fontId="3" fillId="3" borderId="1" xfId="0" applyNumberFormat="1" applyFont="1" applyFill="1" applyBorder="1" applyAlignment="1">
      <alignment vertical="top"/>
    </xf>
    <xf numFmtId="0" fontId="3" fillId="3" borderId="1" xfId="0" applyFont="1" applyFill="1" applyBorder="1" applyAlignment="1">
      <alignment horizontal="left" vertical="top" wrapText="1"/>
    </xf>
    <xf numFmtId="165" fontId="3" fillId="3" borderId="1"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165" fontId="3" fillId="0" borderId="1" xfId="0" applyNumberFormat="1" applyFont="1" applyBorder="1" applyAlignment="1">
      <alignment horizontal="center" vertical="top" wrapText="1"/>
    </xf>
    <xf numFmtId="1" fontId="3" fillId="3" borderId="1" xfId="0" applyNumberFormat="1" applyFont="1" applyFill="1" applyBorder="1" applyAlignment="1">
      <alignment horizontal="right" vertical="top" wrapText="1"/>
    </xf>
    <xf numFmtId="0" fontId="1" fillId="3" borderId="4" xfId="5" applyFont="1" applyFill="1" applyBorder="1" applyAlignment="1">
      <alignment horizontal="left" vertical="top" wrapText="1"/>
    </xf>
    <xf numFmtId="0" fontId="3" fillId="3" borderId="4" xfId="2" applyFont="1" applyFill="1" applyBorder="1" applyAlignment="1" applyProtection="1">
      <alignment vertical="top" wrapText="1"/>
      <protection hidden="1"/>
    </xf>
    <xf numFmtId="165" fontId="3" fillId="0" borderId="0" xfId="0" applyNumberFormat="1" applyFont="1" applyFill="1" applyAlignment="1">
      <alignment horizontal="left" vertical="top" wrapText="1"/>
    </xf>
    <xf numFmtId="165" fontId="3" fillId="0" borderId="0" xfId="0" applyNumberFormat="1" applyFont="1" applyAlignment="1">
      <alignment wrapText="1"/>
    </xf>
    <xf numFmtId="0" fontId="5" fillId="0" borderId="1" xfId="0" applyFont="1" applyBorder="1" applyAlignment="1">
      <alignment horizontal="left" vertical="top" wrapText="1"/>
    </xf>
    <xf numFmtId="165" fontId="3" fillId="12" borderId="19" xfId="4" applyNumberFormat="1" applyFont="1" applyFill="1" applyBorder="1" applyAlignment="1">
      <alignment horizontal="center" vertical="top"/>
    </xf>
    <xf numFmtId="165" fontId="3" fillId="0" borderId="0" xfId="0" applyNumberFormat="1" applyFont="1" applyFill="1" applyAlignment="1">
      <alignment vertical="top"/>
    </xf>
    <xf numFmtId="165" fontId="3" fillId="0" borderId="0" xfId="0" applyNumberFormat="1" applyFont="1" applyFill="1" applyAlignment="1">
      <alignment horizontal="center" vertical="top"/>
    </xf>
    <xf numFmtId="1" fontId="3" fillId="0" borderId="0" xfId="0" applyNumberFormat="1" applyFont="1" applyFill="1" applyAlignment="1">
      <alignment horizontal="center" vertical="top"/>
    </xf>
    <xf numFmtId="165" fontId="3" fillId="12" borderId="10" xfId="4" applyNumberFormat="1" applyFont="1" applyFill="1" applyBorder="1" applyAlignment="1">
      <alignment horizontal="center" vertical="top"/>
    </xf>
    <xf numFmtId="0" fontId="3" fillId="3" borderId="1" xfId="2" applyFont="1" applyFill="1" applyBorder="1" applyAlignment="1" applyProtection="1">
      <alignment vertical="top" wrapText="1"/>
      <protection hidden="1"/>
    </xf>
    <xf numFmtId="49" fontId="9" fillId="3" borderId="1" xfId="0" applyNumberFormat="1" applyFont="1" applyFill="1" applyBorder="1" applyAlignment="1">
      <alignment horizontal="center" vertical="top" wrapText="1"/>
    </xf>
    <xf numFmtId="165" fontId="3" fillId="0" borderId="0" xfId="0" applyNumberFormat="1" applyFont="1"/>
    <xf numFmtId="165" fontId="3" fillId="3"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0" borderId="5" xfId="0"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165" fontId="3" fillId="3" borderId="1" xfId="0" applyNumberFormat="1" applyFont="1" applyFill="1" applyBorder="1" applyAlignment="1">
      <alignment horizontal="center" vertical="top"/>
    </xf>
    <xf numFmtId="165" fontId="4" fillId="3" borderId="1" xfId="0" applyNumberFormat="1" applyFont="1" applyFill="1" applyBorder="1" applyAlignment="1">
      <alignment horizontal="center" vertical="top"/>
    </xf>
    <xf numFmtId="165" fontId="3" fillId="3" borderId="4" xfId="0"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165" fontId="3" fillId="0" borderId="5" xfId="0" applyNumberFormat="1" applyFont="1" applyFill="1" applyBorder="1" applyAlignment="1">
      <alignment vertical="top" wrapText="1"/>
    </xf>
    <xf numFmtId="165" fontId="3" fillId="3" borderId="5" xfId="0" applyNumberFormat="1" applyFont="1" applyFill="1" applyBorder="1" applyAlignment="1">
      <alignment horizontal="center" vertical="top"/>
    </xf>
    <xf numFmtId="165" fontId="3" fillId="3" borderId="3" xfId="0" applyNumberFormat="1" applyFont="1" applyFill="1" applyBorder="1" applyAlignment="1">
      <alignment horizontal="center" vertical="top"/>
    </xf>
    <xf numFmtId="165" fontId="3" fillId="3" borderId="1" xfId="0" applyNumberFormat="1" applyFont="1" applyFill="1" applyBorder="1" applyAlignment="1">
      <alignment vertical="top" wrapText="1"/>
    </xf>
    <xf numFmtId="165" fontId="3" fillId="3" borderId="4" xfId="0" applyNumberFormat="1" applyFont="1" applyFill="1" applyBorder="1" applyAlignment="1">
      <alignment horizontal="center" vertical="top"/>
    </xf>
    <xf numFmtId="165" fontId="3" fillId="3" borderId="7" xfId="0" applyNumberFormat="1" applyFont="1" applyFill="1" applyBorder="1" applyAlignment="1">
      <alignment horizontal="center" vertical="top"/>
    </xf>
    <xf numFmtId="165" fontId="3" fillId="3" borderId="6" xfId="0" applyNumberFormat="1" applyFont="1" applyFill="1" applyBorder="1" applyAlignment="1">
      <alignment horizontal="center" vertical="top"/>
    </xf>
    <xf numFmtId="165" fontId="3" fillId="3" borderId="4" xfId="0" applyNumberFormat="1" applyFont="1" applyFill="1" applyBorder="1" applyAlignment="1">
      <alignment vertical="top" wrapText="1"/>
    </xf>
    <xf numFmtId="165" fontId="3" fillId="3" borderId="5"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 fontId="3" fillId="3" borderId="1"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3" fillId="3" borderId="29" xfId="0" applyNumberFormat="1" applyFont="1" applyFill="1" applyBorder="1" applyAlignment="1">
      <alignment horizontal="center" vertical="top" wrapText="1"/>
    </xf>
    <xf numFmtId="1" fontId="3" fillId="3" borderId="10" xfId="0" applyNumberFormat="1" applyFont="1" applyFill="1" applyBorder="1" applyAlignment="1">
      <alignment horizontal="center" vertical="top" wrapText="1"/>
    </xf>
    <xf numFmtId="0" fontId="3" fillId="3" borderId="7" xfId="0" applyFont="1" applyFill="1" applyBorder="1" applyAlignment="1">
      <alignment horizontal="left" vertical="top" wrapText="1"/>
    </xf>
    <xf numFmtId="0" fontId="3" fillId="3" borderId="5" xfId="0" applyFont="1" applyFill="1" applyBorder="1" applyAlignment="1">
      <alignment horizontal="left" vertical="top" wrapText="1"/>
    </xf>
    <xf numFmtId="1" fontId="3" fillId="3" borderId="5"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 fontId="3" fillId="3" borderId="4" xfId="0" applyNumberFormat="1" applyFont="1" applyFill="1" applyBorder="1" applyAlignment="1">
      <alignment horizontal="center" vertical="top" wrapText="1"/>
    </xf>
    <xf numFmtId="165" fontId="9" fillId="7" borderId="1" xfId="0" applyNumberFormat="1" applyFont="1" applyFill="1" applyBorder="1" applyAlignment="1">
      <alignment horizontal="center" vertical="top" wrapText="1"/>
    </xf>
    <xf numFmtId="1" fontId="3" fillId="3" borderId="28" xfId="0" applyNumberFormat="1" applyFont="1" applyFill="1" applyBorder="1" applyAlignment="1">
      <alignment horizontal="center" vertical="top" wrapText="1"/>
    </xf>
    <xf numFmtId="165" fontId="3" fillId="3" borderId="6" xfId="0" applyNumberFormat="1" applyFont="1" applyFill="1" applyBorder="1" applyAlignment="1">
      <alignment horizontal="left" vertical="top" wrapText="1"/>
    </xf>
    <xf numFmtId="165" fontId="3" fillId="3" borderId="7" xfId="0" applyNumberFormat="1" applyFont="1" applyFill="1" applyBorder="1" applyAlignment="1">
      <alignment vertical="top" wrapText="1"/>
    </xf>
    <xf numFmtId="165" fontId="3" fillId="3" borderId="7"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165" fontId="3" fillId="0" borderId="1" xfId="0" applyNumberFormat="1" applyFont="1" applyBorder="1" applyAlignment="1">
      <alignment horizontal="left" vertical="top" wrapText="1"/>
    </xf>
    <xf numFmtId="165" fontId="3" fillId="0" borderId="1" xfId="0" applyNumberFormat="1" applyFont="1" applyBorder="1" applyAlignment="1">
      <alignment vertical="top" wrapText="1"/>
    </xf>
    <xf numFmtId="0" fontId="3" fillId="0" borderId="1" xfId="0" applyFont="1" applyBorder="1" applyAlignment="1">
      <alignment vertical="top" wrapText="1"/>
    </xf>
    <xf numFmtId="165" fontId="3" fillId="0" borderId="5" xfId="0" applyNumberFormat="1" applyFont="1" applyBorder="1" applyAlignment="1">
      <alignment horizontal="center" vertical="top" wrapText="1"/>
    </xf>
    <xf numFmtId="0" fontId="3" fillId="8" borderId="1" xfId="0" applyFont="1" applyFill="1" applyBorder="1" applyAlignment="1">
      <alignment vertical="top" wrapText="1"/>
    </xf>
    <xf numFmtId="165" fontId="3" fillId="11" borderId="1" xfId="0" applyNumberFormat="1" applyFont="1" applyFill="1" applyBorder="1" applyAlignment="1">
      <alignment horizontal="center" vertical="top" wrapText="1"/>
    </xf>
    <xf numFmtId="165" fontId="4" fillId="11" borderId="1" xfId="0" applyNumberFormat="1" applyFont="1" applyFill="1" applyBorder="1" applyAlignment="1">
      <alignment horizontal="center" vertical="top" wrapText="1"/>
    </xf>
    <xf numFmtId="165" fontId="4" fillId="11" borderId="1" xfId="0" applyNumberFormat="1" applyFont="1" applyFill="1" applyBorder="1" applyAlignment="1">
      <alignment horizontal="center" vertical="top"/>
    </xf>
    <xf numFmtId="165" fontId="4" fillId="11" borderId="2" xfId="0" applyNumberFormat="1" applyFont="1" applyFill="1" applyBorder="1" applyAlignment="1">
      <alignment horizontal="center" vertical="top" wrapText="1"/>
    </xf>
    <xf numFmtId="165" fontId="4" fillId="11" borderId="2" xfId="0" applyNumberFormat="1" applyFont="1" applyFill="1" applyBorder="1" applyAlignment="1">
      <alignment horizontal="center" vertical="top"/>
    </xf>
    <xf numFmtId="165" fontId="4" fillId="11" borderId="3" xfId="0" applyNumberFormat="1" applyFont="1" applyFill="1" applyBorder="1" applyAlignment="1">
      <alignment horizontal="center" vertical="top"/>
    </xf>
    <xf numFmtId="165" fontId="4" fillId="11" borderId="3" xfId="0" applyNumberFormat="1" applyFont="1" applyFill="1" applyBorder="1" applyAlignment="1">
      <alignment horizontal="center" vertical="top" wrapText="1"/>
    </xf>
    <xf numFmtId="0" fontId="3" fillId="0" borderId="0" xfId="0" applyFont="1" applyAlignment="1">
      <alignment vertical="top" wrapText="1"/>
    </xf>
    <xf numFmtId="165" fontId="3" fillId="0" borderId="1" xfId="0" applyNumberFormat="1" applyFont="1" applyBorder="1" applyAlignment="1">
      <alignment vertical="top"/>
    </xf>
    <xf numFmtId="165" fontId="16" fillId="11" borderId="2" xfId="0" applyNumberFormat="1" applyFont="1" applyFill="1" applyBorder="1" applyAlignment="1">
      <alignment horizontal="left" vertical="top" wrapText="1"/>
    </xf>
    <xf numFmtId="165" fontId="16" fillId="11" borderId="3" xfId="0" applyNumberFormat="1" applyFont="1" applyFill="1" applyBorder="1" applyAlignment="1">
      <alignment horizontal="left" vertical="top" wrapText="1"/>
    </xf>
    <xf numFmtId="1" fontId="9" fillId="11" borderId="2" xfId="0" applyNumberFormat="1" applyFont="1" applyFill="1" applyBorder="1" applyAlignment="1">
      <alignment horizontal="center" vertical="top" wrapText="1"/>
    </xf>
    <xf numFmtId="1" fontId="9" fillId="11" borderId="3" xfId="0" applyNumberFormat="1" applyFont="1" applyFill="1" applyBorder="1" applyAlignment="1">
      <alignment horizontal="center" vertical="top" wrapText="1"/>
    </xf>
    <xf numFmtId="0" fontId="1" fillId="0" borderId="1" xfId="0" applyFont="1" applyBorder="1" applyAlignment="1">
      <alignment vertical="top"/>
    </xf>
    <xf numFmtId="0" fontId="1" fillId="0" borderId="1" xfId="0" applyFont="1" applyBorder="1" applyAlignment="1">
      <alignment vertical="top" wrapText="1"/>
    </xf>
    <xf numFmtId="0" fontId="3" fillId="3" borderId="1" xfId="2" applyFont="1" applyFill="1" applyBorder="1" applyAlignment="1" applyProtection="1">
      <alignment vertical="top" wrapText="1"/>
      <protection hidden="1"/>
    </xf>
    <xf numFmtId="0" fontId="3" fillId="5" borderId="1" xfId="2" applyFont="1" applyFill="1" applyBorder="1" applyAlignment="1" applyProtection="1">
      <alignment vertical="top" wrapText="1"/>
      <protection hidden="1"/>
    </xf>
    <xf numFmtId="14" fontId="3" fillId="3" borderId="1" xfId="2" applyNumberFormat="1" applyFont="1" applyFill="1" applyBorder="1" applyAlignment="1" applyProtection="1">
      <alignment vertical="top"/>
      <protection hidden="1"/>
    </xf>
    <xf numFmtId="14" fontId="3" fillId="0" borderId="1" xfId="2" applyNumberFormat="1" applyFont="1" applyBorder="1" applyAlignment="1" applyProtection="1">
      <alignment vertical="top" wrapText="1"/>
      <protection hidden="1"/>
    </xf>
    <xf numFmtId="0" fontId="3" fillId="0" borderId="1" xfId="2" applyFont="1" applyBorder="1" applyAlignment="1" applyProtection="1">
      <alignment vertical="top" wrapText="1"/>
      <protection hidden="1"/>
    </xf>
    <xf numFmtId="165" fontId="3" fillId="3" borderId="49" xfId="0" applyNumberFormat="1" applyFont="1" applyFill="1" applyBorder="1" applyAlignment="1">
      <alignment horizontal="center" vertical="top"/>
    </xf>
    <xf numFmtId="167" fontId="1" fillId="0" borderId="1" xfId="0" applyNumberFormat="1" applyFont="1" applyBorder="1" applyAlignment="1">
      <alignment vertical="top"/>
    </xf>
    <xf numFmtId="167" fontId="3" fillId="0" borderId="1" xfId="2" applyNumberFormat="1" applyFont="1" applyFill="1" applyBorder="1" applyAlignment="1" applyProtection="1">
      <alignment vertical="top"/>
      <protection hidden="1"/>
    </xf>
    <xf numFmtId="167" fontId="1" fillId="0" borderId="1" xfId="0" applyNumberFormat="1" applyFont="1" applyFill="1" applyBorder="1" applyAlignment="1">
      <alignment vertical="top"/>
    </xf>
    <xf numFmtId="167" fontId="1" fillId="0" borderId="1" xfId="0" applyNumberFormat="1" applyFont="1" applyBorder="1" applyAlignment="1">
      <alignment vertical="top" wrapText="1"/>
    </xf>
    <xf numFmtId="165" fontId="3" fillId="12" borderId="1" xfId="4" applyNumberFormat="1" applyFont="1" applyFill="1" applyBorder="1" applyAlignment="1">
      <alignment horizontal="center" vertical="top"/>
    </xf>
    <xf numFmtId="167" fontId="9" fillId="3" borderId="1" xfId="0" applyNumberFormat="1" applyFont="1" applyFill="1" applyBorder="1" applyAlignment="1">
      <alignment horizontal="center" vertical="top" wrapText="1"/>
    </xf>
    <xf numFmtId="167" fontId="4" fillId="3" borderId="1" xfId="0" applyNumberFormat="1" applyFont="1" applyFill="1" applyBorder="1" applyAlignment="1">
      <alignment horizontal="center" vertical="top"/>
    </xf>
    <xf numFmtId="167" fontId="4" fillId="3" borderId="7" xfId="0" applyNumberFormat="1" applyFont="1" applyFill="1" applyBorder="1" applyAlignment="1">
      <alignment horizontal="center" vertical="top"/>
    </xf>
    <xf numFmtId="167" fontId="4" fillId="3" borderId="5" xfId="0" applyNumberFormat="1" applyFont="1" applyFill="1" applyBorder="1" applyAlignment="1">
      <alignment horizontal="center" vertical="top"/>
    </xf>
    <xf numFmtId="167" fontId="4" fillId="11" borderId="2" xfId="0" applyNumberFormat="1" applyFont="1" applyFill="1" applyBorder="1" applyAlignment="1">
      <alignment horizontal="center" vertical="top"/>
    </xf>
    <xf numFmtId="167" fontId="4" fillId="11" borderId="3" xfId="0" applyNumberFormat="1" applyFont="1" applyFill="1" applyBorder="1" applyAlignment="1">
      <alignment horizontal="center" vertical="top"/>
    </xf>
    <xf numFmtId="167" fontId="3" fillId="3" borderId="1" xfId="0" applyNumberFormat="1" applyFont="1" applyFill="1" applyBorder="1" applyAlignment="1">
      <alignment horizontal="center" vertical="top" wrapText="1"/>
    </xf>
    <xf numFmtId="167" fontId="3" fillId="3" borderId="4" xfId="0" applyNumberFormat="1" applyFont="1" applyFill="1" applyBorder="1" applyAlignment="1">
      <alignment horizontal="center" vertical="top"/>
    </xf>
    <xf numFmtId="167" fontId="3" fillId="3" borderId="4" xfId="0" applyNumberFormat="1" applyFont="1" applyFill="1" applyBorder="1" applyAlignment="1">
      <alignment horizontal="center" vertical="top" wrapText="1"/>
    </xf>
    <xf numFmtId="167" fontId="3" fillId="3" borderId="5" xfId="0" applyNumberFormat="1" applyFont="1" applyFill="1" applyBorder="1" applyAlignment="1">
      <alignment horizontal="center" vertical="top" wrapText="1"/>
    </xf>
    <xf numFmtId="167" fontId="3" fillId="3" borderId="3" xfId="0" applyNumberFormat="1" applyFont="1" applyFill="1" applyBorder="1" applyAlignment="1">
      <alignment horizontal="center" vertical="top"/>
    </xf>
    <xf numFmtId="167" fontId="3" fillId="3" borderId="1" xfId="0" applyNumberFormat="1" applyFont="1" applyFill="1" applyBorder="1" applyAlignment="1">
      <alignment horizontal="center" vertical="top"/>
    </xf>
    <xf numFmtId="167" fontId="3" fillId="3" borderId="5" xfId="0" applyNumberFormat="1" applyFont="1" applyFill="1" applyBorder="1" applyAlignment="1">
      <alignment horizontal="center" vertical="top"/>
    </xf>
    <xf numFmtId="167" fontId="3" fillId="0" borderId="1" xfId="0" applyNumberFormat="1" applyFont="1" applyBorder="1" applyAlignment="1">
      <alignment horizontal="center" vertical="top"/>
    </xf>
    <xf numFmtId="165" fontId="3" fillId="3" borderId="1" xfId="4" applyNumberFormat="1" applyFont="1" applyFill="1" applyBorder="1" applyAlignment="1">
      <alignment horizontal="center" vertical="top"/>
    </xf>
    <xf numFmtId="167" fontId="3" fillId="3" borderId="29" xfId="0" applyNumberFormat="1" applyFont="1" applyFill="1" applyBorder="1" applyAlignment="1">
      <alignment horizontal="center" vertical="top"/>
    </xf>
    <xf numFmtId="167" fontId="3" fillId="3" borderId="7" xfId="0" applyNumberFormat="1" applyFont="1" applyFill="1" applyBorder="1" applyAlignment="1">
      <alignment horizontal="center" vertical="top"/>
    </xf>
    <xf numFmtId="167" fontId="9" fillId="7" borderId="1" xfId="0" applyNumberFormat="1" applyFont="1" applyFill="1" applyBorder="1" applyAlignment="1">
      <alignment horizontal="center" vertical="top"/>
    </xf>
    <xf numFmtId="167" fontId="2" fillId="7" borderId="1" xfId="0" applyNumberFormat="1" applyFont="1" applyFill="1" applyBorder="1" applyAlignment="1">
      <alignment vertical="top"/>
    </xf>
    <xf numFmtId="167" fontId="3" fillId="3" borderId="1" xfId="4" applyNumberFormat="1" applyFont="1" applyFill="1" applyBorder="1" applyAlignment="1">
      <alignment horizontal="center" vertical="top"/>
    </xf>
    <xf numFmtId="1" fontId="3" fillId="3" borderId="1" xfId="0" applyNumberFormat="1" applyFont="1" applyFill="1" applyBorder="1" applyAlignment="1">
      <alignment horizontal="left" vertical="top" wrapText="1"/>
    </xf>
    <xf numFmtId="167" fontId="1" fillId="3" borderId="1" xfId="5" applyNumberFormat="1" applyFont="1" applyFill="1" applyBorder="1" applyAlignment="1">
      <alignment horizontal="center" vertical="top"/>
    </xf>
    <xf numFmtId="0" fontId="1" fillId="3" borderId="4" xfId="5" applyNumberFormat="1" applyFont="1" applyFill="1" applyBorder="1" applyAlignment="1">
      <alignment horizontal="center" vertical="top"/>
    </xf>
    <xf numFmtId="167" fontId="1" fillId="0" borderId="1" xfId="0" applyNumberFormat="1" applyFont="1" applyBorder="1" applyAlignment="1">
      <alignment horizontal="center" vertical="top"/>
    </xf>
    <xf numFmtId="167" fontId="3" fillId="0" borderId="1" xfId="2" applyNumberFormat="1" applyFont="1" applyFill="1" applyBorder="1" applyAlignment="1" applyProtection="1">
      <alignment horizontal="center" vertical="top"/>
      <protection hidden="1"/>
    </xf>
    <xf numFmtId="167" fontId="1" fillId="0" borderId="1" xfId="0" applyNumberFormat="1" applyFont="1" applyFill="1" applyBorder="1" applyAlignment="1">
      <alignment horizontal="center" vertical="top"/>
    </xf>
    <xf numFmtId="167" fontId="1" fillId="0" borderId="4" xfId="0" applyNumberFormat="1" applyFont="1" applyBorder="1" applyAlignment="1">
      <alignment horizontal="center" vertical="top"/>
    </xf>
    <xf numFmtId="167" fontId="3" fillId="0" borderId="4" xfId="2" applyNumberFormat="1" applyFont="1" applyFill="1" applyBorder="1" applyAlignment="1" applyProtection="1">
      <alignment horizontal="center" vertical="top"/>
      <protection hidden="1"/>
    </xf>
    <xf numFmtId="167" fontId="4" fillId="11" borderId="2" xfId="0" applyNumberFormat="1" applyFont="1" applyFill="1" applyBorder="1" applyAlignment="1">
      <alignment vertical="top"/>
    </xf>
    <xf numFmtId="1" fontId="9" fillId="11" borderId="10" xfId="0" applyNumberFormat="1" applyFont="1" applyFill="1" applyBorder="1" applyAlignment="1">
      <alignment vertical="top"/>
    </xf>
    <xf numFmtId="1" fontId="9" fillId="11" borderId="2" xfId="0" applyNumberFormat="1" applyFont="1" applyFill="1" applyBorder="1" applyAlignment="1">
      <alignment vertical="top"/>
    </xf>
    <xf numFmtId="1" fontId="3" fillId="0" borderId="1" xfId="0" applyNumberFormat="1" applyFont="1" applyBorder="1" applyAlignment="1">
      <alignment horizontal="center" vertical="top"/>
    </xf>
    <xf numFmtId="167" fontId="1" fillId="0" borderId="1" xfId="0" applyNumberFormat="1" applyFont="1" applyBorder="1" applyAlignment="1">
      <alignment horizontal="right" vertical="top"/>
    </xf>
    <xf numFmtId="167" fontId="1" fillId="0" borderId="1" xfId="1" applyNumberFormat="1" applyFont="1" applyBorder="1" applyAlignment="1">
      <alignment horizontal="right" vertical="top"/>
    </xf>
    <xf numFmtId="167" fontId="3" fillId="0" borderId="1" xfId="0" applyNumberFormat="1" applyFont="1" applyBorder="1" applyAlignment="1">
      <alignment horizontal="right" vertical="top"/>
    </xf>
    <xf numFmtId="167" fontId="1" fillId="3" borderId="1" xfId="0" applyNumberFormat="1" applyFont="1" applyFill="1" applyBorder="1" applyAlignment="1">
      <alignment horizontal="right" vertical="top"/>
    </xf>
    <xf numFmtId="167" fontId="3" fillId="3" borderId="1" xfId="0" applyNumberFormat="1" applyFont="1" applyFill="1" applyBorder="1" applyAlignment="1">
      <alignment horizontal="right" vertical="top"/>
    </xf>
    <xf numFmtId="165" fontId="9" fillId="7" borderId="1" xfId="0" applyNumberFormat="1" applyFont="1" applyFill="1" applyBorder="1" applyAlignment="1">
      <alignment horizontal="center" vertical="top"/>
    </xf>
    <xf numFmtId="165" fontId="3" fillId="0" borderId="1" xfId="0" applyNumberFormat="1" applyFont="1" applyFill="1" applyBorder="1" applyAlignment="1">
      <alignment vertical="top" wrapText="1"/>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wrapText="1"/>
    </xf>
    <xf numFmtId="165" fontId="3" fillId="3" borderId="1" xfId="0" applyNumberFormat="1" applyFont="1" applyFill="1" applyBorder="1" applyAlignment="1">
      <alignment horizontal="left" vertical="top" wrapText="1"/>
    </xf>
    <xf numFmtId="1" fontId="3" fillId="3" borderId="4" xfId="0" applyNumberFormat="1" applyFont="1" applyFill="1" applyBorder="1" applyAlignment="1">
      <alignment horizontal="center" vertical="top" wrapText="1"/>
    </xf>
    <xf numFmtId="165" fontId="3" fillId="3" borderId="4"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0" fontId="1" fillId="3" borderId="1" xfId="5" applyNumberFormat="1" applyFont="1" applyFill="1" applyBorder="1" applyAlignment="1">
      <alignment horizontal="left" vertical="top" wrapText="1"/>
    </xf>
    <xf numFmtId="0" fontId="1" fillId="3" borderId="4" xfId="5" applyNumberFormat="1" applyFont="1" applyFill="1" applyBorder="1" applyAlignment="1">
      <alignment horizontal="left" vertical="top" wrapText="1"/>
    </xf>
    <xf numFmtId="165" fontId="3" fillId="0" borderId="7" xfId="0" applyNumberFormat="1" applyFont="1" applyBorder="1" applyAlignment="1">
      <alignment horizontal="left" vertical="top" wrapText="1"/>
    </xf>
    <xf numFmtId="0" fontId="3" fillId="8" borderId="1" xfId="0" applyFont="1" applyFill="1" applyBorder="1" applyAlignment="1">
      <alignment horizontal="left" vertical="top" wrapText="1"/>
    </xf>
    <xf numFmtId="167" fontId="3" fillId="12" borderId="4" xfId="4" applyNumberFormat="1" applyFont="1" applyFill="1" applyBorder="1" applyAlignment="1">
      <alignment horizontal="center" vertical="top"/>
    </xf>
    <xf numFmtId="167" fontId="3" fillId="12" borderId="50" xfId="4" applyNumberFormat="1" applyFont="1" applyFill="1" applyBorder="1" applyAlignment="1">
      <alignment horizontal="center" vertical="top"/>
    </xf>
    <xf numFmtId="165" fontId="3" fillId="12" borderId="50" xfId="4" applyNumberFormat="1" applyFont="1" applyFill="1" applyBorder="1" applyAlignment="1">
      <alignment horizontal="center" vertical="top"/>
    </xf>
    <xf numFmtId="165" fontId="38" fillId="14" borderId="1" xfId="4" applyNumberFormat="1" applyFont="1" applyFill="1" applyBorder="1" applyAlignment="1">
      <alignment horizontal="center" vertical="top"/>
    </xf>
    <xf numFmtId="165" fontId="38" fillId="12" borderId="1" xfId="4" applyNumberFormat="1" applyFont="1" applyFill="1" applyBorder="1" applyAlignment="1">
      <alignment horizontal="center" vertical="top"/>
    </xf>
    <xf numFmtId="165" fontId="3" fillId="0" borderId="1"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 fontId="3" fillId="3" borderId="1" xfId="0" applyNumberFormat="1" applyFont="1" applyFill="1" applyBorder="1" applyAlignment="1">
      <alignment horizontal="right" vertical="top" wrapText="1"/>
    </xf>
    <xf numFmtId="165" fontId="3" fillId="0" borderId="1" xfId="0" applyNumberFormat="1" applyFont="1" applyFill="1" applyBorder="1" applyAlignment="1">
      <alignment vertical="top" wrapText="1"/>
    </xf>
    <xf numFmtId="165" fontId="3" fillId="3" borderId="5"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3" fillId="0" borderId="1" xfId="0" applyNumberFormat="1" applyFont="1" applyBorder="1" applyAlignment="1">
      <alignment horizontal="center" vertical="top" wrapText="1"/>
    </xf>
    <xf numFmtId="0" fontId="5" fillId="3" borderId="1" xfId="0" applyFont="1" applyFill="1" applyBorder="1" applyAlignment="1">
      <alignment horizontal="left" vertical="top" wrapText="1"/>
    </xf>
    <xf numFmtId="14" fontId="3" fillId="3" borderId="1" xfId="2" applyNumberFormat="1" applyFont="1" applyFill="1" applyBorder="1" applyAlignment="1" applyProtection="1">
      <alignment vertical="top" wrapText="1"/>
      <protection hidden="1"/>
    </xf>
    <xf numFmtId="1" fontId="3" fillId="3" borderId="4" xfId="0" applyNumberFormat="1" applyFont="1" applyFill="1" applyBorder="1" applyAlignment="1">
      <alignment horizontal="center" vertical="top" wrapText="1"/>
    </xf>
    <xf numFmtId="165" fontId="3" fillId="3" borderId="1" xfId="0" applyNumberFormat="1" applyFont="1" applyFill="1" applyBorder="1" applyAlignment="1">
      <alignment horizontal="left" vertical="top" wrapText="1"/>
    </xf>
    <xf numFmtId="0" fontId="1" fillId="0" borderId="1" xfId="0" applyFont="1" applyBorder="1" applyAlignment="1">
      <alignment horizontal="center" vertical="top"/>
    </xf>
    <xf numFmtId="0" fontId="1" fillId="3" borderId="1" xfId="0" applyFont="1" applyFill="1" applyBorder="1" applyAlignment="1">
      <alignment horizontal="center" vertical="top"/>
    </xf>
    <xf numFmtId="165" fontId="3" fillId="3" borderId="1" xfId="0" applyNumberFormat="1" applyFont="1" applyFill="1" applyBorder="1" applyAlignment="1">
      <alignment horizontal="left" vertical="top" wrapText="1"/>
    </xf>
    <xf numFmtId="1" fontId="3" fillId="0" borderId="49" xfId="0" applyNumberFormat="1" applyFont="1" applyBorder="1" applyAlignment="1">
      <alignment horizontal="left" vertical="top" wrapText="1"/>
    </xf>
    <xf numFmtId="1" fontId="9" fillId="11" borderId="1" xfId="0" applyNumberFormat="1" applyFont="1" applyFill="1" applyBorder="1" applyAlignment="1">
      <alignment horizontal="left" vertical="top" wrapText="1"/>
    </xf>
    <xf numFmtId="1" fontId="9" fillId="11" borderId="1" xfId="0" applyNumberFormat="1" applyFont="1" applyFill="1" applyBorder="1" applyAlignment="1">
      <alignment horizontal="left" vertical="top"/>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wrapText="1"/>
    </xf>
    <xf numFmtId="165" fontId="3" fillId="3" borderId="4" xfId="0" applyNumberFormat="1" applyFont="1" applyFill="1" applyBorder="1" applyAlignment="1">
      <alignment horizontal="center" vertical="top" wrapText="1"/>
    </xf>
    <xf numFmtId="165" fontId="3" fillId="3" borderId="7" xfId="0" applyNumberFormat="1"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3" borderId="1" xfId="0" applyNumberFormat="1" applyFont="1" applyFill="1" applyBorder="1" applyAlignment="1">
      <alignment horizontal="left" vertical="top" wrapText="1"/>
    </xf>
    <xf numFmtId="1" fontId="9" fillId="13" borderId="1" xfId="0" applyNumberFormat="1" applyFont="1" applyFill="1" applyBorder="1" applyAlignment="1">
      <alignment horizontal="left" vertical="top" wrapText="1"/>
    </xf>
    <xf numFmtId="1" fontId="3" fillId="3" borderId="4"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3" fillId="3" borderId="5" xfId="0" applyNumberFormat="1" applyFont="1" applyFill="1" applyBorder="1" applyAlignment="1">
      <alignment horizontal="center" vertical="top" wrapText="1"/>
    </xf>
    <xf numFmtId="1" fontId="3" fillId="3" borderId="1" xfId="0" applyNumberFormat="1" applyFont="1" applyFill="1" applyBorder="1" applyAlignment="1">
      <alignment horizontal="right" vertical="top" wrapText="1"/>
    </xf>
    <xf numFmtId="165" fontId="3" fillId="0" borderId="1" xfId="0" applyNumberFormat="1" applyFont="1" applyFill="1" applyBorder="1" applyAlignment="1">
      <alignment vertical="top" wrapText="1"/>
    </xf>
    <xf numFmtId="165" fontId="3" fillId="0" borderId="4" xfId="0" applyNumberFormat="1" applyFont="1" applyFill="1" applyBorder="1" applyAlignment="1">
      <alignment horizontal="left" vertical="top" wrapText="1"/>
    </xf>
    <xf numFmtId="165" fontId="3" fillId="0" borderId="5" xfId="0" applyNumberFormat="1" applyFont="1" applyFill="1" applyBorder="1" applyAlignment="1">
      <alignment horizontal="left" vertical="top" wrapText="1"/>
    </xf>
    <xf numFmtId="165" fontId="9" fillId="0" borderId="0" xfId="0" applyNumberFormat="1" applyFont="1" applyFill="1" applyAlignment="1">
      <alignment horizontal="center" vertical="top" wrapText="1"/>
    </xf>
    <xf numFmtId="1" fontId="9" fillId="3" borderId="1" xfId="0" applyNumberFormat="1" applyFont="1" applyFill="1" applyBorder="1" applyAlignment="1">
      <alignment horizontal="center" vertical="top" textRotation="90" wrapText="1"/>
    </xf>
    <xf numFmtId="165" fontId="9" fillId="3" borderId="1" xfId="0" applyNumberFormat="1" applyFont="1" applyFill="1" applyBorder="1" applyAlignment="1">
      <alignment horizontal="center" vertical="top" wrapText="1"/>
    </xf>
    <xf numFmtId="165" fontId="9" fillId="3" borderId="4" xfId="0" applyNumberFormat="1" applyFont="1" applyFill="1" applyBorder="1" applyAlignment="1">
      <alignment horizontal="center" vertical="top" wrapText="1"/>
    </xf>
    <xf numFmtId="165" fontId="9" fillId="3" borderId="5" xfId="0" applyNumberFormat="1" applyFont="1" applyFill="1" applyBorder="1" applyAlignment="1">
      <alignment horizontal="center" vertical="top" wrapText="1"/>
    </xf>
    <xf numFmtId="1" fontId="9" fillId="7" borderId="10" xfId="0" applyNumberFormat="1" applyFont="1" applyFill="1" applyBorder="1" applyAlignment="1">
      <alignment horizontal="right" vertical="top" wrapText="1"/>
    </xf>
    <xf numFmtId="1" fontId="9" fillId="7" borderId="2" xfId="0" applyNumberFormat="1" applyFont="1" applyFill="1" applyBorder="1" applyAlignment="1">
      <alignment horizontal="right" vertical="top" wrapText="1"/>
    </xf>
    <xf numFmtId="1" fontId="9" fillId="7" borderId="3" xfId="0" applyNumberFormat="1" applyFont="1" applyFill="1" applyBorder="1" applyAlignment="1">
      <alignment horizontal="right" vertical="top" wrapText="1"/>
    </xf>
    <xf numFmtId="1" fontId="9" fillId="11" borderId="10" xfId="0" applyNumberFormat="1" applyFont="1" applyFill="1" applyBorder="1" applyAlignment="1">
      <alignment horizontal="left" vertical="top" wrapText="1"/>
    </xf>
    <xf numFmtId="1" fontId="9" fillId="11" borderId="2" xfId="0" applyNumberFormat="1" applyFont="1" applyFill="1" applyBorder="1" applyAlignment="1">
      <alignment horizontal="left" vertical="top" wrapText="1"/>
    </xf>
    <xf numFmtId="1" fontId="9" fillId="11" borderId="3" xfId="0" applyNumberFormat="1" applyFont="1" applyFill="1" applyBorder="1" applyAlignment="1">
      <alignment horizontal="left" vertical="top" wrapText="1"/>
    </xf>
    <xf numFmtId="165" fontId="3" fillId="0" borderId="4" xfId="0" applyNumberFormat="1" applyFont="1" applyFill="1" applyBorder="1" applyAlignment="1">
      <alignment vertical="top" wrapText="1"/>
    </xf>
    <xf numFmtId="165" fontId="3" fillId="0" borderId="5" xfId="0" applyNumberFormat="1" applyFont="1" applyFill="1" applyBorder="1" applyAlignment="1">
      <alignment vertical="top" wrapText="1"/>
    </xf>
    <xf numFmtId="1" fontId="9" fillId="7" borderId="1" xfId="0" applyNumberFormat="1" applyFont="1" applyFill="1" applyBorder="1" applyAlignment="1">
      <alignment horizontal="right" vertical="top" wrapText="1"/>
    </xf>
    <xf numFmtId="0" fontId="1" fillId="0" borderId="0" xfId="0" applyFont="1" applyAlignment="1">
      <alignment horizontal="left" vertical="top" wrapText="1"/>
    </xf>
    <xf numFmtId="1" fontId="9" fillId="7" borderId="10" xfId="0" applyNumberFormat="1" applyFont="1" applyFill="1" applyBorder="1" applyAlignment="1">
      <alignment horizontal="right" vertical="top"/>
    </xf>
    <xf numFmtId="1" fontId="9" fillId="7" borderId="2" xfId="0" applyNumberFormat="1" applyFont="1" applyFill="1" applyBorder="1" applyAlignment="1">
      <alignment horizontal="right" vertical="top"/>
    </xf>
    <xf numFmtId="1" fontId="9" fillId="7" borderId="3" xfId="0" applyNumberFormat="1" applyFont="1" applyFill="1" applyBorder="1" applyAlignment="1">
      <alignment horizontal="right" vertical="top"/>
    </xf>
    <xf numFmtId="165" fontId="11" fillId="0" borderId="0" xfId="0" applyNumberFormat="1" applyFont="1" applyFill="1" applyAlignment="1">
      <alignment horizontal="left" vertical="top" wrapText="1"/>
    </xf>
    <xf numFmtId="1" fontId="9" fillId="13" borderId="4" xfId="0" applyNumberFormat="1" applyFont="1" applyFill="1" applyBorder="1" applyAlignment="1">
      <alignment horizontal="center" vertical="top" wrapText="1"/>
    </xf>
    <xf numFmtId="165" fontId="22" fillId="0" borderId="0" xfId="0" applyNumberFormat="1" applyFont="1" applyFill="1" applyAlignment="1">
      <alignment horizontal="center" vertical="top" wrapText="1"/>
    </xf>
    <xf numFmtId="0" fontId="2" fillId="7" borderId="10" xfId="0" applyFont="1" applyFill="1" applyBorder="1" applyAlignment="1">
      <alignment horizontal="right" vertical="top"/>
    </xf>
    <xf numFmtId="0" fontId="2" fillId="7" borderId="2" xfId="0" applyFont="1" applyFill="1" applyBorder="1" applyAlignment="1">
      <alignment horizontal="right" vertical="top"/>
    </xf>
    <xf numFmtId="0" fontId="2" fillId="7" borderId="3" xfId="0" applyFont="1" applyFill="1" applyBorder="1" applyAlignment="1">
      <alignment horizontal="right" vertical="top"/>
    </xf>
    <xf numFmtId="165" fontId="3" fillId="3" borderId="4" xfId="0" applyNumberFormat="1" applyFont="1" applyFill="1" applyBorder="1" applyAlignment="1">
      <alignment horizontal="left" vertical="top" wrapText="1"/>
    </xf>
    <xf numFmtId="165" fontId="3" fillId="3" borderId="7"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1" fontId="9" fillId="13" borderId="10" xfId="0" applyNumberFormat="1" applyFont="1" applyFill="1" applyBorder="1" applyAlignment="1">
      <alignment horizontal="center" vertical="top" wrapText="1"/>
    </xf>
    <xf numFmtId="1" fontId="9" fillId="13" borderId="2" xfId="0" applyNumberFormat="1" applyFont="1" applyFill="1" applyBorder="1" applyAlignment="1">
      <alignment horizontal="center" vertical="top" wrapText="1"/>
    </xf>
    <xf numFmtId="1" fontId="9" fillId="13" borderId="3" xfId="0" applyNumberFormat="1" applyFont="1" applyFill="1" applyBorder="1" applyAlignment="1">
      <alignment horizontal="center" vertical="top" wrapText="1"/>
    </xf>
    <xf numFmtId="4" fontId="29" fillId="0" borderId="0" xfId="0" applyNumberFormat="1" applyFont="1" applyFill="1" applyAlignment="1">
      <alignment horizontal="right" vertical="top" wrapText="1"/>
    </xf>
    <xf numFmtId="4" fontId="28" fillId="0" borderId="0" xfId="0" applyNumberFormat="1" applyFont="1" applyAlignment="1">
      <alignment horizontal="right" vertical="top" wrapText="1"/>
    </xf>
    <xf numFmtId="165" fontId="3" fillId="0" borderId="9" xfId="0" applyNumberFormat="1" applyFont="1" applyFill="1" applyBorder="1" applyAlignment="1">
      <alignment horizontal="right"/>
    </xf>
    <xf numFmtId="165" fontId="3" fillId="0" borderId="4"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9" fillId="3" borderId="10"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165" fontId="9" fillId="3" borderId="3" xfId="0" applyNumberFormat="1" applyFont="1" applyFill="1" applyBorder="1" applyAlignment="1">
      <alignment horizontal="center" vertical="center" wrapText="1"/>
    </xf>
    <xf numFmtId="165" fontId="3" fillId="0" borderId="12" xfId="0" applyNumberFormat="1" applyFont="1" applyBorder="1" applyAlignment="1">
      <alignment horizontal="center" vertical="center" wrapText="1"/>
    </xf>
    <xf numFmtId="165" fontId="3" fillId="0" borderId="49" xfId="0" applyNumberFormat="1" applyFont="1" applyBorder="1" applyAlignment="1">
      <alignment horizontal="center" vertical="center" wrapText="1"/>
    </xf>
    <xf numFmtId="165" fontId="3" fillId="0" borderId="42" xfId="0" applyNumberFormat="1" applyFont="1" applyBorder="1" applyAlignment="1">
      <alignment horizontal="center" vertical="center" wrapText="1"/>
    </xf>
    <xf numFmtId="165" fontId="3" fillId="0" borderId="2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165" fontId="3" fillId="0" borderId="36" xfId="0" applyNumberFormat="1" applyFont="1" applyBorder="1" applyAlignment="1">
      <alignment horizontal="center" vertical="center" wrapText="1"/>
    </xf>
    <xf numFmtId="165" fontId="3" fillId="0" borderId="12" xfId="0" applyNumberFormat="1" applyFont="1" applyBorder="1" applyAlignment="1">
      <alignment horizontal="center" vertical="top" wrapText="1"/>
    </xf>
    <xf numFmtId="0" fontId="0" fillId="0" borderId="49" xfId="0" applyBorder="1" applyAlignment="1">
      <alignment horizontal="center" vertical="top" wrapText="1"/>
    </xf>
    <xf numFmtId="0" fontId="0" fillId="0" borderId="42" xfId="0" applyBorder="1" applyAlignment="1">
      <alignment horizontal="center" vertical="top" wrapText="1"/>
    </xf>
    <xf numFmtId="165" fontId="3" fillId="0" borderId="28"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36" xfId="0" applyBorder="1" applyAlignment="1">
      <alignment horizontal="center" vertical="top" wrapText="1"/>
    </xf>
    <xf numFmtId="165" fontId="22" fillId="0" borderId="0" xfId="0" applyNumberFormat="1" applyFont="1" applyFill="1" applyAlignment="1">
      <alignment horizontal="center" wrapText="1"/>
    </xf>
    <xf numFmtId="49" fontId="3" fillId="3" borderId="12" xfId="0" applyNumberFormat="1" applyFont="1" applyFill="1" applyBorder="1" applyAlignment="1">
      <alignment horizontal="center" vertical="center" wrapText="1"/>
    </xf>
    <xf numFmtId="49" fontId="3" fillId="3" borderId="42" xfId="0" applyNumberFormat="1" applyFont="1" applyFill="1" applyBorder="1" applyAlignment="1">
      <alignment horizontal="center" vertical="center" wrapText="1"/>
    </xf>
    <xf numFmtId="49" fontId="3" fillId="3" borderId="29"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0" fillId="0" borderId="3" xfId="0" applyNumberFormat="1" applyBorder="1" applyAlignment="1">
      <alignment horizontal="center" vertical="center" wrapText="1"/>
    </xf>
    <xf numFmtId="165" fontId="3" fillId="0" borderId="1" xfId="0" applyNumberFormat="1" applyFont="1" applyBorder="1" applyAlignment="1">
      <alignment horizontal="center" vertical="top" wrapText="1"/>
    </xf>
    <xf numFmtId="165" fontId="9" fillId="3" borderId="28" xfId="0"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165" fontId="9" fillId="3" borderId="36"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textRotation="90" wrapText="1"/>
    </xf>
    <xf numFmtId="1" fontId="3" fillId="3" borderId="7" xfId="0" applyNumberFormat="1" applyFont="1" applyFill="1" applyBorder="1" applyAlignment="1">
      <alignment horizontal="center" vertical="center" textRotation="90" wrapText="1"/>
    </xf>
    <xf numFmtId="165" fontId="3" fillId="3" borderId="4" xfId="0" applyNumberFormat="1" applyFont="1" applyFill="1" applyBorder="1" applyAlignment="1">
      <alignment horizontal="center" wrapText="1"/>
    </xf>
    <xf numFmtId="165" fontId="3" fillId="3" borderId="7" xfId="0" applyNumberFormat="1" applyFont="1" applyFill="1" applyBorder="1" applyAlignment="1">
      <alignment horizontal="center" wrapText="1"/>
    </xf>
    <xf numFmtId="165" fontId="3" fillId="3" borderId="4" xfId="0" applyNumberFormat="1" applyFont="1" applyFill="1" applyBorder="1" applyAlignment="1">
      <alignment horizontal="center" textRotation="90" wrapText="1"/>
    </xf>
    <xf numFmtId="165" fontId="12" fillId="3" borderId="7" xfId="0" applyNumberFormat="1" applyFont="1" applyFill="1" applyBorder="1" applyAlignment="1">
      <alignment horizontal="center" textRotation="90" wrapText="1"/>
    </xf>
    <xf numFmtId="165" fontId="24" fillId="7" borderId="9" xfId="0" applyNumberFormat="1" applyFont="1" applyFill="1" applyBorder="1" applyAlignment="1">
      <alignment vertical="top" wrapText="1"/>
    </xf>
    <xf numFmtId="165" fontId="24" fillId="10" borderId="10" xfId="0" applyNumberFormat="1" applyFont="1" applyFill="1" applyBorder="1" applyAlignment="1">
      <alignment horizontal="left" vertical="top"/>
    </xf>
    <xf numFmtId="165" fontId="24" fillId="10" borderId="2" xfId="0" applyNumberFormat="1" applyFont="1" applyFill="1" applyBorder="1" applyAlignment="1">
      <alignment horizontal="left" vertical="top"/>
    </xf>
    <xf numFmtId="165" fontId="24" fillId="10" borderId="3" xfId="0" applyNumberFormat="1" applyFont="1" applyFill="1" applyBorder="1" applyAlignment="1">
      <alignment horizontal="left" vertical="top"/>
    </xf>
    <xf numFmtId="165" fontId="24" fillId="9" borderId="10" xfId="0" applyNumberFormat="1" applyFont="1" applyFill="1" applyBorder="1" applyAlignment="1">
      <alignment horizontal="left" vertical="top" wrapText="1"/>
    </xf>
    <xf numFmtId="165" fontId="24" fillId="9" borderId="2"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65" fontId="24" fillId="10" borderId="10" xfId="0" applyNumberFormat="1" applyFont="1" applyFill="1" applyBorder="1" applyAlignment="1">
      <alignment horizontal="left" vertical="top" wrapText="1"/>
    </xf>
    <xf numFmtId="165" fontId="24" fillId="10" borderId="2" xfId="0" applyNumberFormat="1" applyFont="1" applyFill="1" applyBorder="1" applyAlignment="1">
      <alignment horizontal="left" vertical="top" wrapText="1"/>
    </xf>
    <xf numFmtId="165" fontId="24" fillId="10" borderId="3" xfId="0" applyNumberFormat="1" applyFont="1" applyFill="1" applyBorder="1" applyAlignment="1">
      <alignment horizontal="left" vertical="top" wrapText="1"/>
    </xf>
    <xf numFmtId="4" fontId="5" fillId="0" borderId="12" xfId="0" applyNumberFormat="1" applyFont="1" applyBorder="1" applyAlignment="1">
      <alignment horizontal="center" vertical="center" wrapText="1"/>
    </xf>
    <xf numFmtId="4" fontId="5" fillId="0" borderId="49" xfId="0" applyNumberFormat="1" applyFont="1" applyBorder="1" applyAlignment="1">
      <alignment horizontal="center" vertical="center" wrapText="1"/>
    </xf>
    <xf numFmtId="4" fontId="0" fillId="0" borderId="42" xfId="0" applyNumberFormat="1" applyBorder="1" applyAlignment="1">
      <alignment horizontal="center" vertical="center" wrapText="1"/>
    </xf>
    <xf numFmtId="4" fontId="5" fillId="0" borderId="2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0" fillId="0" borderId="36" xfId="0" applyNumberFormat="1" applyBorder="1" applyAlignment="1">
      <alignment horizontal="center" vertical="center" wrapText="1"/>
    </xf>
    <xf numFmtId="165" fontId="3" fillId="3" borderId="4" xfId="0" applyNumberFormat="1" applyFont="1" applyFill="1" applyBorder="1" applyAlignment="1">
      <alignment horizontal="left" vertical="top"/>
    </xf>
    <xf numFmtId="165" fontId="3" fillId="3" borderId="5" xfId="0" applyNumberFormat="1" applyFont="1" applyFill="1" applyBorder="1" applyAlignment="1">
      <alignment horizontal="left" vertical="top"/>
    </xf>
    <xf numFmtId="165" fontId="24" fillId="9" borderId="10" xfId="0" applyNumberFormat="1" applyFont="1" applyFill="1" applyBorder="1" applyAlignment="1">
      <alignment horizontal="left" vertical="center" wrapText="1"/>
    </xf>
    <xf numFmtId="165" fontId="24" fillId="9" borderId="2" xfId="0" applyNumberFormat="1" applyFont="1" applyFill="1" applyBorder="1" applyAlignment="1">
      <alignment horizontal="left" vertical="center" wrapText="1"/>
    </xf>
    <xf numFmtId="165" fontId="24" fillId="9" borderId="3" xfId="0" applyNumberFormat="1" applyFont="1" applyFill="1" applyBorder="1" applyAlignment="1">
      <alignment horizontal="left" vertical="center" wrapText="1"/>
    </xf>
    <xf numFmtId="165" fontId="24" fillId="10" borderId="10" xfId="0" applyNumberFormat="1" applyFont="1" applyFill="1" applyBorder="1" applyAlignment="1">
      <alignment horizontal="left" vertical="center" wrapText="1"/>
    </xf>
    <xf numFmtId="165" fontId="24" fillId="10" borderId="2" xfId="0" applyNumberFormat="1" applyFont="1" applyFill="1" applyBorder="1" applyAlignment="1">
      <alignment horizontal="left" vertical="center" wrapText="1"/>
    </xf>
    <xf numFmtId="165" fontId="24" fillId="10" borderId="3" xfId="0" applyNumberFormat="1" applyFont="1" applyFill="1" applyBorder="1" applyAlignment="1">
      <alignment horizontal="left" vertical="center" wrapText="1"/>
    </xf>
    <xf numFmtId="4" fontId="1" fillId="0" borderId="0" xfId="0" applyNumberFormat="1" applyFont="1" applyAlignment="1">
      <alignment horizontal="center"/>
    </xf>
    <xf numFmtId="4" fontId="5" fillId="0" borderId="34"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0" fillId="0" borderId="35" xfId="0" applyNumberFormat="1" applyBorder="1" applyAlignment="1">
      <alignment horizontal="center" vertical="center" wrapText="1"/>
    </xf>
    <xf numFmtId="4" fontId="9" fillId="2" borderId="18" xfId="0" applyNumberFormat="1" applyFont="1" applyFill="1" applyBorder="1" applyAlignment="1">
      <alignment horizontal="left" vertical="top" wrapText="1"/>
    </xf>
    <xf numFmtId="4" fontId="9" fillId="2" borderId="2" xfId="0" applyNumberFormat="1" applyFont="1" applyFill="1" applyBorder="1" applyAlignment="1">
      <alignment horizontal="left" vertical="top" wrapText="1"/>
    </xf>
    <xf numFmtId="4" fontId="15" fillId="7" borderId="26" xfId="0" applyNumberFormat="1" applyFont="1" applyFill="1" applyBorder="1" applyAlignment="1">
      <alignment horizontal="right" vertical="center" wrapText="1"/>
    </xf>
    <xf numFmtId="4" fontId="2" fillId="3" borderId="10" xfId="0" applyNumberFormat="1" applyFont="1" applyFill="1" applyBorder="1" applyAlignment="1">
      <alignment horizontal="center" vertical="center" wrapText="1"/>
    </xf>
    <xf numFmtId="4" fontId="0" fillId="0" borderId="2" xfId="0" applyNumberFormat="1" applyBorder="1" applyAlignment="1">
      <alignment horizontal="center" vertical="center" wrapText="1"/>
    </xf>
    <xf numFmtId="4" fontId="0" fillId="0" borderId="19" xfId="0" applyNumberFormat="1" applyBorder="1" applyAlignment="1">
      <alignment horizontal="center" vertical="center" wrapText="1"/>
    </xf>
    <xf numFmtId="4" fontId="5" fillId="0" borderId="15"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0" fillId="0" borderId="5" xfId="0" applyNumberFormat="1" applyBorder="1" applyAlignment="1">
      <alignment vertical="center" wrapText="1"/>
    </xf>
    <xf numFmtId="4" fontId="5" fillId="3" borderId="14" xfId="0" applyNumberFormat="1" applyFont="1" applyFill="1" applyBorder="1" applyAlignment="1">
      <alignment horizontal="justify" vertical="center" textRotation="90" wrapText="1"/>
    </xf>
    <xf numFmtId="4" fontId="5" fillId="3" borderId="23" xfId="0" applyNumberFormat="1" applyFont="1" applyFill="1" applyBorder="1" applyAlignment="1">
      <alignment horizontal="justify" vertical="center" textRotation="90" wrapText="1"/>
    </xf>
    <xf numFmtId="4" fontId="9" fillId="2" borderId="18" xfId="0" applyNumberFormat="1" applyFont="1" applyFill="1" applyBorder="1" applyAlignment="1">
      <alignment horizontal="left" vertical="center" wrapText="1"/>
    </xf>
    <xf numFmtId="4" fontId="9" fillId="2" borderId="2" xfId="0" applyNumberFormat="1" applyFont="1" applyFill="1" applyBorder="1" applyAlignment="1">
      <alignment horizontal="left" vertical="center" wrapText="1"/>
    </xf>
    <xf numFmtId="4" fontId="3" fillId="3" borderId="20" xfId="0" applyNumberFormat="1" applyFont="1" applyFill="1" applyBorder="1" applyAlignment="1">
      <alignment horizontal="center" vertical="top" wrapText="1"/>
    </xf>
    <xf numFmtId="4" fontId="12" fillId="3" borderId="16" xfId="0" applyNumberFormat="1" applyFont="1" applyFill="1" applyBorder="1" applyAlignment="1">
      <alignment horizontal="center" vertical="top" wrapText="1"/>
    </xf>
    <xf numFmtId="4" fontId="3" fillId="0" borderId="4" xfId="0" applyNumberFormat="1" applyFont="1" applyFill="1" applyBorder="1" applyAlignment="1">
      <alignment horizontal="left" vertical="top" wrapText="1"/>
    </xf>
    <xf numFmtId="4" fontId="3" fillId="0" borderId="5" xfId="0" applyNumberFormat="1" applyFont="1" applyBorder="1" applyAlignment="1">
      <alignment horizontal="left" vertical="top" wrapText="1"/>
    </xf>
    <xf numFmtId="49" fontId="5" fillId="0" borderId="38" xfId="0" applyNumberFormat="1" applyFont="1" applyBorder="1" applyAlignment="1">
      <alignment horizontal="center" vertical="center" wrapText="1"/>
    </xf>
    <xf numFmtId="49" fontId="0" fillId="0" borderId="41" xfId="0" applyNumberFormat="1" applyBorder="1" applyAlignment="1">
      <alignment horizontal="center" vertical="center" wrapText="1"/>
    </xf>
    <xf numFmtId="49" fontId="5" fillId="0" borderId="15" xfId="0" applyNumberFormat="1" applyFont="1" applyBorder="1" applyAlignment="1">
      <alignment horizontal="center" vertical="center" textRotation="90" wrapText="1"/>
    </xf>
    <xf numFmtId="49" fontId="0" fillId="0" borderId="7" xfId="0" applyNumberFormat="1" applyBorder="1" applyAlignment="1">
      <alignment wrapText="1"/>
    </xf>
    <xf numFmtId="49" fontId="0" fillId="0" borderId="5" xfId="0" applyNumberFormat="1" applyBorder="1" applyAlignment="1">
      <alignment wrapText="1"/>
    </xf>
    <xf numFmtId="4" fontId="13" fillId="0" borderId="0" xfId="0" applyNumberFormat="1" applyFont="1" applyFill="1" applyAlignment="1">
      <alignment horizontal="right" vertical="top" wrapText="1"/>
    </xf>
    <xf numFmtId="4" fontId="0" fillId="0" borderId="0" xfId="0" applyNumberFormat="1" applyAlignment="1">
      <alignment horizontal="right" vertical="top" wrapText="1"/>
    </xf>
    <xf numFmtId="4" fontId="0" fillId="0" borderId="37" xfId="0" applyNumberFormat="1" applyBorder="1" applyAlignment="1">
      <alignment horizontal="center" vertical="center" wrapText="1"/>
    </xf>
    <xf numFmtId="4" fontId="0" fillId="0" borderId="39" xfId="0" applyNumberFormat="1" applyBorder="1" applyAlignment="1">
      <alignment horizontal="center" vertical="center" wrapText="1"/>
    </xf>
    <xf numFmtId="4" fontId="0" fillId="0" borderId="9" xfId="0" applyNumberFormat="1" applyBorder="1" applyAlignment="1">
      <alignment horizontal="center" vertical="center" wrapText="1"/>
    </xf>
    <xf numFmtId="4" fontId="0" fillId="0" borderId="22" xfId="0" applyNumberFormat="1" applyBorder="1" applyAlignment="1">
      <alignment horizontal="center" vertical="center" wrapText="1"/>
    </xf>
    <xf numFmtId="4" fontId="10" fillId="0" borderId="0" xfId="0" applyNumberFormat="1" applyFont="1" applyFill="1" applyAlignment="1">
      <alignment horizontal="center" wrapText="1"/>
    </xf>
    <xf numFmtId="4" fontId="1" fillId="0" borderId="0" xfId="0" applyNumberFormat="1" applyFont="1" applyFill="1" applyAlignment="1">
      <alignment horizontal="left" vertical="top" wrapText="1"/>
    </xf>
    <xf numFmtId="4" fontId="0" fillId="0" borderId="0" xfId="0" applyNumberFormat="1" applyFill="1" applyAlignment="1">
      <alignment wrapText="1"/>
    </xf>
    <xf numFmtId="4" fontId="1" fillId="0" borderId="0" xfId="0" applyNumberFormat="1" applyFont="1" applyFill="1" applyAlignment="1">
      <alignment wrapText="1"/>
    </xf>
    <xf numFmtId="4" fontId="5" fillId="0" borderId="15" xfId="0" applyNumberFormat="1" applyFont="1" applyBorder="1" applyAlignment="1">
      <alignment horizontal="center" vertical="center" textRotation="90" wrapText="1"/>
    </xf>
    <xf numFmtId="4" fontId="0" fillId="0" borderId="7" xfId="0" applyNumberFormat="1" applyBorder="1" applyAlignment="1">
      <alignment wrapText="1"/>
    </xf>
    <xf numFmtId="4" fontId="0" fillId="0" borderId="5" xfId="0" applyNumberFormat="1" applyBorder="1" applyAlignment="1">
      <alignment wrapText="1"/>
    </xf>
    <xf numFmtId="49" fontId="5" fillId="0" borderId="4" xfId="0" applyNumberFormat="1" applyFont="1" applyBorder="1" applyAlignment="1">
      <alignment horizontal="center" vertical="center" textRotation="90" wrapText="1"/>
    </xf>
    <xf numFmtId="4" fontId="9" fillId="2" borderId="18" xfId="0" applyNumberFormat="1" applyFont="1" applyFill="1" applyBorder="1" applyAlignment="1">
      <alignment horizontal="left" vertical="top"/>
    </xf>
    <xf numFmtId="4" fontId="9" fillId="2" borderId="2" xfId="0" applyNumberFormat="1" applyFont="1" applyFill="1" applyBorder="1" applyAlignment="1">
      <alignment horizontal="left" vertical="top"/>
    </xf>
    <xf numFmtId="4" fontId="11" fillId="0" borderId="44" xfId="0" applyNumberFormat="1" applyFont="1" applyBorder="1" applyAlignment="1">
      <alignment horizontal="left" vertical="top" wrapText="1"/>
    </xf>
    <xf numFmtId="4" fontId="3" fillId="0" borderId="44" xfId="0" applyNumberFormat="1" applyFont="1" applyBorder="1" applyAlignment="1">
      <alignment horizontal="left" vertical="top" wrapText="1"/>
    </xf>
    <xf numFmtId="4" fontId="9" fillId="2" borderId="21" xfId="0" applyNumberFormat="1" applyFont="1" applyFill="1" applyBorder="1" applyAlignment="1">
      <alignment horizontal="left" vertical="top" wrapText="1"/>
    </xf>
    <xf numFmtId="4" fontId="9" fillId="2" borderId="9" xfId="0" applyNumberFormat="1" applyFont="1" applyFill="1" applyBorder="1" applyAlignment="1">
      <alignment horizontal="left" vertical="top" wrapText="1"/>
    </xf>
  </cellXfs>
  <cellStyles count="7">
    <cellStyle name="Excel Built-in Normal" xfId="4"/>
    <cellStyle name="Įprastas" xfId="0" builtinId="0"/>
    <cellStyle name="Įprastas 2" xfId="5"/>
    <cellStyle name="Kablelis" xfId="1" builtinId="3"/>
    <cellStyle name="Kablelis 2" xfId="6"/>
    <cellStyle name="Normal 2 2" xfId="3"/>
    <cellStyle name="Paprastas 2 2" xfId="2"/>
  </cellStyles>
  <dxfs count="13">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5"/>
  <sheetViews>
    <sheetView tabSelected="1" topLeftCell="A37" zoomScale="130" zoomScaleNormal="130" zoomScaleSheetLayoutView="140" workbookViewId="0">
      <selection activeCell="B196" sqref="B196"/>
    </sheetView>
  </sheetViews>
  <sheetFormatPr defaultRowHeight="15" x14ac:dyDescent="0.25"/>
  <cols>
    <col min="1" max="1" width="5.85546875" customWidth="1"/>
    <col min="2" max="2" width="67.140625" customWidth="1"/>
    <col min="3" max="3" width="11.7109375" customWidth="1"/>
    <col min="4" max="4" width="25.5703125" customWidth="1"/>
    <col min="5" max="5" width="32.85546875" customWidth="1"/>
  </cols>
  <sheetData>
    <row r="1" spans="1:11" s="266" customFormat="1" ht="75.75" customHeight="1" x14ac:dyDescent="0.2">
      <c r="A1" s="336"/>
      <c r="B1" s="265"/>
      <c r="C1" s="265"/>
      <c r="D1" s="265"/>
      <c r="E1" s="509" t="s">
        <v>630</v>
      </c>
    </row>
    <row r="2" spans="1:11" s="266" customFormat="1" ht="23.45" customHeight="1" x14ac:dyDescent="0.2">
      <c r="A2" s="671" t="s">
        <v>629</v>
      </c>
      <c r="B2" s="671"/>
      <c r="C2" s="671"/>
      <c r="D2" s="671"/>
      <c r="E2" s="671"/>
    </row>
    <row r="3" spans="1:11" s="266" customFormat="1" ht="22.5" customHeight="1" x14ac:dyDescent="0.2">
      <c r="A3" s="672" t="s">
        <v>160</v>
      </c>
      <c r="B3" s="673" t="s">
        <v>455</v>
      </c>
      <c r="C3" s="674" t="s">
        <v>626</v>
      </c>
      <c r="D3" s="673" t="s">
        <v>376</v>
      </c>
      <c r="E3" s="673" t="s">
        <v>627</v>
      </c>
    </row>
    <row r="4" spans="1:11" s="266" customFormat="1" ht="12.75" customHeight="1" x14ac:dyDescent="0.2">
      <c r="A4" s="672"/>
      <c r="B4" s="673"/>
      <c r="C4" s="675"/>
      <c r="D4" s="673"/>
      <c r="E4" s="673"/>
    </row>
    <row r="5" spans="1:11" s="266" customFormat="1" ht="15.75" customHeight="1" x14ac:dyDescent="0.2">
      <c r="A5" s="663" t="s">
        <v>378</v>
      </c>
      <c r="B5" s="663"/>
      <c r="C5" s="663"/>
      <c r="D5" s="663"/>
      <c r="E5" s="663"/>
    </row>
    <row r="6" spans="1:11" s="266" customFormat="1" ht="15" customHeight="1" x14ac:dyDescent="0.2">
      <c r="A6" s="655" t="s">
        <v>392</v>
      </c>
      <c r="B6" s="655"/>
      <c r="C6" s="655"/>
      <c r="D6" s="655"/>
      <c r="E6" s="499"/>
    </row>
    <row r="7" spans="1:11" s="266" customFormat="1" ht="27" customHeight="1" x14ac:dyDescent="0.2">
      <c r="A7" s="506" t="s">
        <v>140</v>
      </c>
      <c r="B7" s="504" t="s">
        <v>150</v>
      </c>
      <c r="C7" s="640" t="s">
        <v>617</v>
      </c>
      <c r="D7" s="505" t="s">
        <v>628</v>
      </c>
      <c r="E7" s="444" t="s">
        <v>382</v>
      </c>
    </row>
    <row r="8" spans="1:11" s="266" customFormat="1" ht="29.25" customHeight="1" x14ac:dyDescent="0.2">
      <c r="A8" s="506">
        <v>2</v>
      </c>
      <c r="B8" s="504" t="s">
        <v>328</v>
      </c>
      <c r="C8" s="640" t="s">
        <v>608</v>
      </c>
      <c r="D8" s="505" t="s">
        <v>377</v>
      </c>
      <c r="E8" s="444" t="s">
        <v>382</v>
      </c>
      <c r="K8" s="510"/>
    </row>
    <row r="9" spans="1:11" s="266" customFormat="1" ht="19.5" customHeight="1" x14ac:dyDescent="0.2">
      <c r="A9" s="506">
        <v>3</v>
      </c>
      <c r="B9" s="473" t="s">
        <v>639</v>
      </c>
      <c r="C9" s="640" t="s">
        <v>608</v>
      </c>
      <c r="D9" s="474" t="s">
        <v>377</v>
      </c>
      <c r="E9" s="444" t="s">
        <v>382</v>
      </c>
    </row>
    <row r="10" spans="1:11" s="266" customFormat="1" ht="16.5" customHeight="1" x14ac:dyDescent="0.2">
      <c r="A10" s="655" t="s">
        <v>547</v>
      </c>
      <c r="B10" s="655"/>
      <c r="C10" s="655"/>
      <c r="D10" s="655"/>
      <c r="E10" s="655"/>
    </row>
    <row r="11" spans="1:11" s="266" customFormat="1" ht="12.75" customHeight="1" x14ac:dyDescent="0.2">
      <c r="A11" s="667">
        <v>1</v>
      </c>
      <c r="B11" s="668" t="s">
        <v>549</v>
      </c>
      <c r="C11" s="669" t="s">
        <v>617</v>
      </c>
      <c r="D11" s="645" t="s">
        <v>377</v>
      </c>
      <c r="E11" s="657" t="s">
        <v>383</v>
      </c>
    </row>
    <row r="12" spans="1:11" s="266" customFormat="1" ht="30" customHeight="1" x14ac:dyDescent="0.2">
      <c r="A12" s="667"/>
      <c r="B12" s="668"/>
      <c r="C12" s="670"/>
      <c r="D12" s="520" t="s">
        <v>631</v>
      </c>
      <c r="E12" s="658"/>
    </row>
    <row r="13" spans="1:11" s="266" customFormat="1" ht="30" customHeight="1" x14ac:dyDescent="0.2">
      <c r="A13" s="642">
        <v>2</v>
      </c>
      <c r="B13" s="492" t="s">
        <v>598</v>
      </c>
      <c r="C13" s="492" t="s">
        <v>608</v>
      </c>
      <c r="D13" s="520" t="s">
        <v>631</v>
      </c>
      <c r="E13" s="644"/>
    </row>
    <row r="14" spans="1:11" s="266" customFormat="1" ht="30" customHeight="1" x14ac:dyDescent="0.2">
      <c r="A14" s="642">
        <v>3</v>
      </c>
      <c r="B14" s="492" t="s">
        <v>597</v>
      </c>
      <c r="C14" s="492" t="s">
        <v>614</v>
      </c>
      <c r="D14" s="520" t="s">
        <v>631</v>
      </c>
      <c r="E14" s="644"/>
    </row>
    <row r="15" spans="1:11" s="266" customFormat="1" ht="30" customHeight="1" x14ac:dyDescent="0.2">
      <c r="A15" s="642">
        <v>4</v>
      </c>
      <c r="B15" s="647" t="s">
        <v>551</v>
      </c>
      <c r="C15" s="647" t="s">
        <v>614</v>
      </c>
      <c r="D15" s="520" t="s">
        <v>631</v>
      </c>
      <c r="E15" s="644"/>
    </row>
    <row r="16" spans="1:11" s="266" customFormat="1" ht="18" customHeight="1" x14ac:dyDescent="0.2">
      <c r="A16" s="642">
        <v>5</v>
      </c>
      <c r="B16" s="524" t="s">
        <v>388</v>
      </c>
      <c r="C16" s="643" t="s">
        <v>617</v>
      </c>
      <c r="D16" s="645" t="s">
        <v>377</v>
      </c>
      <c r="E16" s="555" t="s">
        <v>383</v>
      </c>
    </row>
    <row r="17" spans="1:5" s="519" customFormat="1" ht="33" customHeight="1" x14ac:dyDescent="0.2">
      <c r="A17" s="642">
        <v>6</v>
      </c>
      <c r="B17" s="524" t="s">
        <v>640</v>
      </c>
      <c r="C17" s="524" t="s">
        <v>608</v>
      </c>
      <c r="D17" s="645" t="s">
        <v>377</v>
      </c>
      <c r="E17" s="555" t="s">
        <v>383</v>
      </c>
    </row>
    <row r="18" spans="1:5" s="266" customFormat="1" ht="18.75" customHeight="1" x14ac:dyDescent="0.2">
      <c r="A18" s="655" t="s">
        <v>409</v>
      </c>
      <c r="B18" s="655"/>
      <c r="C18" s="655"/>
      <c r="D18" s="655"/>
      <c r="E18" s="655"/>
    </row>
    <row r="19" spans="1:5" s="266" customFormat="1" ht="28.5" customHeight="1" x14ac:dyDescent="0.2">
      <c r="A19" s="539">
        <v>1</v>
      </c>
      <c r="B19" s="311" t="s">
        <v>85</v>
      </c>
      <c r="C19" s="524" t="s">
        <v>611</v>
      </c>
      <c r="D19" s="502" t="s">
        <v>377</v>
      </c>
      <c r="E19" s="444" t="s">
        <v>383</v>
      </c>
    </row>
    <row r="20" spans="1:5" s="265" customFormat="1" ht="30" customHeight="1" x14ac:dyDescent="0.2">
      <c r="A20" s="539">
        <v>2</v>
      </c>
      <c r="B20" s="275" t="s">
        <v>36</v>
      </c>
      <c r="C20" s="524" t="s">
        <v>618</v>
      </c>
      <c r="D20" s="502" t="s">
        <v>377</v>
      </c>
      <c r="E20" s="444" t="s">
        <v>383</v>
      </c>
    </row>
    <row r="21" spans="1:5" s="266" customFormat="1" ht="30" customHeight="1" x14ac:dyDescent="0.2">
      <c r="A21" s="539">
        <v>3</v>
      </c>
      <c r="B21" s="275" t="s">
        <v>305</v>
      </c>
      <c r="C21" s="524" t="s">
        <v>618</v>
      </c>
      <c r="D21" s="505" t="s">
        <v>377</v>
      </c>
      <c r="E21" s="444" t="s">
        <v>383</v>
      </c>
    </row>
    <row r="22" spans="1:5" s="266" customFormat="1" ht="31.5" customHeight="1" x14ac:dyDescent="0.2">
      <c r="A22" s="539">
        <v>4</v>
      </c>
      <c r="B22" s="311" t="s">
        <v>99</v>
      </c>
      <c r="C22" s="524" t="s">
        <v>611</v>
      </c>
      <c r="D22" s="505" t="s">
        <v>377</v>
      </c>
      <c r="E22" s="275" t="s">
        <v>408</v>
      </c>
    </row>
    <row r="23" spans="1:5" s="266" customFormat="1" ht="30.75" customHeight="1" x14ac:dyDescent="0.2">
      <c r="A23" s="539">
        <v>5</v>
      </c>
      <c r="B23" s="311" t="s">
        <v>100</v>
      </c>
      <c r="C23" s="524" t="s">
        <v>618</v>
      </c>
      <c r="D23" s="505" t="s">
        <v>377</v>
      </c>
      <c r="E23" s="275" t="s">
        <v>408</v>
      </c>
    </row>
    <row r="24" spans="1:5" s="266" customFormat="1" ht="30.75" customHeight="1" x14ac:dyDescent="0.2">
      <c r="A24" s="539">
        <v>6</v>
      </c>
      <c r="B24" s="311" t="s">
        <v>101</v>
      </c>
      <c r="C24" s="524" t="s">
        <v>618</v>
      </c>
      <c r="D24" s="505" t="s">
        <v>377</v>
      </c>
      <c r="E24" s="275" t="s">
        <v>408</v>
      </c>
    </row>
    <row r="25" spans="1:5" s="266" customFormat="1" ht="32.25" customHeight="1" x14ac:dyDescent="0.2">
      <c r="A25" s="539">
        <v>7</v>
      </c>
      <c r="B25" s="311" t="s">
        <v>390</v>
      </c>
      <c r="C25" s="524" t="s">
        <v>611</v>
      </c>
      <c r="D25" s="505" t="s">
        <v>377</v>
      </c>
      <c r="E25" s="275" t="s">
        <v>408</v>
      </c>
    </row>
    <row r="26" spans="1:5" s="266" customFormat="1" ht="30" customHeight="1" x14ac:dyDescent="0.2">
      <c r="A26" s="539">
        <v>8</v>
      </c>
      <c r="B26" s="311" t="s">
        <v>103</v>
      </c>
      <c r="C26" s="524" t="s">
        <v>618</v>
      </c>
      <c r="D26" s="505" t="s">
        <v>377</v>
      </c>
      <c r="E26" s="275" t="s">
        <v>408</v>
      </c>
    </row>
    <row r="27" spans="1:5" s="266" customFormat="1" ht="31.5" customHeight="1" x14ac:dyDescent="0.2">
      <c r="A27" s="539">
        <v>9</v>
      </c>
      <c r="B27" s="311" t="s">
        <v>263</v>
      </c>
      <c r="C27" s="524" t="s">
        <v>611</v>
      </c>
      <c r="D27" s="505" t="s">
        <v>377</v>
      </c>
      <c r="E27" s="504" t="s">
        <v>408</v>
      </c>
    </row>
    <row r="28" spans="1:5" s="266" customFormat="1" ht="30.75" customHeight="1" x14ac:dyDescent="0.2">
      <c r="A28" s="539">
        <v>10</v>
      </c>
      <c r="B28" s="311" t="s">
        <v>300</v>
      </c>
      <c r="C28" s="524" t="s">
        <v>611</v>
      </c>
      <c r="D28" s="505" t="s">
        <v>377</v>
      </c>
      <c r="E28" s="291" t="s">
        <v>408</v>
      </c>
    </row>
    <row r="29" spans="1:5" s="266" customFormat="1" ht="30" customHeight="1" x14ac:dyDescent="0.2">
      <c r="A29" s="539">
        <v>11</v>
      </c>
      <c r="B29" s="311" t="s">
        <v>35</v>
      </c>
      <c r="C29" s="524" t="s">
        <v>611</v>
      </c>
      <c r="D29" s="502" t="s">
        <v>377</v>
      </c>
      <c r="E29" s="291" t="s">
        <v>408</v>
      </c>
    </row>
    <row r="30" spans="1:5" s="266" customFormat="1" ht="27" customHeight="1" x14ac:dyDescent="0.2">
      <c r="A30" s="539">
        <v>12</v>
      </c>
      <c r="B30" s="311" t="s">
        <v>170</v>
      </c>
      <c r="C30" s="524" t="s">
        <v>611</v>
      </c>
      <c r="D30" s="502" t="s">
        <v>377</v>
      </c>
      <c r="E30" s="291" t="s">
        <v>408</v>
      </c>
    </row>
    <row r="31" spans="1:5" s="266" customFormat="1" ht="27" customHeight="1" x14ac:dyDescent="0.2">
      <c r="A31" s="539">
        <v>13</v>
      </c>
      <c r="B31" s="311" t="s">
        <v>314</v>
      </c>
      <c r="C31" s="524" t="s">
        <v>611</v>
      </c>
      <c r="D31" s="502" t="s">
        <v>377</v>
      </c>
      <c r="E31" s="291" t="s">
        <v>408</v>
      </c>
    </row>
    <row r="32" spans="1:5" s="266" customFormat="1" ht="28.5" customHeight="1" x14ac:dyDescent="0.2">
      <c r="A32" s="539">
        <v>14</v>
      </c>
      <c r="B32" s="291" t="s">
        <v>641</v>
      </c>
      <c r="C32" s="524" t="s">
        <v>611</v>
      </c>
      <c r="D32" s="502" t="s">
        <v>377</v>
      </c>
      <c r="E32" s="311" t="s">
        <v>408</v>
      </c>
    </row>
    <row r="33" spans="1:5" s="266" customFormat="1" ht="27.75" customHeight="1" x14ac:dyDescent="0.2">
      <c r="A33" s="539">
        <v>15</v>
      </c>
      <c r="B33" s="311" t="s">
        <v>321</v>
      </c>
      <c r="C33" s="524" t="s">
        <v>611</v>
      </c>
      <c r="D33" s="502" t="s">
        <v>377</v>
      </c>
      <c r="E33" s="311" t="s">
        <v>408</v>
      </c>
    </row>
    <row r="34" spans="1:5" s="266" customFormat="1" ht="30" customHeight="1" x14ac:dyDescent="0.2">
      <c r="A34" s="539">
        <v>16</v>
      </c>
      <c r="B34" s="311" t="s">
        <v>315</v>
      </c>
      <c r="C34" s="524" t="s">
        <v>608</v>
      </c>
      <c r="D34" s="505" t="s">
        <v>377</v>
      </c>
      <c r="E34" s="291" t="s">
        <v>408</v>
      </c>
    </row>
    <row r="35" spans="1:5" s="519" customFormat="1" ht="30" customHeight="1" x14ac:dyDescent="0.2">
      <c r="A35" s="649">
        <v>17</v>
      </c>
      <c r="B35" s="627" t="s">
        <v>603</v>
      </c>
      <c r="C35" s="524" t="s">
        <v>608</v>
      </c>
      <c r="D35" s="646" t="s">
        <v>377</v>
      </c>
      <c r="E35" s="532" t="s">
        <v>408</v>
      </c>
    </row>
    <row r="36" spans="1:5" s="519" customFormat="1" ht="30" customHeight="1" x14ac:dyDescent="0.2">
      <c r="A36" s="649">
        <v>18</v>
      </c>
      <c r="B36" s="627" t="s">
        <v>604</v>
      </c>
      <c r="C36" s="524" t="s">
        <v>608</v>
      </c>
      <c r="D36" s="646" t="s">
        <v>377</v>
      </c>
      <c r="E36" s="532" t="s">
        <v>408</v>
      </c>
    </row>
    <row r="37" spans="1:5" s="266" customFormat="1" ht="29.25" customHeight="1" x14ac:dyDescent="0.2">
      <c r="A37" s="539">
        <v>19</v>
      </c>
      <c r="B37" s="311" t="s">
        <v>141</v>
      </c>
      <c r="C37" s="524" t="s">
        <v>611</v>
      </c>
      <c r="D37" s="505" t="s">
        <v>377</v>
      </c>
      <c r="E37" s="291" t="s">
        <v>408</v>
      </c>
    </row>
    <row r="38" spans="1:5" s="266" customFormat="1" ht="30" customHeight="1" x14ac:dyDescent="0.2">
      <c r="A38" s="539">
        <v>20</v>
      </c>
      <c r="B38" s="311" t="s">
        <v>159</v>
      </c>
      <c r="C38" s="524" t="s">
        <v>615</v>
      </c>
      <c r="D38" s="505" t="s">
        <v>377</v>
      </c>
      <c r="E38" s="504" t="s">
        <v>408</v>
      </c>
    </row>
    <row r="39" spans="1:5" s="266" customFormat="1" ht="27.75" customHeight="1" x14ac:dyDescent="0.2">
      <c r="A39" s="539">
        <v>21</v>
      </c>
      <c r="B39" s="311" t="s">
        <v>104</v>
      </c>
      <c r="C39" s="524" t="s">
        <v>619</v>
      </c>
      <c r="D39" s="505" t="s">
        <v>377</v>
      </c>
      <c r="E39" s="504" t="s">
        <v>408</v>
      </c>
    </row>
    <row r="40" spans="1:5" s="266" customFormat="1" ht="31.5" customHeight="1" x14ac:dyDescent="0.2">
      <c r="A40" s="539">
        <v>22</v>
      </c>
      <c r="B40" s="311" t="s">
        <v>417</v>
      </c>
      <c r="C40" s="524" t="s">
        <v>615</v>
      </c>
      <c r="D40" s="505" t="s">
        <v>377</v>
      </c>
      <c r="E40" s="275" t="s">
        <v>408</v>
      </c>
    </row>
    <row r="41" spans="1:5" s="266" customFormat="1" ht="30" customHeight="1" x14ac:dyDescent="0.2">
      <c r="A41" s="541">
        <v>23</v>
      </c>
      <c r="B41" s="475" t="s">
        <v>642</v>
      </c>
      <c r="C41" s="524" t="s">
        <v>616</v>
      </c>
      <c r="D41" s="505" t="s">
        <v>377</v>
      </c>
      <c r="E41" s="311" t="s">
        <v>408</v>
      </c>
    </row>
    <row r="42" spans="1:5" s="266" customFormat="1" ht="31.5" customHeight="1" x14ac:dyDescent="0.2">
      <c r="A42" s="541">
        <v>24</v>
      </c>
      <c r="B42" s="475" t="s">
        <v>535</v>
      </c>
      <c r="C42" s="524" t="s">
        <v>608</v>
      </c>
      <c r="D42" s="505" t="s">
        <v>377</v>
      </c>
      <c r="E42" s="311" t="s">
        <v>408</v>
      </c>
    </row>
    <row r="43" spans="1:5" s="266" customFormat="1" ht="16.5" customHeight="1" x14ac:dyDescent="0.2">
      <c r="A43" s="655" t="s">
        <v>393</v>
      </c>
      <c r="B43" s="655"/>
      <c r="C43" s="655"/>
      <c r="D43" s="655"/>
      <c r="E43" s="655"/>
    </row>
    <row r="44" spans="1:5" s="266" customFormat="1" ht="32.25" customHeight="1" x14ac:dyDescent="0.2">
      <c r="A44" s="503">
        <v>1</v>
      </c>
      <c r="B44" s="275" t="s">
        <v>91</v>
      </c>
      <c r="C44" s="524" t="s">
        <v>617</v>
      </c>
      <c r="D44" s="505" t="s">
        <v>377</v>
      </c>
      <c r="E44" s="627" t="s">
        <v>419</v>
      </c>
    </row>
    <row r="45" spans="1:5" s="266" customFormat="1" ht="20.25" customHeight="1" x14ac:dyDescent="0.2">
      <c r="A45" s="503">
        <v>2</v>
      </c>
      <c r="B45" s="275" t="s">
        <v>134</v>
      </c>
      <c r="C45" s="524" t="s">
        <v>608</v>
      </c>
      <c r="D45" s="505" t="s">
        <v>377</v>
      </c>
      <c r="E45" s="627" t="s">
        <v>419</v>
      </c>
    </row>
    <row r="46" spans="1:5" s="266" customFormat="1" ht="22.5" customHeight="1" x14ac:dyDescent="0.2">
      <c r="A46" s="503">
        <v>3</v>
      </c>
      <c r="B46" s="275" t="s">
        <v>643</v>
      </c>
      <c r="C46" s="524" t="s">
        <v>608</v>
      </c>
      <c r="D46" s="505" t="s">
        <v>377</v>
      </c>
      <c r="E46" s="627" t="s">
        <v>419</v>
      </c>
    </row>
    <row r="47" spans="1:5" s="519" customFormat="1" ht="36" customHeight="1" x14ac:dyDescent="0.2">
      <c r="A47" s="539">
        <v>4</v>
      </c>
      <c r="B47" s="641" t="s">
        <v>605</v>
      </c>
      <c r="C47" s="641" t="s">
        <v>608</v>
      </c>
      <c r="D47" s="520" t="s">
        <v>377</v>
      </c>
      <c r="E47" s="641" t="s">
        <v>419</v>
      </c>
    </row>
    <row r="48" spans="1:5" s="266" customFormat="1" ht="18" customHeight="1" x14ac:dyDescent="0.2">
      <c r="A48" s="655" t="s">
        <v>394</v>
      </c>
      <c r="B48" s="655"/>
      <c r="C48" s="655"/>
      <c r="D48" s="655"/>
      <c r="E48" s="655"/>
    </row>
    <row r="49" spans="1:5" s="292" customFormat="1" ht="42.75" customHeight="1" x14ac:dyDescent="0.25">
      <c r="A49" s="503">
        <v>1</v>
      </c>
      <c r="B49" s="275" t="s">
        <v>123</v>
      </c>
      <c r="C49" s="524" t="s">
        <v>620</v>
      </c>
      <c r="D49" s="505" t="s">
        <v>377</v>
      </c>
      <c r="E49" s="311" t="s">
        <v>442</v>
      </c>
    </row>
    <row r="50" spans="1:5" s="292" customFormat="1" ht="18" customHeight="1" x14ac:dyDescent="0.25">
      <c r="A50" s="503">
        <v>2</v>
      </c>
      <c r="B50" s="275" t="s">
        <v>40</v>
      </c>
      <c r="C50" s="524" t="s">
        <v>612</v>
      </c>
      <c r="D50" s="505" t="s">
        <v>377</v>
      </c>
      <c r="E50" s="311" t="s">
        <v>442</v>
      </c>
    </row>
    <row r="51" spans="1:5" s="292" customFormat="1" ht="17.25" customHeight="1" x14ac:dyDescent="0.25">
      <c r="A51" s="503">
        <v>3</v>
      </c>
      <c r="B51" s="275" t="s">
        <v>128</v>
      </c>
      <c r="C51" s="524" t="s">
        <v>612</v>
      </c>
      <c r="D51" s="505" t="s">
        <v>377</v>
      </c>
      <c r="E51" s="311" t="s">
        <v>442</v>
      </c>
    </row>
    <row r="52" spans="1:5" s="292" customFormat="1" ht="30" customHeight="1" x14ac:dyDescent="0.25">
      <c r="A52" s="503">
        <v>4</v>
      </c>
      <c r="B52" s="275" t="s">
        <v>421</v>
      </c>
      <c r="C52" s="524" t="s">
        <v>612</v>
      </c>
      <c r="D52" s="505" t="s">
        <v>377</v>
      </c>
      <c r="E52" s="311" t="s">
        <v>442</v>
      </c>
    </row>
    <row r="53" spans="1:5" s="292" customFormat="1" ht="30" customHeight="1" x14ac:dyDescent="0.25">
      <c r="A53" s="503">
        <v>5</v>
      </c>
      <c r="B53" s="275" t="s">
        <v>146</v>
      </c>
      <c r="C53" s="524" t="s">
        <v>612</v>
      </c>
      <c r="D53" s="505" t="s">
        <v>377</v>
      </c>
      <c r="E53" s="311" t="s">
        <v>442</v>
      </c>
    </row>
    <row r="54" spans="1:5" s="292" customFormat="1" ht="31.5" customHeight="1" x14ac:dyDescent="0.25">
      <c r="A54" s="503">
        <v>6</v>
      </c>
      <c r="B54" s="275" t="s">
        <v>135</v>
      </c>
      <c r="C54" s="524" t="s">
        <v>620</v>
      </c>
      <c r="D54" s="505" t="s">
        <v>377</v>
      </c>
      <c r="E54" s="311" t="s">
        <v>442</v>
      </c>
    </row>
    <row r="55" spans="1:5" s="292" customFormat="1" ht="20.25" customHeight="1" x14ac:dyDescent="0.25">
      <c r="A55" s="503">
        <v>7</v>
      </c>
      <c r="B55" s="275" t="s">
        <v>137</v>
      </c>
      <c r="C55" s="524" t="s">
        <v>612</v>
      </c>
      <c r="D55" s="505" t="s">
        <v>377</v>
      </c>
      <c r="E55" s="311" t="s">
        <v>442</v>
      </c>
    </row>
    <row r="56" spans="1:5" s="292" customFormat="1" ht="36.75" customHeight="1" x14ac:dyDescent="0.25">
      <c r="A56" s="503">
        <v>8</v>
      </c>
      <c r="B56" s="275" t="s">
        <v>164</v>
      </c>
      <c r="C56" s="524" t="s">
        <v>612</v>
      </c>
      <c r="D56" s="505" t="s">
        <v>377</v>
      </c>
      <c r="E56" s="311" t="s">
        <v>442</v>
      </c>
    </row>
    <row r="57" spans="1:5" s="292" customFormat="1" ht="30.75" customHeight="1" x14ac:dyDescent="0.25">
      <c r="A57" s="503">
        <v>9</v>
      </c>
      <c r="B57" s="311" t="s">
        <v>165</v>
      </c>
      <c r="C57" s="524" t="s">
        <v>620</v>
      </c>
      <c r="D57" s="505" t="s">
        <v>377</v>
      </c>
      <c r="E57" s="311" t="s">
        <v>442</v>
      </c>
    </row>
    <row r="58" spans="1:5" s="292" customFormat="1" ht="53.25" customHeight="1" x14ac:dyDescent="0.25">
      <c r="A58" s="503">
        <v>10</v>
      </c>
      <c r="B58" s="311" t="s">
        <v>644</v>
      </c>
      <c r="C58" s="524" t="s">
        <v>612</v>
      </c>
      <c r="D58" s="505" t="s">
        <v>377</v>
      </c>
      <c r="E58" s="311" t="s">
        <v>442</v>
      </c>
    </row>
    <row r="59" spans="1:5" s="292" customFormat="1" ht="22.5" customHeight="1" x14ac:dyDescent="0.25">
      <c r="A59" s="503">
        <v>11</v>
      </c>
      <c r="B59" s="504" t="s">
        <v>136</v>
      </c>
      <c r="C59" s="524" t="s">
        <v>612</v>
      </c>
      <c r="D59" s="505" t="s">
        <v>377</v>
      </c>
      <c r="E59" s="291" t="s">
        <v>442</v>
      </c>
    </row>
    <row r="60" spans="1:5" s="292" customFormat="1" ht="28.5" customHeight="1" x14ac:dyDescent="0.25">
      <c r="A60" s="503">
        <v>12</v>
      </c>
      <c r="B60" s="504" t="s">
        <v>43</v>
      </c>
      <c r="C60" s="524" t="s">
        <v>620</v>
      </c>
      <c r="D60" s="505" t="s">
        <v>377</v>
      </c>
      <c r="E60" s="291" t="s">
        <v>442</v>
      </c>
    </row>
    <row r="61" spans="1:5" s="292" customFormat="1" ht="25.5" customHeight="1" x14ac:dyDescent="0.25">
      <c r="A61" s="503">
        <v>13</v>
      </c>
      <c r="B61" s="504" t="s">
        <v>645</v>
      </c>
      <c r="C61" s="524" t="s">
        <v>612</v>
      </c>
      <c r="D61" s="505" t="s">
        <v>377</v>
      </c>
      <c r="E61" s="291" t="s">
        <v>442</v>
      </c>
    </row>
    <row r="62" spans="1:5" s="292" customFormat="1" ht="31.5" customHeight="1" x14ac:dyDescent="0.25">
      <c r="A62" s="503">
        <v>14</v>
      </c>
      <c r="B62" s="504" t="s">
        <v>279</v>
      </c>
      <c r="C62" s="524" t="s">
        <v>612</v>
      </c>
      <c r="D62" s="505" t="s">
        <v>377</v>
      </c>
      <c r="E62" s="291" t="s">
        <v>442</v>
      </c>
    </row>
    <row r="63" spans="1:5" s="292" customFormat="1" ht="38.25" customHeight="1" x14ac:dyDescent="0.25">
      <c r="A63" s="503">
        <v>15</v>
      </c>
      <c r="B63" s="504" t="s">
        <v>646</v>
      </c>
      <c r="C63" s="524" t="s">
        <v>620</v>
      </c>
      <c r="D63" s="505" t="s">
        <v>377</v>
      </c>
      <c r="E63" s="291" t="s">
        <v>442</v>
      </c>
    </row>
    <row r="64" spans="1:5" s="292" customFormat="1" ht="18.75" customHeight="1" x14ac:dyDescent="0.25">
      <c r="A64" s="655" t="s">
        <v>395</v>
      </c>
      <c r="B64" s="655"/>
      <c r="C64" s="655"/>
      <c r="D64" s="655"/>
      <c r="E64" s="655"/>
    </row>
    <row r="65" spans="1:5" s="266" customFormat="1" ht="30.75" customHeight="1" x14ac:dyDescent="0.2">
      <c r="A65" s="503">
        <v>1</v>
      </c>
      <c r="B65" s="504" t="s">
        <v>423</v>
      </c>
      <c r="C65" s="524" t="s">
        <v>618</v>
      </c>
      <c r="D65" s="505" t="s">
        <v>377</v>
      </c>
      <c r="E65" s="311" t="s">
        <v>443</v>
      </c>
    </row>
    <row r="66" spans="1:5" s="266" customFormat="1" ht="31.5" customHeight="1" x14ac:dyDescent="0.2">
      <c r="A66" s="503">
        <v>2</v>
      </c>
      <c r="B66" s="311" t="s">
        <v>345</v>
      </c>
      <c r="C66" s="524" t="s">
        <v>611</v>
      </c>
      <c r="D66" s="505" t="s">
        <v>377</v>
      </c>
      <c r="E66" s="311" t="s">
        <v>443</v>
      </c>
    </row>
    <row r="67" spans="1:5" s="266" customFormat="1" ht="30.75" customHeight="1" x14ac:dyDescent="0.2">
      <c r="A67" s="503">
        <v>3</v>
      </c>
      <c r="B67" s="473" t="s">
        <v>374</v>
      </c>
      <c r="C67" s="524" t="s">
        <v>611</v>
      </c>
      <c r="D67" s="505" t="s">
        <v>377</v>
      </c>
      <c r="E67" s="311" t="s">
        <v>443</v>
      </c>
    </row>
    <row r="68" spans="1:5" s="266" customFormat="1" ht="31.5" customHeight="1" x14ac:dyDescent="0.2">
      <c r="A68" s="503">
        <v>4</v>
      </c>
      <c r="B68" s="473" t="s">
        <v>424</v>
      </c>
      <c r="C68" s="524" t="s">
        <v>618</v>
      </c>
      <c r="D68" s="505" t="s">
        <v>377</v>
      </c>
      <c r="E68" s="311" t="s">
        <v>443</v>
      </c>
    </row>
    <row r="69" spans="1:5" s="266" customFormat="1" ht="34.5" customHeight="1" x14ac:dyDescent="0.2">
      <c r="A69" s="503">
        <v>5</v>
      </c>
      <c r="B69" s="473" t="s">
        <v>527</v>
      </c>
      <c r="C69" s="524" t="s">
        <v>611</v>
      </c>
      <c r="D69" s="505" t="s">
        <v>377</v>
      </c>
      <c r="E69" s="311" t="s">
        <v>443</v>
      </c>
    </row>
    <row r="70" spans="1:5" s="266" customFormat="1" ht="18" customHeight="1" x14ac:dyDescent="0.2">
      <c r="A70" s="655" t="s">
        <v>396</v>
      </c>
      <c r="B70" s="655"/>
      <c r="C70" s="655"/>
      <c r="D70" s="655"/>
      <c r="E70" s="655"/>
    </row>
    <row r="71" spans="1:5" s="266" customFormat="1" ht="39.75" customHeight="1" x14ac:dyDescent="0.2">
      <c r="A71" s="503">
        <v>1</v>
      </c>
      <c r="B71" s="275" t="s">
        <v>50</v>
      </c>
      <c r="C71" s="524" t="s">
        <v>618</v>
      </c>
      <c r="D71" s="505" t="s">
        <v>377</v>
      </c>
      <c r="E71" s="444" t="s">
        <v>427</v>
      </c>
    </row>
    <row r="72" spans="1:5" s="266" customFormat="1" ht="33" customHeight="1" x14ac:dyDescent="0.2">
      <c r="A72" s="503">
        <v>2</v>
      </c>
      <c r="B72" s="275" t="s">
        <v>138</v>
      </c>
      <c r="C72" s="524" t="s">
        <v>611</v>
      </c>
      <c r="D72" s="505" t="s">
        <v>377</v>
      </c>
      <c r="E72" s="444" t="s">
        <v>427</v>
      </c>
    </row>
    <row r="73" spans="1:5" s="266" customFormat="1" ht="30" customHeight="1" x14ac:dyDescent="0.2">
      <c r="A73" s="503">
        <v>3</v>
      </c>
      <c r="B73" s="504" t="s">
        <v>90</v>
      </c>
      <c r="C73" s="524" t="s">
        <v>618</v>
      </c>
      <c r="D73" s="505" t="s">
        <v>377</v>
      </c>
      <c r="E73" s="444" t="s">
        <v>427</v>
      </c>
    </row>
    <row r="74" spans="1:5" s="266" customFormat="1" ht="32.25" customHeight="1" x14ac:dyDescent="0.2">
      <c r="A74" s="503">
        <v>4</v>
      </c>
      <c r="B74" s="504" t="s">
        <v>647</v>
      </c>
      <c r="C74" s="524" t="s">
        <v>611</v>
      </c>
      <c r="D74" s="505" t="s">
        <v>377</v>
      </c>
      <c r="E74" s="444" t="s">
        <v>427</v>
      </c>
    </row>
    <row r="75" spans="1:5" s="266" customFormat="1" ht="30.75" customHeight="1" x14ac:dyDescent="0.2">
      <c r="A75" s="503">
        <v>5</v>
      </c>
      <c r="B75" s="504" t="s">
        <v>327</v>
      </c>
      <c r="C75" s="524" t="s">
        <v>618</v>
      </c>
      <c r="D75" s="505" t="s">
        <v>377</v>
      </c>
      <c r="E75" s="444" t="s">
        <v>427</v>
      </c>
    </row>
    <row r="76" spans="1:5" s="266" customFormat="1" ht="34.5" customHeight="1" x14ac:dyDescent="0.2">
      <c r="A76" s="503">
        <v>6</v>
      </c>
      <c r="B76" s="473" t="s">
        <v>426</v>
      </c>
      <c r="C76" s="524" t="s">
        <v>618</v>
      </c>
      <c r="D76" s="505" t="s">
        <v>377</v>
      </c>
      <c r="E76" s="444" t="s">
        <v>427</v>
      </c>
    </row>
    <row r="77" spans="1:5" s="266" customFormat="1" ht="20.25" customHeight="1" x14ac:dyDescent="0.2">
      <c r="A77" s="655" t="s">
        <v>398</v>
      </c>
      <c r="B77" s="655"/>
      <c r="C77" s="655"/>
      <c r="D77" s="655"/>
      <c r="E77" s="655"/>
    </row>
    <row r="78" spans="1:5" s="266" customFormat="1" ht="28.5" customHeight="1" x14ac:dyDescent="0.2">
      <c r="A78" s="503">
        <v>1</v>
      </c>
      <c r="B78" s="275" t="s">
        <v>546</v>
      </c>
      <c r="C78" s="524" t="s">
        <v>618</v>
      </c>
      <c r="D78" s="505" t="s">
        <v>377</v>
      </c>
      <c r="E78" s="311" t="s">
        <v>440</v>
      </c>
    </row>
    <row r="79" spans="1:5" s="266" customFormat="1" ht="27.75" customHeight="1" x14ac:dyDescent="0.2">
      <c r="A79" s="503">
        <v>2</v>
      </c>
      <c r="B79" s="275" t="s">
        <v>84</v>
      </c>
      <c r="C79" s="524" t="s">
        <v>611</v>
      </c>
      <c r="D79" s="505" t="s">
        <v>377</v>
      </c>
      <c r="E79" s="311" t="s">
        <v>440</v>
      </c>
    </row>
    <row r="80" spans="1:5" s="266" customFormat="1" ht="34.5" customHeight="1" x14ac:dyDescent="0.2">
      <c r="A80" s="503">
        <v>3</v>
      </c>
      <c r="B80" s="275" t="s">
        <v>545</v>
      </c>
      <c r="C80" s="524" t="s">
        <v>611</v>
      </c>
      <c r="D80" s="505" t="s">
        <v>377</v>
      </c>
      <c r="E80" s="311" t="s">
        <v>440</v>
      </c>
    </row>
    <row r="81" spans="1:5" s="266" customFormat="1" ht="48" customHeight="1" x14ac:dyDescent="0.2">
      <c r="A81" s="503">
        <v>4</v>
      </c>
      <c r="B81" s="275" t="s">
        <v>648</v>
      </c>
      <c r="C81" s="524" t="s">
        <v>618</v>
      </c>
      <c r="D81" s="505" t="s">
        <v>377</v>
      </c>
      <c r="E81" s="311" t="s">
        <v>440</v>
      </c>
    </row>
    <row r="82" spans="1:5" s="266" customFormat="1" ht="29.25" customHeight="1" x14ac:dyDescent="0.2">
      <c r="A82" s="503">
        <v>5</v>
      </c>
      <c r="B82" s="275" t="s">
        <v>149</v>
      </c>
      <c r="C82" s="524" t="s">
        <v>611</v>
      </c>
      <c r="D82" s="505" t="s">
        <v>377</v>
      </c>
      <c r="E82" s="311" t="s">
        <v>440</v>
      </c>
    </row>
    <row r="83" spans="1:5" s="266" customFormat="1" ht="17.25" customHeight="1" x14ac:dyDescent="0.2">
      <c r="A83" s="663" t="s">
        <v>387</v>
      </c>
      <c r="B83" s="663"/>
      <c r="C83" s="663"/>
      <c r="D83" s="663"/>
      <c r="E83" s="663"/>
    </row>
    <row r="84" spans="1:5" s="266" customFormat="1" ht="17.25" customHeight="1" x14ac:dyDescent="0.2">
      <c r="A84" s="655" t="s">
        <v>532</v>
      </c>
      <c r="B84" s="655"/>
      <c r="C84" s="655"/>
      <c r="D84" s="655"/>
      <c r="E84" s="655"/>
    </row>
    <row r="85" spans="1:5" s="266" customFormat="1" ht="46.5" customHeight="1" x14ac:dyDescent="0.2">
      <c r="A85" s="503">
        <v>1</v>
      </c>
      <c r="B85" s="480" t="s">
        <v>449</v>
      </c>
      <c r="C85" s="606" t="s">
        <v>608</v>
      </c>
      <c r="D85" s="505" t="s">
        <v>377</v>
      </c>
      <c r="E85" s="480" t="s">
        <v>408</v>
      </c>
    </row>
    <row r="86" spans="1:5" s="266" customFormat="1" ht="17.25" customHeight="1" x14ac:dyDescent="0.2">
      <c r="A86" s="655" t="s">
        <v>450</v>
      </c>
      <c r="B86" s="655"/>
      <c r="C86" s="655"/>
      <c r="D86" s="655"/>
      <c r="E86" s="655"/>
    </row>
    <row r="87" spans="1:5" s="266" customFormat="1" ht="33.75" customHeight="1" x14ac:dyDescent="0.2">
      <c r="A87" s="503">
        <v>1</v>
      </c>
      <c r="B87" s="275" t="s">
        <v>110</v>
      </c>
      <c r="C87" s="524" t="s">
        <v>608</v>
      </c>
      <c r="D87" s="505" t="s">
        <v>377</v>
      </c>
      <c r="E87" s="444" t="s">
        <v>383</v>
      </c>
    </row>
    <row r="88" spans="1:5" s="266" customFormat="1" ht="31.5" customHeight="1" x14ac:dyDescent="0.2">
      <c r="A88" s="503">
        <v>2</v>
      </c>
      <c r="B88" s="275" t="s">
        <v>272</v>
      </c>
      <c r="C88" s="524" t="s">
        <v>608</v>
      </c>
      <c r="D88" s="502" t="s">
        <v>377</v>
      </c>
      <c r="E88" s="444" t="s">
        <v>383</v>
      </c>
    </row>
    <row r="89" spans="1:5" s="266" customFormat="1" ht="19.5" customHeight="1" x14ac:dyDescent="0.2">
      <c r="A89" s="503">
        <v>3</v>
      </c>
      <c r="B89" s="275" t="s">
        <v>384</v>
      </c>
      <c r="C89" s="524" t="s">
        <v>608</v>
      </c>
      <c r="D89" s="505" t="s">
        <v>377</v>
      </c>
      <c r="E89" s="444" t="s">
        <v>383</v>
      </c>
    </row>
    <row r="90" spans="1:5" s="266" customFormat="1" ht="35.25" customHeight="1" x14ac:dyDescent="0.2">
      <c r="A90" s="503">
        <v>4</v>
      </c>
      <c r="B90" s="275" t="s">
        <v>649</v>
      </c>
      <c r="C90" s="524" t="s">
        <v>613</v>
      </c>
      <c r="D90" s="505" t="s">
        <v>377</v>
      </c>
      <c r="E90" s="444" t="s">
        <v>383</v>
      </c>
    </row>
    <row r="91" spans="1:5" s="266" customFormat="1" ht="29.25" customHeight="1" x14ac:dyDescent="0.2">
      <c r="A91" s="503">
        <v>5</v>
      </c>
      <c r="B91" s="483" t="s">
        <v>650</v>
      </c>
      <c r="C91" s="483" t="s">
        <v>614</v>
      </c>
      <c r="D91" s="484" t="s">
        <v>632</v>
      </c>
      <c r="E91" s="485"/>
    </row>
    <row r="92" spans="1:5" s="266" customFormat="1" ht="31.5" customHeight="1" x14ac:dyDescent="0.2">
      <c r="A92" s="503">
        <v>6</v>
      </c>
      <c r="B92" s="507" t="s">
        <v>651</v>
      </c>
      <c r="C92" s="507" t="s">
        <v>609</v>
      </c>
      <c r="D92" s="484" t="s">
        <v>632</v>
      </c>
      <c r="E92" s="485"/>
    </row>
    <row r="93" spans="1:5" s="266" customFormat="1" ht="16.5" customHeight="1" x14ac:dyDescent="0.2">
      <c r="A93" s="539">
        <v>7</v>
      </c>
      <c r="B93" s="486" t="s">
        <v>429</v>
      </c>
      <c r="C93" s="486" t="s">
        <v>608</v>
      </c>
      <c r="D93" s="484" t="s">
        <v>632</v>
      </c>
      <c r="E93" s="485"/>
    </row>
    <row r="94" spans="1:5" s="266" customFormat="1" ht="54.75" customHeight="1" x14ac:dyDescent="0.2">
      <c r="A94" s="503">
        <v>8</v>
      </c>
      <c r="B94" s="486" t="s">
        <v>652</v>
      </c>
      <c r="C94" s="486" t="s">
        <v>609</v>
      </c>
      <c r="D94" s="484" t="s">
        <v>632</v>
      </c>
      <c r="E94" s="485"/>
    </row>
    <row r="95" spans="1:5" s="266" customFormat="1" ht="21" customHeight="1" x14ac:dyDescent="0.2">
      <c r="A95" s="503">
        <v>9</v>
      </c>
      <c r="B95" s="478" t="s">
        <v>430</v>
      </c>
      <c r="C95" s="486" t="s">
        <v>609</v>
      </c>
      <c r="D95" s="484" t="s">
        <v>632</v>
      </c>
      <c r="E95" s="485"/>
    </row>
    <row r="96" spans="1:5" s="266" customFormat="1" ht="18.75" customHeight="1" x14ac:dyDescent="0.2">
      <c r="A96" s="503">
        <v>10</v>
      </c>
      <c r="B96" s="478" t="s">
        <v>530</v>
      </c>
      <c r="C96" s="486" t="s">
        <v>609</v>
      </c>
      <c r="D96" s="484" t="s">
        <v>632</v>
      </c>
      <c r="E96" s="485"/>
    </row>
    <row r="97" spans="1:5" s="266" customFormat="1" ht="28.5" customHeight="1" x14ac:dyDescent="0.2">
      <c r="A97" s="503">
        <v>11</v>
      </c>
      <c r="B97" s="508" t="s">
        <v>653</v>
      </c>
      <c r="C97" s="486" t="s">
        <v>609</v>
      </c>
      <c r="D97" s="484" t="s">
        <v>632</v>
      </c>
      <c r="E97" s="485"/>
    </row>
    <row r="98" spans="1:5" s="266" customFormat="1" ht="17.25" customHeight="1" x14ac:dyDescent="0.2">
      <c r="A98" s="655" t="s">
        <v>400</v>
      </c>
      <c r="B98" s="655"/>
      <c r="C98" s="655"/>
      <c r="D98" s="655"/>
      <c r="E98" s="655"/>
    </row>
    <row r="99" spans="1:5" s="266" customFormat="1" ht="30" customHeight="1" x14ac:dyDescent="0.2">
      <c r="A99" s="539">
        <v>1</v>
      </c>
      <c r="B99" s="291" t="s">
        <v>313</v>
      </c>
      <c r="C99" s="524" t="s">
        <v>617</v>
      </c>
      <c r="D99" s="502" t="s">
        <v>377</v>
      </c>
      <c r="E99" s="311" t="s">
        <v>386</v>
      </c>
    </row>
    <row r="100" spans="1:5" s="266" customFormat="1" ht="29.25" customHeight="1" x14ac:dyDescent="0.2">
      <c r="A100" s="539">
        <v>2</v>
      </c>
      <c r="B100" s="291" t="s">
        <v>80</v>
      </c>
      <c r="C100" s="524" t="s">
        <v>617</v>
      </c>
      <c r="D100" s="502" t="s">
        <v>377</v>
      </c>
      <c r="E100" s="311" t="s">
        <v>386</v>
      </c>
    </row>
    <row r="101" spans="1:5" s="266" customFormat="1" ht="41.25" customHeight="1" x14ac:dyDescent="0.2">
      <c r="A101" s="539">
        <v>3</v>
      </c>
      <c r="B101" s="473" t="s">
        <v>654</v>
      </c>
      <c r="C101" s="524" t="s">
        <v>617</v>
      </c>
      <c r="D101" s="502" t="s">
        <v>377</v>
      </c>
      <c r="E101" s="311" t="s">
        <v>386</v>
      </c>
    </row>
    <row r="102" spans="1:5" s="266" customFormat="1" ht="29.25" customHeight="1" x14ac:dyDescent="0.2">
      <c r="A102" s="541">
        <v>4</v>
      </c>
      <c r="B102" s="504" t="s">
        <v>288</v>
      </c>
      <c r="C102" s="524" t="s">
        <v>617</v>
      </c>
      <c r="D102" s="340" t="s">
        <v>377</v>
      </c>
      <c r="E102" s="311" t="s">
        <v>386</v>
      </c>
    </row>
    <row r="103" spans="1:5" s="266" customFormat="1" ht="30" customHeight="1" x14ac:dyDescent="0.2">
      <c r="A103" s="539">
        <v>5</v>
      </c>
      <c r="B103" s="291" t="s">
        <v>28</v>
      </c>
      <c r="C103" s="524" t="s">
        <v>617</v>
      </c>
      <c r="D103" s="502" t="s">
        <v>377</v>
      </c>
      <c r="E103" s="311" t="s">
        <v>386</v>
      </c>
    </row>
    <row r="104" spans="1:5" s="266" customFormat="1" ht="29.25" customHeight="1" x14ac:dyDescent="0.2">
      <c r="A104" s="539">
        <v>6</v>
      </c>
      <c r="B104" s="291" t="s">
        <v>96</v>
      </c>
      <c r="C104" s="524" t="s">
        <v>617</v>
      </c>
      <c r="D104" s="502" t="s">
        <v>377</v>
      </c>
      <c r="E104" s="311" t="s">
        <v>386</v>
      </c>
    </row>
    <row r="105" spans="1:5" s="266" customFormat="1" ht="32.25" customHeight="1" x14ac:dyDescent="0.2">
      <c r="A105" s="539">
        <v>7</v>
      </c>
      <c r="B105" s="291" t="s">
        <v>335</v>
      </c>
      <c r="C105" s="524" t="s">
        <v>617</v>
      </c>
      <c r="D105" s="502" t="s">
        <v>377</v>
      </c>
      <c r="E105" s="311" t="s">
        <v>386</v>
      </c>
    </row>
    <row r="106" spans="1:5" s="266" customFormat="1" ht="33.75" customHeight="1" x14ac:dyDescent="0.2">
      <c r="A106" s="539">
        <v>8</v>
      </c>
      <c r="B106" s="291" t="s">
        <v>375</v>
      </c>
      <c r="C106" s="524" t="s">
        <v>608</v>
      </c>
      <c r="D106" s="502" t="s">
        <v>377</v>
      </c>
      <c r="E106" s="311" t="s">
        <v>386</v>
      </c>
    </row>
    <row r="107" spans="1:5" s="266" customFormat="1" ht="28.5" customHeight="1" x14ac:dyDescent="0.2">
      <c r="A107" s="539">
        <v>9</v>
      </c>
      <c r="B107" s="291" t="s">
        <v>607</v>
      </c>
      <c r="C107" s="524" t="s">
        <v>617</v>
      </c>
      <c r="D107" s="340" t="s">
        <v>377</v>
      </c>
      <c r="E107" s="311" t="s">
        <v>386</v>
      </c>
    </row>
    <row r="108" spans="1:5" s="266" customFormat="1" ht="67.5" customHeight="1" x14ac:dyDescent="0.2">
      <c r="A108" s="539">
        <v>10</v>
      </c>
      <c r="B108" s="291" t="s">
        <v>741</v>
      </c>
      <c r="C108" s="524" t="s">
        <v>608</v>
      </c>
      <c r="D108" s="340" t="s">
        <v>377</v>
      </c>
      <c r="E108" s="311" t="s">
        <v>386</v>
      </c>
    </row>
    <row r="109" spans="1:5" s="266" customFormat="1" ht="34.5" customHeight="1" x14ac:dyDescent="0.2">
      <c r="A109" s="539">
        <v>11</v>
      </c>
      <c r="B109" s="291" t="s">
        <v>324</v>
      </c>
      <c r="C109" s="524" t="s">
        <v>608</v>
      </c>
      <c r="D109" s="502" t="s">
        <v>377</v>
      </c>
      <c r="E109" s="311" t="s">
        <v>386</v>
      </c>
    </row>
    <row r="110" spans="1:5" s="266" customFormat="1" ht="31.5" customHeight="1" x14ac:dyDescent="0.2">
      <c r="A110" s="539">
        <v>12</v>
      </c>
      <c r="B110" s="311" t="s">
        <v>39</v>
      </c>
      <c r="C110" s="524" t="s">
        <v>608</v>
      </c>
      <c r="D110" s="505" t="s">
        <v>377</v>
      </c>
      <c r="E110" s="311" t="s">
        <v>386</v>
      </c>
    </row>
    <row r="111" spans="1:5" s="266" customFormat="1" ht="30.75" customHeight="1" x14ac:dyDescent="0.2">
      <c r="A111" s="539">
        <v>13</v>
      </c>
      <c r="B111" s="291" t="s">
        <v>152</v>
      </c>
      <c r="C111" s="524" t="s">
        <v>608</v>
      </c>
      <c r="D111" s="502" t="s">
        <v>377</v>
      </c>
      <c r="E111" s="311" t="s">
        <v>386</v>
      </c>
    </row>
    <row r="112" spans="1:5" s="266" customFormat="1" ht="30.75" customHeight="1" x14ac:dyDescent="0.2">
      <c r="A112" s="539">
        <v>14</v>
      </c>
      <c r="B112" s="291" t="s">
        <v>432</v>
      </c>
      <c r="C112" s="524" t="s">
        <v>608</v>
      </c>
      <c r="D112" s="502" t="s">
        <v>377</v>
      </c>
      <c r="E112" s="311" t="s">
        <v>386</v>
      </c>
    </row>
    <row r="113" spans="1:5" s="266" customFormat="1" ht="33" customHeight="1" x14ac:dyDescent="0.2">
      <c r="A113" s="539">
        <v>15</v>
      </c>
      <c r="B113" s="291" t="s">
        <v>433</v>
      </c>
      <c r="C113" s="524" t="s">
        <v>608</v>
      </c>
      <c r="D113" s="502" t="s">
        <v>377</v>
      </c>
      <c r="E113" s="311" t="s">
        <v>386</v>
      </c>
    </row>
    <row r="114" spans="1:5" s="266" customFormat="1" ht="28.5" customHeight="1" x14ac:dyDescent="0.2">
      <c r="A114" s="539">
        <v>16</v>
      </c>
      <c r="B114" s="291" t="s">
        <v>655</v>
      </c>
      <c r="C114" s="524" t="s">
        <v>608</v>
      </c>
      <c r="D114" s="502" t="s">
        <v>377</v>
      </c>
      <c r="E114" s="311" t="s">
        <v>386</v>
      </c>
    </row>
    <row r="115" spans="1:5" s="265" customFormat="1" ht="33" customHeight="1" x14ac:dyDescent="0.2">
      <c r="A115" s="664">
        <v>17</v>
      </c>
      <c r="B115" s="501" t="s">
        <v>656</v>
      </c>
      <c r="C115" s="524" t="s">
        <v>608</v>
      </c>
      <c r="D115" s="659" t="s">
        <v>377</v>
      </c>
      <c r="E115" s="662" t="s">
        <v>386</v>
      </c>
    </row>
    <row r="116" spans="1:5" s="266" customFormat="1" ht="16.5" customHeight="1" x14ac:dyDescent="0.2">
      <c r="A116" s="665"/>
      <c r="B116" s="501" t="s">
        <v>657</v>
      </c>
      <c r="C116" s="524" t="s">
        <v>608</v>
      </c>
      <c r="D116" s="660"/>
      <c r="E116" s="662"/>
    </row>
    <row r="117" spans="1:5" s="266" customFormat="1" ht="18.75" customHeight="1" x14ac:dyDescent="0.2">
      <c r="A117" s="666"/>
      <c r="B117" s="501" t="s">
        <v>333</v>
      </c>
      <c r="C117" s="524" t="s">
        <v>608</v>
      </c>
      <c r="D117" s="661"/>
      <c r="E117" s="662"/>
    </row>
    <row r="118" spans="1:5" s="266" customFormat="1" ht="30" customHeight="1" x14ac:dyDescent="0.2">
      <c r="A118" s="539">
        <v>18</v>
      </c>
      <c r="B118" s="291" t="s">
        <v>308</v>
      </c>
      <c r="C118" s="524" t="s">
        <v>608</v>
      </c>
      <c r="D118" s="502" t="s">
        <v>377</v>
      </c>
      <c r="E118" s="311" t="s">
        <v>386</v>
      </c>
    </row>
    <row r="119" spans="1:5" s="266" customFormat="1" ht="29.25" customHeight="1" x14ac:dyDescent="0.2">
      <c r="A119" s="539">
        <v>19</v>
      </c>
      <c r="B119" s="291" t="s">
        <v>434</v>
      </c>
      <c r="C119" s="524" t="s">
        <v>608</v>
      </c>
      <c r="D119" s="502" t="s">
        <v>377</v>
      </c>
      <c r="E119" s="311" t="s">
        <v>386</v>
      </c>
    </row>
    <row r="120" spans="1:5" s="266" customFormat="1" ht="33" customHeight="1" x14ac:dyDescent="0.2">
      <c r="A120" s="539">
        <v>20</v>
      </c>
      <c r="B120" s="291" t="s">
        <v>435</v>
      </c>
      <c r="C120" s="524" t="s">
        <v>608</v>
      </c>
      <c r="D120" s="502" t="s">
        <v>377</v>
      </c>
      <c r="E120" s="311" t="s">
        <v>386</v>
      </c>
    </row>
    <row r="121" spans="1:5" s="266" customFormat="1" ht="34.5" customHeight="1" x14ac:dyDescent="0.2">
      <c r="A121" s="539">
        <v>21</v>
      </c>
      <c r="B121" s="291" t="s">
        <v>658</v>
      </c>
      <c r="C121" s="524" t="s">
        <v>608</v>
      </c>
      <c r="D121" s="502" t="s">
        <v>377</v>
      </c>
      <c r="E121" s="311" t="s">
        <v>386</v>
      </c>
    </row>
    <row r="122" spans="1:5" s="266" customFormat="1" ht="34.5" customHeight="1" x14ac:dyDescent="0.2">
      <c r="A122" s="539">
        <v>22</v>
      </c>
      <c r="B122" s="291" t="s">
        <v>438</v>
      </c>
      <c r="C122" s="524" t="s">
        <v>608</v>
      </c>
      <c r="D122" s="502" t="s">
        <v>377</v>
      </c>
      <c r="E122" s="311" t="s">
        <v>386</v>
      </c>
    </row>
    <row r="123" spans="1:5" s="266" customFormat="1" ht="34.5" customHeight="1" x14ac:dyDescent="0.2">
      <c r="A123" s="539">
        <v>23</v>
      </c>
      <c r="B123" s="532" t="s">
        <v>534</v>
      </c>
      <c r="C123" s="524" t="s">
        <v>608</v>
      </c>
      <c r="D123" s="520" t="s">
        <v>377</v>
      </c>
      <c r="E123" s="538" t="s">
        <v>386</v>
      </c>
    </row>
    <row r="124" spans="1:5" s="266" customFormat="1" ht="29.25" customHeight="1" x14ac:dyDescent="0.2">
      <c r="A124" s="539">
        <v>24</v>
      </c>
      <c r="B124" s="291" t="s">
        <v>153</v>
      </c>
      <c r="C124" s="524" t="s">
        <v>608</v>
      </c>
      <c r="D124" s="502" t="s">
        <v>377</v>
      </c>
      <c r="E124" s="311" t="s">
        <v>386</v>
      </c>
    </row>
    <row r="125" spans="1:5" s="266" customFormat="1" ht="26.25" customHeight="1" x14ac:dyDescent="0.2">
      <c r="A125" s="539">
        <v>25</v>
      </c>
      <c r="B125" s="291" t="s">
        <v>122</v>
      </c>
      <c r="C125" s="524" t="s">
        <v>608</v>
      </c>
      <c r="D125" s="502" t="s">
        <v>377</v>
      </c>
      <c r="E125" s="311" t="s">
        <v>386</v>
      </c>
    </row>
    <row r="126" spans="1:5" s="292" customFormat="1" ht="33" customHeight="1" x14ac:dyDescent="0.25">
      <c r="A126" s="539">
        <v>26</v>
      </c>
      <c r="B126" s="291" t="s">
        <v>310</v>
      </c>
      <c r="C126" s="524" t="s">
        <v>608</v>
      </c>
      <c r="D126" s="502" t="s">
        <v>377</v>
      </c>
      <c r="E126" s="311" t="s">
        <v>386</v>
      </c>
    </row>
    <row r="127" spans="1:5" s="292" customFormat="1" ht="33" customHeight="1" x14ac:dyDescent="0.25">
      <c r="A127" s="539">
        <v>27</v>
      </c>
      <c r="B127" s="532" t="s">
        <v>602</v>
      </c>
      <c r="C127" s="524" t="s">
        <v>608</v>
      </c>
      <c r="D127" s="520" t="s">
        <v>377</v>
      </c>
      <c r="E127" s="627" t="s">
        <v>386</v>
      </c>
    </row>
    <row r="128" spans="1:5" s="292" customFormat="1" ht="31.5" customHeight="1" x14ac:dyDescent="0.25">
      <c r="A128" s="539">
        <v>28</v>
      </c>
      <c r="B128" s="291" t="s">
        <v>437</v>
      </c>
      <c r="C128" s="524" t="s">
        <v>608</v>
      </c>
      <c r="D128" s="502" t="s">
        <v>377</v>
      </c>
      <c r="E128" s="311" t="s">
        <v>386</v>
      </c>
    </row>
    <row r="129" spans="1:5" s="292" customFormat="1" ht="31.5" customHeight="1" x14ac:dyDescent="0.25">
      <c r="A129" s="539">
        <v>29</v>
      </c>
      <c r="B129" s="291" t="s">
        <v>536</v>
      </c>
      <c r="C129" s="524" t="s">
        <v>608</v>
      </c>
      <c r="D129" s="502" t="s">
        <v>377</v>
      </c>
      <c r="E129" s="311" t="s">
        <v>386</v>
      </c>
    </row>
    <row r="130" spans="1:5" s="292" customFormat="1" ht="31.5" customHeight="1" x14ac:dyDescent="0.25">
      <c r="A130" s="539">
        <v>30</v>
      </c>
      <c r="B130" s="532" t="s">
        <v>740</v>
      </c>
      <c r="C130" s="653" t="s">
        <v>617</v>
      </c>
      <c r="D130" s="520" t="s">
        <v>377</v>
      </c>
      <c r="E130" s="653" t="s">
        <v>386</v>
      </c>
    </row>
    <row r="131" spans="1:5" s="292" customFormat="1" ht="15.75" customHeight="1" x14ac:dyDescent="0.25">
      <c r="A131" s="655" t="s">
        <v>416</v>
      </c>
      <c r="B131" s="655"/>
      <c r="C131" s="655"/>
      <c r="D131" s="655"/>
      <c r="E131" s="655"/>
    </row>
    <row r="132" spans="1:5" s="292" customFormat="1" ht="27.75" customHeight="1" x14ac:dyDescent="0.25">
      <c r="A132" s="539">
        <v>1</v>
      </c>
      <c r="B132" s="311" t="s">
        <v>143</v>
      </c>
      <c r="C132" s="524" t="s">
        <v>624</v>
      </c>
      <c r="D132" s="502" t="s">
        <v>377</v>
      </c>
      <c r="E132" s="311" t="s">
        <v>386</v>
      </c>
    </row>
    <row r="133" spans="1:5" s="266" customFormat="1" ht="21" customHeight="1" x14ac:dyDescent="0.2">
      <c r="A133" s="539">
        <v>2</v>
      </c>
      <c r="B133" s="473" t="s">
        <v>373</v>
      </c>
      <c r="C133" s="524" t="s">
        <v>608</v>
      </c>
      <c r="D133" s="505" t="s">
        <v>377</v>
      </c>
      <c r="E133" s="444" t="s">
        <v>383</v>
      </c>
    </row>
    <row r="134" spans="1:5" s="266" customFormat="1" ht="26.25" customHeight="1" x14ac:dyDescent="0.2">
      <c r="A134" s="651">
        <v>3</v>
      </c>
      <c r="B134" s="477" t="s">
        <v>659</v>
      </c>
      <c r="C134" s="574" t="s">
        <v>621</v>
      </c>
      <c r="D134" s="462" t="s">
        <v>633</v>
      </c>
      <c r="E134" s="476"/>
    </row>
    <row r="135" spans="1:5" s="266" customFormat="1" ht="24" customHeight="1" x14ac:dyDescent="0.2">
      <c r="A135" s="651">
        <v>4</v>
      </c>
      <c r="B135" s="477" t="s">
        <v>660</v>
      </c>
      <c r="C135" s="574" t="s">
        <v>621</v>
      </c>
      <c r="D135" s="462" t="s">
        <v>633</v>
      </c>
      <c r="E135" s="476"/>
    </row>
    <row r="136" spans="1:5" s="266" customFormat="1" ht="23.25" customHeight="1" x14ac:dyDescent="0.2">
      <c r="A136" s="651">
        <v>5</v>
      </c>
      <c r="B136" s="477" t="s">
        <v>661</v>
      </c>
      <c r="C136" s="574" t="s">
        <v>608</v>
      </c>
      <c r="D136" s="462" t="s">
        <v>633</v>
      </c>
      <c r="E136" s="476"/>
    </row>
    <row r="137" spans="1:5" s="266" customFormat="1" ht="25.5" customHeight="1" x14ac:dyDescent="0.2">
      <c r="A137" s="651">
        <v>6</v>
      </c>
      <c r="B137" s="478" t="s">
        <v>662</v>
      </c>
      <c r="C137" s="575" t="s">
        <v>609</v>
      </c>
      <c r="D137" s="462" t="s">
        <v>633</v>
      </c>
      <c r="E137" s="476"/>
    </row>
    <row r="138" spans="1:5" s="266" customFormat="1" ht="28.5" customHeight="1" x14ac:dyDescent="0.2">
      <c r="A138" s="651">
        <v>7</v>
      </c>
      <c r="B138" s="478" t="s">
        <v>663</v>
      </c>
      <c r="C138" s="575" t="s">
        <v>609</v>
      </c>
      <c r="D138" s="462" t="s">
        <v>633</v>
      </c>
      <c r="E138" s="476"/>
    </row>
    <row r="139" spans="1:5" s="266" customFormat="1" ht="26.25" customHeight="1" x14ac:dyDescent="0.2">
      <c r="A139" s="651">
        <v>8</v>
      </c>
      <c r="B139" s="478" t="s">
        <v>664</v>
      </c>
      <c r="C139" s="575" t="s">
        <v>609</v>
      </c>
      <c r="D139" s="462" t="s">
        <v>633</v>
      </c>
      <c r="E139" s="476"/>
    </row>
    <row r="140" spans="1:5" s="266" customFormat="1" ht="21" customHeight="1" x14ac:dyDescent="0.2">
      <c r="A140" s="651">
        <v>9</v>
      </c>
      <c r="B140" s="478" t="s">
        <v>541</v>
      </c>
      <c r="C140" s="575" t="s">
        <v>609</v>
      </c>
      <c r="D140" s="462" t="s">
        <v>633</v>
      </c>
      <c r="E140" s="476"/>
    </row>
    <row r="141" spans="1:5" s="266" customFormat="1" ht="18" customHeight="1" x14ac:dyDescent="0.2">
      <c r="A141" s="651">
        <v>10</v>
      </c>
      <c r="B141" s="478" t="s">
        <v>403</v>
      </c>
      <c r="C141" s="575" t="s">
        <v>609</v>
      </c>
      <c r="D141" s="462" t="s">
        <v>633</v>
      </c>
      <c r="E141" s="476"/>
    </row>
    <row r="142" spans="1:5" s="266" customFormat="1" ht="19.5" customHeight="1" x14ac:dyDescent="0.2">
      <c r="A142" s="651">
        <v>11</v>
      </c>
      <c r="B142" s="478" t="s">
        <v>665</v>
      </c>
      <c r="C142" s="575" t="s">
        <v>609</v>
      </c>
      <c r="D142" s="462" t="s">
        <v>633</v>
      </c>
      <c r="E142" s="476"/>
    </row>
    <row r="143" spans="1:5" s="266" customFormat="1" ht="21.75" customHeight="1" x14ac:dyDescent="0.2">
      <c r="A143" s="652">
        <v>12</v>
      </c>
      <c r="B143" s="575" t="s">
        <v>553</v>
      </c>
      <c r="C143" s="575" t="s">
        <v>608</v>
      </c>
      <c r="D143" s="532" t="s">
        <v>633</v>
      </c>
      <c r="E143" s="500"/>
    </row>
    <row r="144" spans="1:5" s="266" customFormat="1" ht="23.25" customHeight="1" x14ac:dyDescent="0.2">
      <c r="A144" s="652">
        <v>13</v>
      </c>
      <c r="B144" s="575" t="s">
        <v>552</v>
      </c>
      <c r="C144" s="575" t="s">
        <v>608</v>
      </c>
      <c r="D144" s="532" t="s">
        <v>633</v>
      </c>
      <c r="E144" s="500"/>
    </row>
    <row r="145" spans="1:5" s="266" customFormat="1" ht="25.5" customHeight="1" x14ac:dyDescent="0.2">
      <c r="A145" s="651">
        <v>14</v>
      </c>
      <c r="B145" s="478" t="s">
        <v>404</v>
      </c>
      <c r="C145" s="575" t="s">
        <v>609</v>
      </c>
      <c r="D145" s="462" t="s">
        <v>633</v>
      </c>
      <c r="E145" s="476"/>
    </row>
    <row r="146" spans="1:5" s="266" customFormat="1" ht="24.75" customHeight="1" x14ac:dyDescent="0.2">
      <c r="A146" s="651">
        <v>15</v>
      </c>
      <c r="B146" s="478" t="s">
        <v>405</v>
      </c>
      <c r="C146" s="575" t="s">
        <v>609</v>
      </c>
      <c r="D146" s="462" t="s">
        <v>633</v>
      </c>
      <c r="E146" s="476"/>
    </row>
    <row r="147" spans="1:5" s="266" customFormat="1" ht="26.25" customHeight="1" x14ac:dyDescent="0.2">
      <c r="A147" s="651">
        <v>16</v>
      </c>
      <c r="B147" s="478" t="s">
        <v>666</v>
      </c>
      <c r="C147" s="575" t="s">
        <v>609</v>
      </c>
      <c r="D147" s="462" t="s">
        <v>633</v>
      </c>
      <c r="E147" s="476"/>
    </row>
    <row r="148" spans="1:5" s="266" customFormat="1" ht="22.5" customHeight="1" x14ac:dyDescent="0.2">
      <c r="A148" s="651">
        <v>17</v>
      </c>
      <c r="B148" s="517" t="s">
        <v>667</v>
      </c>
      <c r="C148" s="575" t="s">
        <v>609</v>
      </c>
      <c r="D148" s="462" t="s">
        <v>633</v>
      </c>
      <c r="E148" s="476"/>
    </row>
    <row r="149" spans="1:5" s="266" customFormat="1" ht="21.75" customHeight="1" x14ac:dyDescent="0.2">
      <c r="A149" s="652">
        <v>18</v>
      </c>
      <c r="B149" s="575" t="s">
        <v>668</v>
      </c>
      <c r="C149" s="575" t="s">
        <v>608</v>
      </c>
      <c r="D149" s="532" t="s">
        <v>633</v>
      </c>
      <c r="E149" s="500"/>
    </row>
    <row r="150" spans="1:5" s="266" customFormat="1" ht="19.5" customHeight="1" x14ac:dyDescent="0.2">
      <c r="A150" s="652">
        <v>19</v>
      </c>
      <c r="B150" s="575" t="s">
        <v>669</v>
      </c>
      <c r="C150" s="575" t="s">
        <v>623</v>
      </c>
      <c r="D150" s="532" t="s">
        <v>633</v>
      </c>
      <c r="E150" s="500"/>
    </row>
    <row r="151" spans="1:5" s="266" customFormat="1" ht="36.75" customHeight="1" x14ac:dyDescent="0.2">
      <c r="A151" s="652">
        <v>20</v>
      </c>
      <c r="B151" s="492" t="s">
        <v>670</v>
      </c>
      <c r="C151" s="575" t="s">
        <v>608</v>
      </c>
      <c r="D151" s="532" t="s">
        <v>633</v>
      </c>
      <c r="E151" s="500"/>
    </row>
    <row r="152" spans="1:5" s="266" customFormat="1" ht="23.25" customHeight="1" x14ac:dyDescent="0.2">
      <c r="A152" s="652">
        <v>21</v>
      </c>
      <c r="B152" s="494" t="s">
        <v>671</v>
      </c>
      <c r="C152" s="575" t="s">
        <v>608</v>
      </c>
      <c r="D152" s="532" t="s">
        <v>633</v>
      </c>
      <c r="E152" s="500"/>
    </row>
    <row r="153" spans="1:5" s="266" customFormat="1" ht="24.75" customHeight="1" x14ac:dyDescent="0.2">
      <c r="A153" s="652">
        <v>22</v>
      </c>
      <c r="B153" s="494" t="s">
        <v>672</v>
      </c>
      <c r="C153" s="575" t="s">
        <v>608</v>
      </c>
      <c r="D153" s="532" t="s">
        <v>633</v>
      </c>
      <c r="E153" s="500"/>
    </row>
    <row r="154" spans="1:5" s="266" customFormat="1" ht="25.5" customHeight="1" x14ac:dyDescent="0.2">
      <c r="A154" s="652">
        <v>23</v>
      </c>
      <c r="B154" s="494" t="s">
        <v>673</v>
      </c>
      <c r="C154" s="575" t="s">
        <v>608</v>
      </c>
      <c r="D154" s="532" t="s">
        <v>633</v>
      </c>
      <c r="E154" s="500"/>
    </row>
    <row r="155" spans="1:5" s="266" customFormat="1" ht="18.75" customHeight="1" x14ac:dyDescent="0.2">
      <c r="A155" s="652">
        <v>24</v>
      </c>
      <c r="B155" s="494" t="s">
        <v>674</v>
      </c>
      <c r="C155" s="575" t="s">
        <v>608</v>
      </c>
      <c r="D155" s="532" t="s">
        <v>633</v>
      </c>
      <c r="E155" s="500"/>
    </row>
    <row r="156" spans="1:5" s="266" customFormat="1" ht="20.25" customHeight="1" x14ac:dyDescent="0.2">
      <c r="A156" s="652">
        <v>25</v>
      </c>
      <c r="B156" s="575" t="s">
        <v>675</v>
      </c>
      <c r="C156" s="575" t="s">
        <v>608</v>
      </c>
      <c r="D156" s="532" t="s">
        <v>633</v>
      </c>
      <c r="E156" s="500"/>
    </row>
    <row r="157" spans="1:5" s="266" customFormat="1" ht="32.25" customHeight="1" x14ac:dyDescent="0.2">
      <c r="A157" s="652">
        <v>26</v>
      </c>
      <c r="B157" s="494" t="s">
        <v>676</v>
      </c>
      <c r="C157" s="575" t="s">
        <v>608</v>
      </c>
      <c r="D157" s="532" t="s">
        <v>633</v>
      </c>
      <c r="E157" s="500"/>
    </row>
    <row r="158" spans="1:5" s="266" customFormat="1" ht="20.25" customHeight="1" x14ac:dyDescent="0.2">
      <c r="A158" s="652">
        <v>27</v>
      </c>
      <c r="B158" s="575" t="s">
        <v>677</v>
      </c>
      <c r="C158" s="575" t="s">
        <v>608</v>
      </c>
      <c r="D158" s="532" t="s">
        <v>633</v>
      </c>
      <c r="E158" s="500"/>
    </row>
    <row r="159" spans="1:5" s="266" customFormat="1" ht="21.75" customHeight="1" x14ac:dyDescent="0.2">
      <c r="A159" s="652">
        <v>28</v>
      </c>
      <c r="B159" s="575" t="s">
        <v>678</v>
      </c>
      <c r="C159" s="575" t="s">
        <v>608</v>
      </c>
      <c r="D159" s="532" t="s">
        <v>633</v>
      </c>
      <c r="E159" s="500"/>
    </row>
    <row r="160" spans="1:5" s="266" customFormat="1" ht="19.5" customHeight="1" x14ac:dyDescent="0.2">
      <c r="A160" s="652">
        <v>29</v>
      </c>
      <c r="B160" s="494" t="s">
        <v>679</v>
      </c>
      <c r="C160" s="575" t="s">
        <v>608</v>
      </c>
      <c r="D160" s="532" t="s">
        <v>633</v>
      </c>
      <c r="E160" s="500"/>
    </row>
    <row r="161" spans="1:5" s="266" customFormat="1" ht="42" customHeight="1" x14ac:dyDescent="0.2">
      <c r="A161" s="652">
        <v>30</v>
      </c>
      <c r="B161" s="575" t="s">
        <v>680</v>
      </c>
      <c r="C161" s="575" t="s">
        <v>608</v>
      </c>
      <c r="D161" s="532" t="s">
        <v>633</v>
      </c>
      <c r="E161" s="500"/>
    </row>
    <row r="162" spans="1:5" s="266" customFormat="1" ht="35.25" customHeight="1" x14ac:dyDescent="0.2">
      <c r="A162" s="652">
        <v>31</v>
      </c>
      <c r="B162" s="494" t="s">
        <v>681</v>
      </c>
      <c r="C162" s="575" t="s">
        <v>608</v>
      </c>
      <c r="D162" s="532" t="s">
        <v>633</v>
      </c>
      <c r="E162" s="500"/>
    </row>
    <row r="163" spans="1:5" s="266" customFormat="1" ht="29.25" customHeight="1" x14ac:dyDescent="0.2">
      <c r="A163" s="652">
        <v>32</v>
      </c>
      <c r="B163" s="575" t="s">
        <v>682</v>
      </c>
      <c r="C163" s="575" t="s">
        <v>608</v>
      </c>
      <c r="D163" s="532" t="s">
        <v>633</v>
      </c>
      <c r="E163" s="500"/>
    </row>
    <row r="164" spans="1:5" s="266" customFormat="1" ht="30" customHeight="1" x14ac:dyDescent="0.2">
      <c r="A164" s="652">
        <v>33</v>
      </c>
      <c r="B164" s="575" t="s">
        <v>683</v>
      </c>
      <c r="C164" s="575" t="s">
        <v>608</v>
      </c>
      <c r="D164" s="532" t="s">
        <v>633</v>
      </c>
      <c r="E164" s="500"/>
    </row>
    <row r="165" spans="1:5" s="266" customFormat="1" ht="17.25" customHeight="1" x14ac:dyDescent="0.2">
      <c r="A165" s="652">
        <v>34</v>
      </c>
      <c r="B165" s="575" t="s">
        <v>684</v>
      </c>
      <c r="C165" s="575" t="s">
        <v>608</v>
      </c>
      <c r="D165" s="532" t="s">
        <v>633</v>
      </c>
      <c r="E165" s="500"/>
    </row>
    <row r="166" spans="1:5" s="266" customFormat="1" ht="21" customHeight="1" x14ac:dyDescent="0.2">
      <c r="A166" s="652">
        <v>35</v>
      </c>
      <c r="B166" s="575" t="s">
        <v>686</v>
      </c>
      <c r="C166" s="575" t="s">
        <v>608</v>
      </c>
      <c r="D166" s="532" t="s">
        <v>633</v>
      </c>
      <c r="E166" s="500"/>
    </row>
    <row r="167" spans="1:5" s="266" customFormat="1" ht="22.5" customHeight="1" x14ac:dyDescent="0.2">
      <c r="A167" s="652">
        <v>36</v>
      </c>
      <c r="B167" s="575" t="s">
        <v>685</v>
      </c>
      <c r="C167" s="575" t="s">
        <v>608</v>
      </c>
      <c r="D167" s="532" t="s">
        <v>633</v>
      </c>
      <c r="E167" s="500"/>
    </row>
    <row r="168" spans="1:5" s="266" customFormat="1" ht="31.5" customHeight="1" x14ac:dyDescent="0.2">
      <c r="A168" s="652">
        <v>37</v>
      </c>
      <c r="B168" s="575" t="s">
        <v>687</v>
      </c>
      <c r="C168" s="575" t="s">
        <v>608</v>
      </c>
      <c r="D168" s="532" t="s">
        <v>633</v>
      </c>
      <c r="E168" s="500"/>
    </row>
    <row r="169" spans="1:5" s="266" customFormat="1" ht="22.5" customHeight="1" x14ac:dyDescent="0.2">
      <c r="A169" s="652">
        <v>38</v>
      </c>
      <c r="B169" s="577" t="s">
        <v>688</v>
      </c>
      <c r="C169" s="575" t="s">
        <v>608</v>
      </c>
      <c r="D169" s="532" t="s">
        <v>633</v>
      </c>
      <c r="E169" s="500"/>
    </row>
    <row r="170" spans="1:5" s="266" customFormat="1" ht="21" customHeight="1" x14ac:dyDescent="0.2">
      <c r="A170" s="652">
        <v>39</v>
      </c>
      <c r="B170" s="648" t="s">
        <v>689</v>
      </c>
      <c r="C170" s="575" t="s">
        <v>608</v>
      </c>
      <c r="D170" s="532" t="s">
        <v>633</v>
      </c>
      <c r="E170" s="500"/>
    </row>
    <row r="171" spans="1:5" s="266" customFormat="1" ht="24.75" customHeight="1" x14ac:dyDescent="0.2">
      <c r="A171" s="652">
        <v>40</v>
      </c>
      <c r="B171" s="648" t="s">
        <v>690</v>
      </c>
      <c r="C171" s="575" t="s">
        <v>608</v>
      </c>
      <c r="D171" s="532" t="s">
        <v>633</v>
      </c>
      <c r="E171" s="500"/>
    </row>
    <row r="172" spans="1:5" s="266" customFormat="1" ht="20.25" customHeight="1" x14ac:dyDescent="0.2">
      <c r="A172" s="652">
        <v>41</v>
      </c>
      <c r="B172" s="648" t="s">
        <v>692</v>
      </c>
      <c r="C172" s="575" t="s">
        <v>608</v>
      </c>
      <c r="D172" s="532" t="s">
        <v>633</v>
      </c>
      <c r="E172" s="500"/>
    </row>
    <row r="173" spans="1:5" s="266" customFormat="1" ht="21" customHeight="1" x14ac:dyDescent="0.2">
      <c r="A173" s="652">
        <v>42</v>
      </c>
      <c r="B173" s="648" t="s">
        <v>691</v>
      </c>
      <c r="C173" s="575" t="s">
        <v>608</v>
      </c>
      <c r="D173" s="532" t="s">
        <v>633</v>
      </c>
      <c r="E173" s="500"/>
    </row>
    <row r="174" spans="1:5" s="266" customFormat="1" ht="22.5" customHeight="1" x14ac:dyDescent="0.2">
      <c r="A174" s="652">
        <v>43</v>
      </c>
      <c r="B174" s="648" t="s">
        <v>693</v>
      </c>
      <c r="C174" s="575" t="s">
        <v>608</v>
      </c>
      <c r="D174" s="532" t="s">
        <v>633</v>
      </c>
      <c r="E174" s="500"/>
    </row>
    <row r="175" spans="1:5" s="266" customFormat="1" ht="20.25" customHeight="1" x14ac:dyDescent="0.2">
      <c r="A175" s="652">
        <v>44</v>
      </c>
      <c r="B175" s="648" t="s">
        <v>696</v>
      </c>
      <c r="C175" s="575" t="s">
        <v>608</v>
      </c>
      <c r="D175" s="532" t="s">
        <v>633</v>
      </c>
      <c r="E175" s="500"/>
    </row>
    <row r="176" spans="1:5" s="266" customFormat="1" ht="15" customHeight="1" x14ac:dyDescent="0.2">
      <c r="A176" s="652">
        <v>45</v>
      </c>
      <c r="B176" s="648" t="s">
        <v>694</v>
      </c>
      <c r="C176" s="575" t="s">
        <v>608</v>
      </c>
      <c r="D176" s="532" t="s">
        <v>633</v>
      </c>
      <c r="E176" s="500"/>
    </row>
    <row r="177" spans="1:5" s="266" customFormat="1" ht="25.5" customHeight="1" x14ac:dyDescent="0.2">
      <c r="A177" s="652">
        <v>46</v>
      </c>
      <c r="B177" s="648" t="s">
        <v>697</v>
      </c>
      <c r="C177" s="575" t="s">
        <v>608</v>
      </c>
      <c r="D177" s="532" t="s">
        <v>633</v>
      </c>
      <c r="E177" s="500"/>
    </row>
    <row r="178" spans="1:5" s="266" customFormat="1" ht="24.75" customHeight="1" x14ac:dyDescent="0.2">
      <c r="A178" s="652">
        <v>47</v>
      </c>
      <c r="B178" s="648" t="s">
        <v>698</v>
      </c>
      <c r="C178" s="575" t="s">
        <v>608</v>
      </c>
      <c r="D178" s="532" t="s">
        <v>633</v>
      </c>
      <c r="E178" s="500"/>
    </row>
    <row r="179" spans="1:5" s="266" customFormat="1" ht="23.25" customHeight="1" x14ac:dyDescent="0.2">
      <c r="A179" s="652">
        <v>48</v>
      </c>
      <c r="B179" s="648" t="s">
        <v>699</v>
      </c>
      <c r="C179" s="575" t="s">
        <v>608</v>
      </c>
      <c r="D179" s="532" t="s">
        <v>633</v>
      </c>
      <c r="E179" s="500"/>
    </row>
    <row r="180" spans="1:5" s="266" customFormat="1" ht="30" customHeight="1" x14ac:dyDescent="0.2">
      <c r="A180" s="652">
        <v>49</v>
      </c>
      <c r="B180" s="648" t="s">
        <v>695</v>
      </c>
      <c r="C180" s="575" t="s">
        <v>608</v>
      </c>
      <c r="D180" s="532" t="s">
        <v>633</v>
      </c>
      <c r="E180" s="500"/>
    </row>
    <row r="181" spans="1:5" s="266" customFormat="1" ht="23.25" customHeight="1" x14ac:dyDescent="0.2">
      <c r="A181" s="652">
        <v>50</v>
      </c>
      <c r="B181" s="648" t="s">
        <v>703</v>
      </c>
      <c r="C181" s="575" t="s">
        <v>608</v>
      </c>
      <c r="D181" s="532" t="s">
        <v>633</v>
      </c>
      <c r="E181" s="500"/>
    </row>
    <row r="182" spans="1:5" s="266" customFormat="1" ht="21" customHeight="1" x14ac:dyDescent="0.2">
      <c r="A182" s="652">
        <v>51</v>
      </c>
      <c r="B182" s="648" t="s">
        <v>704</v>
      </c>
      <c r="C182" s="575" t="s">
        <v>608</v>
      </c>
      <c r="D182" s="532" t="s">
        <v>633</v>
      </c>
      <c r="E182" s="500"/>
    </row>
    <row r="183" spans="1:5" s="266" customFormat="1" ht="21.75" customHeight="1" x14ac:dyDescent="0.2">
      <c r="A183" s="652">
        <v>52</v>
      </c>
      <c r="B183" s="575" t="s">
        <v>702</v>
      </c>
      <c r="C183" s="575" t="s">
        <v>608</v>
      </c>
      <c r="D183" s="532" t="s">
        <v>633</v>
      </c>
      <c r="E183" s="500"/>
    </row>
    <row r="184" spans="1:5" s="266" customFormat="1" ht="29.25" customHeight="1" x14ac:dyDescent="0.2">
      <c r="A184" s="652">
        <v>53</v>
      </c>
      <c r="B184" s="575" t="s">
        <v>701</v>
      </c>
      <c r="C184" s="575" t="s">
        <v>608</v>
      </c>
      <c r="D184" s="532" t="s">
        <v>633</v>
      </c>
      <c r="E184" s="500"/>
    </row>
    <row r="185" spans="1:5" s="266" customFormat="1" ht="26.25" customHeight="1" x14ac:dyDescent="0.2">
      <c r="A185" s="652">
        <v>54</v>
      </c>
      <c r="B185" s="575" t="s">
        <v>700</v>
      </c>
      <c r="C185" s="575" t="s">
        <v>608</v>
      </c>
      <c r="D185" s="532" t="s">
        <v>633</v>
      </c>
      <c r="E185" s="500"/>
    </row>
    <row r="186" spans="1:5" s="266" customFormat="1" ht="21.75" customHeight="1" x14ac:dyDescent="0.2">
      <c r="A186" s="652">
        <v>55</v>
      </c>
      <c r="B186" s="575" t="s">
        <v>590</v>
      </c>
      <c r="C186" s="575" t="s">
        <v>608</v>
      </c>
      <c r="D186" s="532" t="s">
        <v>633</v>
      </c>
      <c r="E186" s="500"/>
    </row>
    <row r="187" spans="1:5" s="266" customFormat="1" ht="19.5" customHeight="1" x14ac:dyDescent="0.2">
      <c r="A187" s="652">
        <v>56</v>
      </c>
      <c r="B187" s="575" t="s">
        <v>591</v>
      </c>
      <c r="C187" s="575" t="s">
        <v>608</v>
      </c>
      <c r="D187" s="532" t="s">
        <v>633</v>
      </c>
      <c r="E187" s="500"/>
    </row>
    <row r="188" spans="1:5" s="266" customFormat="1" ht="30.75" customHeight="1" x14ac:dyDescent="0.2">
      <c r="A188" s="652">
        <v>57</v>
      </c>
      <c r="B188" s="575" t="s">
        <v>705</v>
      </c>
      <c r="C188" s="575" t="s">
        <v>608</v>
      </c>
      <c r="D188" s="532" t="s">
        <v>633</v>
      </c>
      <c r="E188" s="500"/>
    </row>
    <row r="189" spans="1:5" s="266" customFormat="1" ht="20.25" customHeight="1" x14ac:dyDescent="0.2">
      <c r="A189" s="652">
        <v>58</v>
      </c>
      <c r="B189" s="575" t="s">
        <v>706</v>
      </c>
      <c r="C189" s="575" t="s">
        <v>608</v>
      </c>
      <c r="D189" s="532" t="s">
        <v>633</v>
      </c>
      <c r="E189" s="500"/>
    </row>
    <row r="190" spans="1:5" s="266" customFormat="1" ht="20.25" customHeight="1" x14ac:dyDescent="0.2">
      <c r="A190" s="652">
        <v>59</v>
      </c>
      <c r="B190" s="575" t="s">
        <v>707</v>
      </c>
      <c r="C190" s="575" t="s">
        <v>608</v>
      </c>
      <c r="D190" s="532" t="s">
        <v>633</v>
      </c>
      <c r="E190" s="500"/>
    </row>
    <row r="191" spans="1:5" s="266" customFormat="1" ht="18" customHeight="1" x14ac:dyDescent="0.2">
      <c r="A191" s="652">
        <v>60</v>
      </c>
      <c r="B191" s="575" t="s">
        <v>708</v>
      </c>
      <c r="C191" s="575" t="s">
        <v>608</v>
      </c>
      <c r="D191" s="532" t="s">
        <v>633</v>
      </c>
      <c r="E191" s="500"/>
    </row>
    <row r="192" spans="1:5" s="266" customFormat="1" ht="12.75" x14ac:dyDescent="0.2">
      <c r="A192" s="656" t="s">
        <v>418</v>
      </c>
      <c r="B192" s="656"/>
      <c r="C192" s="656"/>
      <c r="D192" s="656"/>
      <c r="E192" s="656"/>
    </row>
    <row r="193" spans="1:5" s="266" customFormat="1" ht="30.75" customHeight="1" x14ac:dyDescent="0.2">
      <c r="A193" s="617">
        <v>1</v>
      </c>
      <c r="B193" s="487" t="s">
        <v>460</v>
      </c>
      <c r="C193" s="487" t="s">
        <v>609</v>
      </c>
      <c r="D193" s="462" t="s">
        <v>634</v>
      </c>
      <c r="E193" s="488"/>
    </row>
    <row r="194" spans="1:5" s="266" customFormat="1" ht="33.75" customHeight="1" x14ac:dyDescent="0.2">
      <c r="A194" s="617">
        <v>2</v>
      </c>
      <c r="B194" s="487" t="s">
        <v>709</v>
      </c>
      <c r="C194" s="487" t="s">
        <v>609</v>
      </c>
      <c r="D194" s="462" t="s">
        <v>634</v>
      </c>
      <c r="E194" s="488"/>
    </row>
    <row r="195" spans="1:5" s="266" customFormat="1" ht="38.25" customHeight="1" x14ac:dyDescent="0.2">
      <c r="A195" s="617">
        <v>3</v>
      </c>
      <c r="B195" s="487" t="s">
        <v>710</v>
      </c>
      <c r="C195" s="487" t="s">
        <v>609</v>
      </c>
      <c r="D195" s="462" t="s">
        <v>634</v>
      </c>
      <c r="E195" s="488"/>
    </row>
    <row r="196" spans="1:5" s="266" customFormat="1" ht="33.75" customHeight="1" x14ac:dyDescent="0.2">
      <c r="A196" s="617">
        <v>4</v>
      </c>
      <c r="B196" s="487" t="s">
        <v>458</v>
      </c>
      <c r="C196" s="487" t="s">
        <v>609</v>
      </c>
      <c r="D196" s="462" t="s">
        <v>635</v>
      </c>
      <c r="E196" s="488"/>
    </row>
    <row r="197" spans="1:5" s="266" customFormat="1" ht="27.75" customHeight="1" x14ac:dyDescent="0.2">
      <c r="A197" s="617">
        <v>5</v>
      </c>
      <c r="B197" s="489" t="s">
        <v>459</v>
      </c>
      <c r="C197" s="487" t="s">
        <v>609</v>
      </c>
      <c r="D197" s="462" t="s">
        <v>634</v>
      </c>
      <c r="E197" s="488"/>
    </row>
    <row r="198" spans="1:5" s="266" customFormat="1" ht="36.75" customHeight="1" x14ac:dyDescent="0.2">
      <c r="A198" s="617">
        <v>6</v>
      </c>
      <c r="B198" s="487" t="s">
        <v>462</v>
      </c>
      <c r="C198" s="487" t="s">
        <v>609</v>
      </c>
      <c r="D198" s="462" t="s">
        <v>634</v>
      </c>
      <c r="E198" s="488"/>
    </row>
    <row r="199" spans="1:5" s="266" customFormat="1" ht="33" customHeight="1" x14ac:dyDescent="0.2">
      <c r="A199" s="617">
        <v>7</v>
      </c>
      <c r="B199" s="487" t="s">
        <v>463</v>
      </c>
      <c r="C199" s="487" t="s">
        <v>609</v>
      </c>
      <c r="D199" s="462" t="s">
        <v>634</v>
      </c>
      <c r="E199" s="488"/>
    </row>
    <row r="200" spans="1:5" s="266" customFormat="1" ht="26.25" customHeight="1" x14ac:dyDescent="0.2">
      <c r="A200" s="617">
        <v>8</v>
      </c>
      <c r="B200" s="487" t="s">
        <v>464</v>
      </c>
      <c r="C200" s="487" t="s">
        <v>609</v>
      </c>
      <c r="D200" s="462" t="s">
        <v>634</v>
      </c>
      <c r="E200" s="488"/>
    </row>
    <row r="201" spans="1:5" s="266" customFormat="1" ht="24.75" customHeight="1" x14ac:dyDescent="0.2">
      <c r="A201" s="617">
        <v>9</v>
      </c>
      <c r="B201" s="487" t="s">
        <v>465</v>
      </c>
      <c r="C201" s="487" t="s">
        <v>609</v>
      </c>
      <c r="D201" s="462" t="s">
        <v>415</v>
      </c>
      <c r="E201" s="490"/>
    </row>
    <row r="202" spans="1:5" s="266" customFormat="1" ht="31.5" customHeight="1" x14ac:dyDescent="0.2">
      <c r="A202" s="617">
        <v>10</v>
      </c>
      <c r="B202" s="489" t="s">
        <v>466</v>
      </c>
      <c r="C202" s="487" t="s">
        <v>609</v>
      </c>
      <c r="D202" s="462" t="s">
        <v>634</v>
      </c>
      <c r="E202" s="488"/>
    </row>
    <row r="203" spans="1:5" s="266" customFormat="1" ht="18" customHeight="1" x14ac:dyDescent="0.2">
      <c r="A203" s="617">
        <v>11</v>
      </c>
      <c r="B203" s="489" t="s">
        <v>467</v>
      </c>
      <c r="C203" s="487" t="s">
        <v>609</v>
      </c>
      <c r="D203" s="462" t="s">
        <v>634</v>
      </c>
      <c r="E203" s="488"/>
    </row>
    <row r="204" spans="1:5" s="266" customFormat="1" ht="27" customHeight="1" x14ac:dyDescent="0.2">
      <c r="A204" s="617">
        <v>12</v>
      </c>
      <c r="B204" s="489" t="s">
        <v>468</v>
      </c>
      <c r="C204" s="487" t="s">
        <v>609</v>
      </c>
      <c r="D204" s="462" t="s">
        <v>634</v>
      </c>
      <c r="E204" s="488"/>
    </row>
    <row r="205" spans="1:5" s="266" customFormat="1" ht="26.25" customHeight="1" x14ac:dyDescent="0.2">
      <c r="A205" s="617">
        <v>13</v>
      </c>
      <c r="B205" s="489" t="s">
        <v>711</v>
      </c>
      <c r="C205" s="487" t="s">
        <v>609</v>
      </c>
      <c r="D205" s="462" t="s">
        <v>634</v>
      </c>
      <c r="E205" s="488"/>
    </row>
    <row r="206" spans="1:5" s="266" customFormat="1" ht="21" customHeight="1" x14ac:dyDescent="0.2">
      <c r="A206" s="617">
        <v>14</v>
      </c>
      <c r="B206" s="489" t="s">
        <v>470</v>
      </c>
      <c r="C206" s="487" t="s">
        <v>609</v>
      </c>
      <c r="D206" s="462" t="s">
        <v>634</v>
      </c>
      <c r="E206" s="488"/>
    </row>
    <row r="207" spans="1:5" s="266" customFormat="1" ht="30" customHeight="1" x14ac:dyDescent="0.2">
      <c r="A207" s="617">
        <v>15</v>
      </c>
      <c r="B207" s="489" t="s">
        <v>712</v>
      </c>
      <c r="C207" s="487" t="s">
        <v>609</v>
      </c>
      <c r="D207" s="462" t="s">
        <v>634</v>
      </c>
      <c r="E207" s="488"/>
    </row>
    <row r="208" spans="1:5" s="266" customFormat="1" ht="38.25" customHeight="1" x14ac:dyDescent="0.2">
      <c r="A208" s="617">
        <v>16</v>
      </c>
      <c r="B208" s="489" t="s">
        <v>713</v>
      </c>
      <c r="C208" s="487" t="s">
        <v>609</v>
      </c>
      <c r="D208" s="462" t="s">
        <v>634</v>
      </c>
      <c r="E208" s="488"/>
    </row>
    <row r="209" spans="1:5" s="266" customFormat="1" ht="30" customHeight="1" x14ac:dyDescent="0.2">
      <c r="A209" s="617">
        <v>17</v>
      </c>
      <c r="B209" s="489" t="s">
        <v>714</v>
      </c>
      <c r="C209" s="487" t="s">
        <v>609</v>
      </c>
      <c r="D209" s="462" t="s">
        <v>634</v>
      </c>
      <c r="E209" s="488"/>
    </row>
    <row r="210" spans="1:5" s="266" customFormat="1" ht="23.25" customHeight="1" x14ac:dyDescent="0.2">
      <c r="A210" s="617">
        <v>18</v>
      </c>
      <c r="B210" s="489" t="s">
        <v>715</v>
      </c>
      <c r="C210" s="487" t="s">
        <v>609</v>
      </c>
      <c r="D210" s="462" t="s">
        <v>634</v>
      </c>
      <c r="E210" s="488"/>
    </row>
    <row r="211" spans="1:5" s="266" customFormat="1" ht="24" customHeight="1" x14ac:dyDescent="0.2">
      <c r="A211" s="617">
        <v>19</v>
      </c>
      <c r="B211" s="489" t="s">
        <v>716</v>
      </c>
      <c r="C211" s="487" t="s">
        <v>609</v>
      </c>
      <c r="D211" s="462" t="s">
        <v>634</v>
      </c>
      <c r="E211" s="488"/>
    </row>
    <row r="212" spans="1:5" s="266" customFormat="1" ht="31.5" customHeight="1" x14ac:dyDescent="0.2">
      <c r="A212" s="617">
        <v>20</v>
      </c>
      <c r="B212" s="489" t="s">
        <v>474</v>
      </c>
      <c r="C212" s="487" t="s">
        <v>609</v>
      </c>
      <c r="D212" s="462" t="s">
        <v>634</v>
      </c>
      <c r="E212" s="488"/>
    </row>
    <row r="213" spans="1:5" s="266" customFormat="1" ht="30.75" customHeight="1" x14ac:dyDescent="0.2">
      <c r="A213" s="617">
        <v>21</v>
      </c>
      <c r="B213" s="489" t="s">
        <v>475</v>
      </c>
      <c r="C213" s="487" t="s">
        <v>609</v>
      </c>
      <c r="D213" s="462" t="s">
        <v>634</v>
      </c>
      <c r="E213" s="488"/>
    </row>
    <row r="214" spans="1:5" s="266" customFormat="1" ht="20.25" customHeight="1" x14ac:dyDescent="0.2">
      <c r="A214" s="617">
        <v>22</v>
      </c>
      <c r="B214" s="489" t="s">
        <v>717</v>
      </c>
      <c r="C214" s="487" t="s">
        <v>609</v>
      </c>
      <c r="D214" s="462" t="s">
        <v>634</v>
      </c>
      <c r="E214" s="488"/>
    </row>
    <row r="215" spans="1:5" s="266" customFormat="1" ht="30" customHeight="1" x14ac:dyDescent="0.2">
      <c r="A215" s="617">
        <v>23</v>
      </c>
      <c r="B215" s="489" t="s">
        <v>718</v>
      </c>
      <c r="C215" s="487" t="s">
        <v>609</v>
      </c>
      <c r="D215" s="462" t="s">
        <v>634</v>
      </c>
      <c r="E215" s="491"/>
    </row>
    <row r="216" spans="1:5" s="266" customFormat="1" ht="21.75" customHeight="1" x14ac:dyDescent="0.2">
      <c r="A216" s="617">
        <v>24</v>
      </c>
      <c r="B216" s="489" t="s">
        <v>478</v>
      </c>
      <c r="C216" s="487" t="s">
        <v>609</v>
      </c>
      <c r="D216" s="462" t="s">
        <v>634</v>
      </c>
      <c r="E216" s="488"/>
    </row>
    <row r="217" spans="1:5" s="266" customFormat="1" ht="24.75" customHeight="1" x14ac:dyDescent="0.2">
      <c r="A217" s="617">
        <v>25</v>
      </c>
      <c r="B217" s="492" t="s">
        <v>719</v>
      </c>
      <c r="C217" s="487" t="s">
        <v>622</v>
      </c>
      <c r="D217" s="462" t="s">
        <v>634</v>
      </c>
      <c r="E217" s="493"/>
    </row>
    <row r="218" spans="1:5" s="266" customFormat="1" ht="18" customHeight="1" x14ac:dyDescent="0.2">
      <c r="A218" s="617">
        <v>26</v>
      </c>
      <c r="B218" s="494" t="s">
        <v>720</v>
      </c>
      <c r="C218" s="487" t="s">
        <v>609</v>
      </c>
      <c r="D218" s="462" t="s">
        <v>634</v>
      </c>
      <c r="E218" s="493"/>
    </row>
    <row r="219" spans="1:5" s="266" customFormat="1" ht="29.25" customHeight="1" x14ac:dyDescent="0.2">
      <c r="A219" s="617">
        <v>27</v>
      </c>
      <c r="B219" s="495" t="s">
        <v>721</v>
      </c>
      <c r="C219" s="487" t="s">
        <v>609</v>
      </c>
      <c r="D219" s="462" t="s">
        <v>634</v>
      </c>
      <c r="E219" s="496"/>
    </row>
    <row r="220" spans="1:5" s="266" customFormat="1" ht="33" customHeight="1" x14ac:dyDescent="0.2">
      <c r="A220" s="617">
        <v>28</v>
      </c>
      <c r="B220" s="495" t="s">
        <v>481</v>
      </c>
      <c r="C220" s="487" t="s">
        <v>609</v>
      </c>
      <c r="D220" s="462" t="s">
        <v>634</v>
      </c>
      <c r="E220" s="496"/>
    </row>
    <row r="221" spans="1:5" s="266" customFormat="1" ht="24.75" customHeight="1" x14ac:dyDescent="0.2">
      <c r="A221" s="617">
        <v>29</v>
      </c>
      <c r="B221" s="495" t="s">
        <v>482</v>
      </c>
      <c r="C221" s="487" t="s">
        <v>609</v>
      </c>
      <c r="D221" s="462" t="s">
        <v>634</v>
      </c>
      <c r="E221" s="496"/>
    </row>
    <row r="222" spans="1:5" s="266" customFormat="1" ht="27" customHeight="1" x14ac:dyDescent="0.2">
      <c r="A222" s="617">
        <v>30</v>
      </c>
      <c r="B222" s="495" t="s">
        <v>483</v>
      </c>
      <c r="C222" s="487" t="s">
        <v>609</v>
      </c>
      <c r="D222" s="462" t="s">
        <v>634</v>
      </c>
      <c r="E222" s="496"/>
    </row>
    <row r="223" spans="1:5" s="266" customFormat="1" ht="42" customHeight="1" x14ac:dyDescent="0.2">
      <c r="A223" s="617">
        <v>31</v>
      </c>
      <c r="B223" s="495" t="s">
        <v>722</v>
      </c>
      <c r="C223" s="487" t="s">
        <v>609</v>
      </c>
      <c r="D223" s="462" t="s">
        <v>634</v>
      </c>
      <c r="E223" s="496"/>
    </row>
    <row r="224" spans="1:5" s="266" customFormat="1" ht="24.75" customHeight="1" x14ac:dyDescent="0.2">
      <c r="A224" s="617">
        <v>32</v>
      </c>
      <c r="B224" s="495" t="s">
        <v>485</v>
      </c>
      <c r="C224" s="487" t="s">
        <v>609</v>
      </c>
      <c r="D224" s="462" t="s">
        <v>634</v>
      </c>
      <c r="E224" s="496"/>
    </row>
    <row r="225" spans="1:5" s="266" customFormat="1" ht="30" customHeight="1" x14ac:dyDescent="0.2">
      <c r="A225" s="617">
        <v>33</v>
      </c>
      <c r="B225" s="495" t="s">
        <v>486</v>
      </c>
      <c r="C225" s="487" t="s">
        <v>609</v>
      </c>
      <c r="D225" s="462" t="s">
        <v>634</v>
      </c>
      <c r="E225" s="496"/>
    </row>
    <row r="226" spans="1:5" s="266" customFormat="1" ht="27.75" customHeight="1" x14ac:dyDescent="0.2">
      <c r="A226" s="617">
        <v>34</v>
      </c>
      <c r="B226" s="495" t="s">
        <v>723</v>
      </c>
      <c r="C226" s="487" t="s">
        <v>609</v>
      </c>
      <c r="D226" s="462" t="s">
        <v>634</v>
      </c>
      <c r="E226" s="496"/>
    </row>
    <row r="227" spans="1:5" s="266" customFormat="1" ht="18.75" customHeight="1" x14ac:dyDescent="0.2">
      <c r="A227" s="617">
        <v>35</v>
      </c>
      <c r="B227" s="495" t="s">
        <v>724</v>
      </c>
      <c r="C227" s="487" t="s">
        <v>609</v>
      </c>
      <c r="D227" s="462" t="s">
        <v>634</v>
      </c>
      <c r="E227" s="496"/>
    </row>
    <row r="228" spans="1:5" s="266" customFormat="1" ht="21.75" customHeight="1" x14ac:dyDescent="0.2">
      <c r="A228" s="617">
        <v>36</v>
      </c>
      <c r="B228" s="495" t="s">
        <v>725</v>
      </c>
      <c r="C228" s="487" t="s">
        <v>609</v>
      </c>
      <c r="D228" s="462" t="s">
        <v>634</v>
      </c>
      <c r="E228" s="496"/>
    </row>
    <row r="229" spans="1:5" s="266" customFormat="1" ht="24" customHeight="1" x14ac:dyDescent="0.2">
      <c r="A229" s="617">
        <v>37</v>
      </c>
      <c r="B229" s="495" t="s">
        <v>533</v>
      </c>
      <c r="C229" s="487" t="s">
        <v>609</v>
      </c>
      <c r="D229" s="462" t="s">
        <v>634</v>
      </c>
      <c r="E229" s="496"/>
    </row>
    <row r="230" spans="1:5" s="266" customFormat="1" ht="29.25" customHeight="1" x14ac:dyDescent="0.2">
      <c r="A230" s="617">
        <v>38</v>
      </c>
      <c r="B230" s="495" t="s">
        <v>490</v>
      </c>
      <c r="C230" s="487" t="s">
        <v>609</v>
      </c>
      <c r="D230" s="462" t="s">
        <v>634</v>
      </c>
      <c r="E230" s="496"/>
    </row>
    <row r="231" spans="1:5" s="266" customFormat="1" ht="19.5" customHeight="1" x14ac:dyDescent="0.2">
      <c r="A231" s="617">
        <v>39</v>
      </c>
      <c r="B231" s="495" t="s">
        <v>726</v>
      </c>
      <c r="C231" s="487" t="s">
        <v>609</v>
      </c>
      <c r="D231" s="462" t="s">
        <v>634</v>
      </c>
      <c r="E231" s="496"/>
    </row>
    <row r="232" spans="1:5" s="266" customFormat="1" ht="24.75" customHeight="1" x14ac:dyDescent="0.2">
      <c r="A232" s="617">
        <v>40</v>
      </c>
      <c r="B232" s="495" t="s">
        <v>727</v>
      </c>
      <c r="C232" s="487" t="s">
        <v>609</v>
      </c>
      <c r="D232" s="462" t="s">
        <v>634</v>
      </c>
      <c r="E232" s="496"/>
    </row>
    <row r="233" spans="1:5" s="266" customFormat="1" ht="25.5" customHeight="1" x14ac:dyDescent="0.2">
      <c r="A233" s="617">
        <v>41</v>
      </c>
      <c r="B233" s="495" t="s">
        <v>493</v>
      </c>
      <c r="C233" s="487" t="s">
        <v>609</v>
      </c>
      <c r="D233" s="462" t="s">
        <v>634</v>
      </c>
      <c r="E233" s="496"/>
    </row>
    <row r="234" spans="1:5" s="266" customFormat="1" ht="25.5" customHeight="1" x14ac:dyDescent="0.2">
      <c r="A234" s="617">
        <v>42</v>
      </c>
      <c r="B234" s="495" t="s">
        <v>494</v>
      </c>
      <c r="C234" s="487" t="s">
        <v>609</v>
      </c>
      <c r="D234" s="462" t="s">
        <v>634</v>
      </c>
      <c r="E234" s="496"/>
    </row>
    <row r="235" spans="1:5" s="266" customFormat="1" ht="20.25" customHeight="1" x14ac:dyDescent="0.2">
      <c r="A235" s="617">
        <v>43</v>
      </c>
      <c r="B235" s="495" t="s">
        <v>495</v>
      </c>
      <c r="C235" s="487" t="s">
        <v>609</v>
      </c>
      <c r="D235" s="462" t="s">
        <v>634</v>
      </c>
      <c r="E235" s="496"/>
    </row>
    <row r="236" spans="1:5" s="266" customFormat="1" ht="20.25" customHeight="1" x14ac:dyDescent="0.2">
      <c r="A236" s="617">
        <v>44</v>
      </c>
      <c r="B236" s="495" t="s">
        <v>496</v>
      </c>
      <c r="C236" s="487" t="s">
        <v>609</v>
      </c>
      <c r="D236" s="462" t="s">
        <v>634</v>
      </c>
      <c r="E236" s="496"/>
    </row>
    <row r="237" spans="1:5" s="266" customFormat="1" ht="17.25" customHeight="1" x14ac:dyDescent="0.2">
      <c r="A237" s="617">
        <v>45</v>
      </c>
      <c r="B237" s="495" t="s">
        <v>497</v>
      </c>
      <c r="C237" s="487" t="s">
        <v>609</v>
      </c>
      <c r="D237" s="462" t="s">
        <v>634</v>
      </c>
      <c r="E237" s="496"/>
    </row>
    <row r="238" spans="1:5" s="266" customFormat="1" ht="18" customHeight="1" x14ac:dyDescent="0.2">
      <c r="A238" s="617">
        <v>46</v>
      </c>
      <c r="B238" s="495" t="s">
        <v>498</v>
      </c>
      <c r="C238" s="487" t="s">
        <v>609</v>
      </c>
      <c r="D238" s="462" t="s">
        <v>634</v>
      </c>
      <c r="E238" s="496"/>
    </row>
    <row r="239" spans="1:5" s="266" customFormat="1" ht="30" customHeight="1" x14ac:dyDescent="0.2">
      <c r="A239" s="617">
        <v>47</v>
      </c>
      <c r="B239" s="495" t="s">
        <v>499</v>
      </c>
      <c r="C239" s="487" t="s">
        <v>609</v>
      </c>
      <c r="D239" s="462" t="s">
        <v>634</v>
      </c>
      <c r="E239" s="496"/>
    </row>
    <row r="240" spans="1:5" s="266" customFormat="1" ht="27.75" customHeight="1" x14ac:dyDescent="0.2">
      <c r="A240" s="617">
        <v>48</v>
      </c>
      <c r="B240" s="487" t="s">
        <v>414</v>
      </c>
      <c r="C240" s="487" t="s">
        <v>609</v>
      </c>
      <c r="D240" s="462" t="s">
        <v>634</v>
      </c>
      <c r="E240" s="496"/>
    </row>
    <row r="241" spans="1:5" s="266" customFormat="1" ht="21" customHeight="1" x14ac:dyDescent="0.2">
      <c r="A241" s="617">
        <v>49</v>
      </c>
      <c r="B241" s="495" t="s">
        <v>728</v>
      </c>
      <c r="C241" s="487" t="s">
        <v>609</v>
      </c>
      <c r="D241" s="462" t="s">
        <v>634</v>
      </c>
      <c r="E241" s="496"/>
    </row>
    <row r="242" spans="1:5" s="266" customFormat="1" ht="22.5" customHeight="1" x14ac:dyDescent="0.2">
      <c r="A242" s="617">
        <v>50</v>
      </c>
      <c r="B242" s="495" t="s">
        <v>729</v>
      </c>
      <c r="C242" s="487" t="s">
        <v>609</v>
      </c>
      <c r="D242" s="462" t="s">
        <v>634</v>
      </c>
      <c r="E242" s="496"/>
    </row>
    <row r="243" spans="1:5" s="266" customFormat="1" ht="22.5" customHeight="1" x14ac:dyDescent="0.2">
      <c r="A243" s="617">
        <v>51</v>
      </c>
      <c r="B243" s="495" t="s">
        <v>502</v>
      </c>
      <c r="C243" s="487" t="s">
        <v>609</v>
      </c>
      <c r="D243" s="462" t="s">
        <v>634</v>
      </c>
      <c r="E243" s="496"/>
    </row>
    <row r="244" spans="1:5" s="266" customFormat="1" ht="24.75" customHeight="1" x14ac:dyDescent="0.2">
      <c r="A244" s="617">
        <v>52</v>
      </c>
      <c r="B244" s="495" t="s">
        <v>730</v>
      </c>
      <c r="C244" s="487" t="s">
        <v>609</v>
      </c>
      <c r="D244" s="462" t="s">
        <v>634</v>
      </c>
      <c r="E244" s="496"/>
    </row>
    <row r="245" spans="1:5" s="266" customFormat="1" ht="30" customHeight="1" x14ac:dyDescent="0.2">
      <c r="A245" s="617">
        <v>53</v>
      </c>
      <c r="B245" s="495" t="s">
        <v>731</v>
      </c>
      <c r="C245" s="487" t="s">
        <v>609</v>
      </c>
      <c r="D245" s="462" t="s">
        <v>634</v>
      </c>
      <c r="E245" s="496"/>
    </row>
    <row r="246" spans="1:5" s="266" customFormat="1" ht="33" customHeight="1" x14ac:dyDescent="0.2">
      <c r="A246" s="617">
        <v>54</v>
      </c>
      <c r="B246" s="495" t="s">
        <v>732</v>
      </c>
      <c r="C246" s="487" t="s">
        <v>609</v>
      </c>
      <c r="D246" s="462" t="s">
        <v>634</v>
      </c>
      <c r="E246" s="496"/>
    </row>
    <row r="247" spans="1:5" s="266" customFormat="1" ht="30.75" customHeight="1" x14ac:dyDescent="0.2">
      <c r="A247" s="617">
        <v>55</v>
      </c>
      <c r="B247" s="495" t="s">
        <v>506</v>
      </c>
      <c r="C247" s="487" t="s">
        <v>609</v>
      </c>
      <c r="D247" s="462" t="s">
        <v>634</v>
      </c>
      <c r="E247" s="496"/>
    </row>
    <row r="248" spans="1:5" s="266" customFormat="1" ht="26.25" customHeight="1" x14ac:dyDescent="0.2">
      <c r="A248" s="617">
        <v>56</v>
      </c>
      <c r="B248" s="495" t="s">
        <v>507</v>
      </c>
      <c r="C248" s="487" t="s">
        <v>609</v>
      </c>
      <c r="D248" s="462" t="s">
        <v>634</v>
      </c>
      <c r="E248" s="496"/>
    </row>
    <row r="249" spans="1:5" s="266" customFormat="1" ht="18.75" customHeight="1" x14ac:dyDescent="0.2">
      <c r="A249" s="617">
        <v>57</v>
      </c>
      <c r="B249" s="495" t="s">
        <v>508</v>
      </c>
      <c r="C249" s="487" t="s">
        <v>609</v>
      </c>
      <c r="D249" s="462" t="s">
        <v>634</v>
      </c>
      <c r="E249" s="496"/>
    </row>
    <row r="250" spans="1:5" s="266" customFormat="1" ht="23.25" customHeight="1" x14ac:dyDescent="0.2">
      <c r="A250" s="617">
        <v>58</v>
      </c>
      <c r="B250" s="495" t="s">
        <v>509</v>
      </c>
      <c r="C250" s="487" t="s">
        <v>609</v>
      </c>
      <c r="D250" s="462" t="s">
        <v>634</v>
      </c>
      <c r="E250" s="496"/>
    </row>
    <row r="251" spans="1:5" s="266" customFormat="1" ht="20.25" customHeight="1" x14ac:dyDescent="0.2">
      <c r="A251" s="617">
        <v>59</v>
      </c>
      <c r="B251" s="495" t="s">
        <v>510</v>
      </c>
      <c r="C251" s="487" t="s">
        <v>609</v>
      </c>
      <c r="D251" s="462" t="s">
        <v>634</v>
      </c>
      <c r="E251" s="496"/>
    </row>
    <row r="252" spans="1:5" s="266" customFormat="1" ht="27.75" customHeight="1" x14ac:dyDescent="0.2">
      <c r="A252" s="617">
        <v>60</v>
      </c>
      <c r="B252" s="495" t="s">
        <v>511</v>
      </c>
      <c r="C252" s="487" t="s">
        <v>609</v>
      </c>
      <c r="D252" s="462" t="s">
        <v>634</v>
      </c>
      <c r="E252" s="496"/>
    </row>
    <row r="253" spans="1:5" s="266" customFormat="1" ht="21.75" customHeight="1" x14ac:dyDescent="0.2">
      <c r="A253" s="617">
        <v>61</v>
      </c>
      <c r="B253" s="495" t="s">
        <v>512</v>
      </c>
      <c r="C253" s="487" t="s">
        <v>609</v>
      </c>
      <c r="D253" s="462" t="s">
        <v>634</v>
      </c>
      <c r="E253" s="496"/>
    </row>
    <row r="254" spans="1:5" s="266" customFormat="1" ht="24" customHeight="1" x14ac:dyDescent="0.2">
      <c r="A254" s="617">
        <v>62</v>
      </c>
      <c r="B254" s="495" t="s">
        <v>513</v>
      </c>
      <c r="C254" s="487" t="s">
        <v>609</v>
      </c>
      <c r="D254" s="462" t="s">
        <v>634</v>
      </c>
      <c r="E254" s="496"/>
    </row>
    <row r="255" spans="1:5" s="266" customFormat="1" ht="24" customHeight="1" x14ac:dyDescent="0.2">
      <c r="A255" s="617">
        <v>63</v>
      </c>
      <c r="B255" s="495" t="s">
        <v>514</v>
      </c>
      <c r="C255" s="487" t="s">
        <v>609</v>
      </c>
      <c r="D255" s="462" t="s">
        <v>634</v>
      </c>
      <c r="E255" s="496"/>
    </row>
    <row r="256" spans="1:5" s="266" customFormat="1" ht="21.75" customHeight="1" x14ac:dyDescent="0.2">
      <c r="A256" s="617">
        <v>64</v>
      </c>
      <c r="B256" s="495" t="s">
        <v>515</v>
      </c>
      <c r="C256" s="487" t="s">
        <v>609</v>
      </c>
      <c r="D256" s="462" t="s">
        <v>634</v>
      </c>
      <c r="E256" s="496"/>
    </row>
    <row r="257" spans="1:5" s="266" customFormat="1" ht="26.25" customHeight="1" x14ac:dyDescent="0.2">
      <c r="A257" s="617">
        <v>65</v>
      </c>
      <c r="B257" s="495" t="s">
        <v>516</v>
      </c>
      <c r="C257" s="487" t="s">
        <v>609</v>
      </c>
      <c r="D257" s="462" t="s">
        <v>634</v>
      </c>
      <c r="E257" s="496"/>
    </row>
    <row r="258" spans="1:5" s="266" customFormat="1" ht="25.5" customHeight="1" x14ac:dyDescent="0.2">
      <c r="A258" s="617">
        <v>66</v>
      </c>
      <c r="B258" s="495" t="s">
        <v>517</v>
      </c>
      <c r="C258" s="487" t="s">
        <v>609</v>
      </c>
      <c r="D258" s="462" t="s">
        <v>634</v>
      </c>
      <c r="E258" s="496"/>
    </row>
    <row r="259" spans="1:5" s="266" customFormat="1" ht="19.5" customHeight="1" x14ac:dyDescent="0.2">
      <c r="A259" s="617">
        <v>67</v>
      </c>
      <c r="B259" s="495" t="s">
        <v>738</v>
      </c>
      <c r="C259" s="487" t="s">
        <v>609</v>
      </c>
      <c r="D259" s="462" t="s">
        <v>634</v>
      </c>
      <c r="E259" s="496"/>
    </row>
    <row r="260" spans="1:5" s="266" customFormat="1" ht="20.25" customHeight="1" x14ac:dyDescent="0.2">
      <c r="A260" s="617">
        <v>68</v>
      </c>
      <c r="B260" s="495" t="s">
        <v>733</v>
      </c>
      <c r="C260" s="487" t="s">
        <v>609</v>
      </c>
      <c r="D260" s="462" t="s">
        <v>634</v>
      </c>
      <c r="E260" s="496"/>
    </row>
    <row r="261" spans="1:5" s="266" customFormat="1" ht="19.5" customHeight="1" x14ac:dyDescent="0.2">
      <c r="A261" s="617">
        <v>69</v>
      </c>
      <c r="B261" s="495" t="s">
        <v>519</v>
      </c>
      <c r="C261" s="487" t="s">
        <v>609</v>
      </c>
      <c r="D261" s="462" t="s">
        <v>634</v>
      </c>
      <c r="E261" s="496"/>
    </row>
    <row r="262" spans="1:5" s="266" customFormat="1" ht="30" customHeight="1" x14ac:dyDescent="0.2">
      <c r="A262" s="617">
        <v>70</v>
      </c>
      <c r="B262" s="495" t="s">
        <v>734</v>
      </c>
      <c r="C262" s="487" t="s">
        <v>609</v>
      </c>
      <c r="D262" s="462" t="s">
        <v>634</v>
      </c>
      <c r="E262" s="496"/>
    </row>
    <row r="263" spans="1:5" s="266" customFormat="1" ht="24.75" customHeight="1" x14ac:dyDescent="0.2">
      <c r="A263" s="617">
        <v>71</v>
      </c>
      <c r="B263" s="495" t="s">
        <v>521</v>
      </c>
      <c r="C263" s="487" t="s">
        <v>609</v>
      </c>
      <c r="D263" s="462" t="s">
        <v>634</v>
      </c>
      <c r="E263" s="496"/>
    </row>
    <row r="264" spans="1:5" s="266" customFormat="1" ht="33" customHeight="1" x14ac:dyDescent="0.2">
      <c r="A264" s="617">
        <v>72</v>
      </c>
      <c r="B264" s="495" t="s">
        <v>735</v>
      </c>
      <c r="C264" s="487" t="s">
        <v>609</v>
      </c>
      <c r="D264" s="462" t="s">
        <v>634</v>
      </c>
      <c r="E264" s="496"/>
    </row>
    <row r="265" spans="1:5" s="266" customFormat="1" ht="34.5" customHeight="1" x14ac:dyDescent="0.2">
      <c r="A265" s="617">
        <v>73</v>
      </c>
      <c r="B265" s="495" t="s">
        <v>522</v>
      </c>
      <c r="C265" s="487" t="s">
        <v>609</v>
      </c>
      <c r="D265" s="462" t="s">
        <v>634</v>
      </c>
      <c r="E265" s="496"/>
    </row>
    <row r="266" spans="1:5" s="266" customFormat="1" ht="29.25" customHeight="1" x14ac:dyDescent="0.2">
      <c r="A266" s="617">
        <v>74</v>
      </c>
      <c r="B266" s="495" t="s">
        <v>524</v>
      </c>
      <c r="C266" s="487" t="s">
        <v>609</v>
      </c>
      <c r="D266" s="462" t="s">
        <v>634</v>
      </c>
      <c r="E266" s="496"/>
    </row>
    <row r="267" spans="1:5" s="266" customFormat="1" ht="34.5" customHeight="1" x14ac:dyDescent="0.2">
      <c r="A267" s="617">
        <v>75</v>
      </c>
      <c r="B267" s="495" t="s">
        <v>736</v>
      </c>
      <c r="C267" s="487" t="s">
        <v>609</v>
      </c>
      <c r="D267" s="462" t="s">
        <v>634</v>
      </c>
      <c r="E267" s="496"/>
    </row>
    <row r="268" spans="1:5" s="266" customFormat="1" ht="20.25" customHeight="1" x14ac:dyDescent="0.2">
      <c r="A268" s="617">
        <v>76</v>
      </c>
      <c r="B268" s="497" t="s">
        <v>737</v>
      </c>
      <c r="C268" s="497" t="s">
        <v>610</v>
      </c>
      <c r="D268" s="291" t="s">
        <v>634</v>
      </c>
      <c r="E268" s="498"/>
    </row>
    <row r="269" spans="1:5" s="519" customFormat="1" ht="25.5" customHeight="1" x14ac:dyDescent="0.2">
      <c r="A269" s="654" t="s">
        <v>636</v>
      </c>
      <c r="B269" s="654"/>
      <c r="C269" s="654"/>
      <c r="D269" s="654"/>
      <c r="E269" s="654"/>
    </row>
    <row r="270" spans="1:5" x14ac:dyDescent="0.25">
      <c r="A270" s="481" t="s">
        <v>625</v>
      </c>
      <c r="B270" s="481"/>
      <c r="C270" s="481"/>
      <c r="D270" s="482"/>
    </row>
    <row r="271" spans="1:5" x14ac:dyDescent="0.25">
      <c r="A271" s="481" t="s">
        <v>638</v>
      </c>
      <c r="B271" s="481"/>
      <c r="C271" s="481"/>
      <c r="D271" s="482"/>
    </row>
    <row r="272" spans="1:5" x14ac:dyDescent="0.25">
      <c r="A272" s="481" t="s">
        <v>637</v>
      </c>
      <c r="B272" s="481"/>
      <c r="C272" s="481"/>
      <c r="D272" s="482"/>
    </row>
    <row r="275" spans="2:3" x14ac:dyDescent="0.25">
      <c r="B275" s="479"/>
      <c r="C275" s="479"/>
    </row>
  </sheetData>
  <mergeCells count="29">
    <mergeCell ref="A2:E2"/>
    <mergeCell ref="A3:A4"/>
    <mergeCell ref="B3:B4"/>
    <mergeCell ref="D3:D4"/>
    <mergeCell ref="E3:E4"/>
    <mergeCell ref="C3:C4"/>
    <mergeCell ref="A43:E43"/>
    <mergeCell ref="A5:E5"/>
    <mergeCell ref="A6:D6"/>
    <mergeCell ref="A10:E10"/>
    <mergeCell ref="A11:A12"/>
    <mergeCell ref="B11:B12"/>
    <mergeCell ref="C11:C12"/>
    <mergeCell ref="A269:E269"/>
    <mergeCell ref="A131:E131"/>
    <mergeCell ref="A192:E192"/>
    <mergeCell ref="E11:E12"/>
    <mergeCell ref="D115:D117"/>
    <mergeCell ref="E115:E117"/>
    <mergeCell ref="A64:E64"/>
    <mergeCell ref="A70:E70"/>
    <mergeCell ref="A77:E77"/>
    <mergeCell ref="A84:E84"/>
    <mergeCell ref="A83:E83"/>
    <mergeCell ref="A86:E86"/>
    <mergeCell ref="A98:E98"/>
    <mergeCell ref="A115:A117"/>
    <mergeCell ref="A48:E48"/>
    <mergeCell ref="A18:E18"/>
  </mergeCells>
  <conditionalFormatting sqref="E215">
    <cfRule type="expression" dxfId="12" priority="12" stopIfTrue="1">
      <formula>LEN(TRIM(E215))&gt;0</formula>
    </cfRule>
  </conditionalFormatting>
  <pageMargins left="0.70866141732283472" right="0.70866141732283472" top="0.74803149606299213" bottom="0.74803149606299213" header="0.31496062992125984" footer="0.31496062992125984"/>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8"/>
  <sheetViews>
    <sheetView topLeftCell="A124" zoomScaleNormal="100" workbookViewId="0">
      <selection activeCell="B302" sqref="B302"/>
    </sheetView>
  </sheetViews>
  <sheetFormatPr defaultColWidth="9.140625" defaultRowHeight="12.75" x14ac:dyDescent="0.2"/>
  <cols>
    <col min="1" max="1" width="4.42578125" style="337" customWidth="1"/>
    <col min="2" max="2" width="86.42578125" style="265" customWidth="1"/>
    <col min="3" max="3" width="24.85546875" style="266" customWidth="1"/>
    <col min="4" max="4" width="25.5703125" style="266" customWidth="1"/>
    <col min="5" max="5" width="16.85546875" style="472" customWidth="1"/>
    <col min="6" max="6" width="14.5703125" style="472" customWidth="1"/>
    <col min="7" max="7" width="19.42578125" style="472" customWidth="1"/>
    <col min="8" max="16384" width="9.140625" style="266"/>
  </cols>
  <sheetData>
    <row r="1" spans="1:7" ht="44.1" customHeight="1" x14ac:dyDescent="0.2">
      <c r="A1" s="515"/>
      <c r="B1" s="513"/>
      <c r="C1" s="513"/>
      <c r="D1" s="513"/>
      <c r="E1" s="514"/>
      <c r="F1" s="689" t="s">
        <v>742</v>
      </c>
      <c r="G1" s="689"/>
    </row>
    <row r="2" spans="1:7" ht="23.45" customHeight="1" x14ac:dyDescent="0.2">
      <c r="A2" s="691" t="s">
        <v>629</v>
      </c>
      <c r="B2" s="691"/>
      <c r="C2" s="691"/>
      <c r="D2" s="691"/>
      <c r="E2" s="691"/>
      <c r="F2" s="691"/>
      <c r="G2" s="691"/>
    </row>
    <row r="3" spans="1:7" ht="45" customHeight="1" x14ac:dyDescent="0.2">
      <c r="A3" s="672" t="s">
        <v>160</v>
      </c>
      <c r="B3" s="673" t="s">
        <v>455</v>
      </c>
      <c r="C3" s="673" t="s">
        <v>376</v>
      </c>
      <c r="D3" s="673" t="s">
        <v>451</v>
      </c>
      <c r="E3" s="673" t="s">
        <v>453</v>
      </c>
      <c r="F3" s="673"/>
      <c r="G3" s="673"/>
    </row>
    <row r="4" spans="1:7" ht="60" customHeight="1" x14ac:dyDescent="0.2">
      <c r="A4" s="672"/>
      <c r="B4" s="673"/>
      <c r="C4" s="673"/>
      <c r="D4" s="673"/>
      <c r="E4" s="518" t="s">
        <v>379</v>
      </c>
      <c r="F4" s="518" t="s">
        <v>380</v>
      </c>
      <c r="G4" s="518" t="s">
        <v>381</v>
      </c>
    </row>
    <row r="5" spans="1:7" ht="15.75" customHeight="1" x14ac:dyDescent="0.2">
      <c r="A5" s="690" t="s">
        <v>378</v>
      </c>
      <c r="B5" s="690"/>
      <c r="C5" s="690"/>
      <c r="D5" s="690"/>
      <c r="E5" s="690"/>
      <c r="F5" s="690"/>
      <c r="G5" s="690"/>
    </row>
    <row r="6" spans="1:7" ht="15" customHeight="1" x14ac:dyDescent="0.2">
      <c r="A6" s="679" t="s">
        <v>392</v>
      </c>
      <c r="B6" s="680"/>
      <c r="C6" s="680"/>
      <c r="D6" s="571"/>
      <c r="E6" s="571"/>
      <c r="F6" s="571"/>
      <c r="G6" s="572"/>
    </row>
    <row r="7" spans="1:7" ht="18" customHeight="1" x14ac:dyDescent="0.2">
      <c r="A7" s="546" t="s">
        <v>140</v>
      </c>
      <c r="B7" s="529" t="s">
        <v>150</v>
      </c>
      <c r="C7" s="626" t="s">
        <v>452</v>
      </c>
      <c r="D7" s="558" t="s">
        <v>382</v>
      </c>
      <c r="E7" s="522">
        <v>117.8</v>
      </c>
      <c r="F7" s="522"/>
      <c r="G7" s="522"/>
    </row>
    <row r="8" spans="1:7" ht="16.5" customHeight="1" x14ac:dyDescent="0.2">
      <c r="A8" s="539">
        <v>2</v>
      </c>
      <c r="B8" s="528" t="s">
        <v>328</v>
      </c>
      <c r="C8" s="555" t="s">
        <v>377</v>
      </c>
      <c r="D8" s="547" t="s">
        <v>382</v>
      </c>
      <c r="E8" s="520">
        <v>70</v>
      </c>
      <c r="F8" s="520"/>
      <c r="G8" s="520"/>
    </row>
    <row r="9" spans="1:7" ht="21" customHeight="1" x14ac:dyDescent="0.2">
      <c r="A9" s="539">
        <v>3</v>
      </c>
      <c r="B9" s="557" t="s">
        <v>372</v>
      </c>
      <c r="C9" s="634" t="s">
        <v>377</v>
      </c>
      <c r="D9" s="547" t="s">
        <v>382</v>
      </c>
      <c r="E9" s="520"/>
      <c r="F9" s="520">
        <v>25</v>
      </c>
      <c r="G9" s="520">
        <v>25</v>
      </c>
    </row>
    <row r="10" spans="1:7" ht="17.25" customHeight="1" x14ac:dyDescent="0.2">
      <c r="A10" s="676" t="s">
        <v>17</v>
      </c>
      <c r="B10" s="677"/>
      <c r="C10" s="677"/>
      <c r="D10" s="678"/>
      <c r="E10" s="549">
        <f>SUM(E7:E9)</f>
        <v>187.8</v>
      </c>
      <c r="F10" s="549">
        <f>SUM(F7:F9)</f>
        <v>25</v>
      </c>
      <c r="G10" s="549">
        <f>SUM(G7:G9)</f>
        <v>25</v>
      </c>
    </row>
    <row r="11" spans="1:7" ht="16.5" customHeight="1" x14ac:dyDescent="0.2">
      <c r="A11" s="655" t="s">
        <v>547</v>
      </c>
      <c r="B11" s="655"/>
      <c r="C11" s="655"/>
      <c r="D11" s="655"/>
      <c r="E11" s="561"/>
      <c r="F11" s="562"/>
      <c r="G11" s="562"/>
    </row>
    <row r="12" spans="1:7" ht="23.25" customHeight="1" x14ac:dyDescent="0.2">
      <c r="A12" s="664">
        <v>1</v>
      </c>
      <c r="B12" s="682" t="s">
        <v>261</v>
      </c>
      <c r="C12" s="555" t="s">
        <v>377</v>
      </c>
      <c r="D12" s="547" t="s">
        <v>383</v>
      </c>
      <c r="E12" s="520">
        <v>384.5</v>
      </c>
      <c r="F12" s="520">
        <v>286.3</v>
      </c>
      <c r="G12" s="521"/>
    </row>
    <row r="13" spans="1:7" ht="29.25" customHeight="1" x14ac:dyDescent="0.2">
      <c r="A13" s="666"/>
      <c r="B13" s="683"/>
      <c r="C13" s="627" t="s">
        <v>439</v>
      </c>
      <c r="D13" s="500"/>
      <c r="E13" s="520">
        <f>1148.095-384.5</f>
        <v>763.59500000000003</v>
      </c>
      <c r="F13" s="520">
        <f>3647.671-286.3</f>
        <v>3361.3709999999996</v>
      </c>
      <c r="G13" s="520">
        <v>143.489</v>
      </c>
    </row>
    <row r="14" spans="1:7" ht="32.25" customHeight="1" x14ac:dyDescent="0.2">
      <c r="A14" s="546">
        <v>2</v>
      </c>
      <c r="B14" s="574" t="s">
        <v>548</v>
      </c>
      <c r="C14" s="627" t="s">
        <v>439</v>
      </c>
      <c r="D14" s="500"/>
      <c r="E14" s="520">
        <v>3800</v>
      </c>
      <c r="F14" s="520"/>
      <c r="G14" s="520"/>
    </row>
    <row r="15" spans="1:7" ht="31.5" customHeight="1" x14ac:dyDescent="0.2">
      <c r="A15" s="546">
        <v>3</v>
      </c>
      <c r="B15" s="574" t="s">
        <v>550</v>
      </c>
      <c r="C15" s="627" t="s">
        <v>439</v>
      </c>
      <c r="D15" s="500"/>
      <c r="E15" s="520">
        <v>609.9</v>
      </c>
      <c r="F15" s="520">
        <v>956</v>
      </c>
      <c r="G15" s="520"/>
    </row>
    <row r="16" spans="1:7" ht="33.75" customHeight="1" x14ac:dyDescent="0.2">
      <c r="A16" s="546">
        <v>4</v>
      </c>
      <c r="B16" s="511" t="s">
        <v>551</v>
      </c>
      <c r="C16" s="627" t="s">
        <v>439</v>
      </c>
      <c r="D16" s="500"/>
      <c r="E16" s="520">
        <v>478.55500000000001</v>
      </c>
      <c r="F16" s="520"/>
      <c r="G16" s="520"/>
    </row>
    <row r="17" spans="1:7" ht="21.75" customHeight="1" x14ac:dyDescent="0.2">
      <c r="A17" s="539">
        <v>5</v>
      </c>
      <c r="B17" s="524" t="s">
        <v>388</v>
      </c>
      <c r="C17" s="555" t="s">
        <v>377</v>
      </c>
      <c r="D17" s="547" t="s">
        <v>383</v>
      </c>
      <c r="E17" s="520"/>
      <c r="F17" s="520"/>
      <c r="G17" s="520">
        <v>214.5</v>
      </c>
    </row>
    <row r="18" spans="1:7" s="519" customFormat="1" ht="30.75" customHeight="1" x14ac:dyDescent="0.2">
      <c r="A18" s="539">
        <v>6</v>
      </c>
      <c r="B18" s="524" t="s">
        <v>599</v>
      </c>
      <c r="C18" s="555" t="s">
        <v>377</v>
      </c>
      <c r="D18" s="555" t="s">
        <v>383</v>
      </c>
      <c r="E18" s="520">
        <v>27</v>
      </c>
      <c r="F18" s="520">
        <v>50.9</v>
      </c>
      <c r="G18" s="520">
        <v>34.200000000000003</v>
      </c>
    </row>
    <row r="19" spans="1:7" ht="17.25" customHeight="1" x14ac:dyDescent="0.2">
      <c r="A19" s="676" t="s">
        <v>17</v>
      </c>
      <c r="B19" s="677"/>
      <c r="C19" s="677"/>
      <c r="D19" s="678"/>
      <c r="E19" s="549">
        <f>SUM(E12:E18)</f>
        <v>6063.55</v>
      </c>
      <c r="F19" s="549">
        <f>SUM(F12:F17)</f>
        <v>4603.6710000000003</v>
      </c>
      <c r="G19" s="549">
        <f>SUM(G12:G17)</f>
        <v>357.98900000000003</v>
      </c>
    </row>
    <row r="20" spans="1:7" ht="18.75" customHeight="1" x14ac:dyDescent="0.2">
      <c r="A20" s="679" t="s">
        <v>409</v>
      </c>
      <c r="B20" s="680"/>
      <c r="C20" s="680"/>
      <c r="D20" s="681"/>
      <c r="E20" s="561"/>
      <c r="F20" s="561"/>
      <c r="G20" s="561"/>
    </row>
    <row r="21" spans="1:7" ht="18" customHeight="1" x14ac:dyDescent="0.2">
      <c r="A21" s="539">
        <v>1</v>
      </c>
      <c r="B21" s="538" t="s">
        <v>85</v>
      </c>
      <c r="C21" s="627" t="s">
        <v>377</v>
      </c>
      <c r="D21" s="555" t="s">
        <v>383</v>
      </c>
      <c r="E21" s="525">
        <v>500</v>
      </c>
      <c r="F21" s="525">
        <v>333.1</v>
      </c>
      <c r="G21" s="525"/>
    </row>
    <row r="22" spans="1:7" s="265" customFormat="1" ht="25.5" customHeight="1" x14ac:dyDescent="0.2">
      <c r="A22" s="539">
        <v>2</v>
      </c>
      <c r="B22" s="524" t="s">
        <v>36</v>
      </c>
      <c r="C22" s="627" t="s">
        <v>377</v>
      </c>
      <c r="D22" s="555" t="s">
        <v>383</v>
      </c>
      <c r="E22" s="525">
        <v>50.5</v>
      </c>
      <c r="F22" s="525"/>
      <c r="G22" s="525"/>
    </row>
    <row r="23" spans="1:7" ht="30" customHeight="1" x14ac:dyDescent="0.2">
      <c r="A23" s="539">
        <v>3</v>
      </c>
      <c r="B23" s="524" t="s">
        <v>305</v>
      </c>
      <c r="C23" s="555" t="s">
        <v>377</v>
      </c>
      <c r="D23" s="555" t="s">
        <v>383</v>
      </c>
      <c r="E23" s="525">
        <v>1078.5999999999999</v>
      </c>
      <c r="F23" s="526"/>
      <c r="G23" s="526"/>
    </row>
    <row r="24" spans="1:7" ht="45.75" customHeight="1" x14ac:dyDescent="0.2">
      <c r="A24" s="548">
        <v>5</v>
      </c>
      <c r="B24" s="538" t="s">
        <v>99</v>
      </c>
      <c r="C24" s="555" t="s">
        <v>377</v>
      </c>
      <c r="D24" s="524" t="s">
        <v>408</v>
      </c>
      <c r="E24" s="531">
        <v>89.3</v>
      </c>
      <c r="F24" s="525">
        <v>2572.6</v>
      </c>
      <c r="G24" s="525">
        <v>6106.9</v>
      </c>
    </row>
    <row r="25" spans="1:7" ht="48" customHeight="1" x14ac:dyDescent="0.2">
      <c r="A25" s="548">
        <v>6</v>
      </c>
      <c r="B25" s="538" t="s">
        <v>100</v>
      </c>
      <c r="C25" s="555" t="s">
        <v>377</v>
      </c>
      <c r="D25" s="524" t="s">
        <v>408</v>
      </c>
      <c r="E25" s="525">
        <v>4894.5</v>
      </c>
      <c r="F25" s="525">
        <v>1098.3</v>
      </c>
      <c r="G25" s="530"/>
    </row>
    <row r="26" spans="1:7" ht="45" customHeight="1" x14ac:dyDescent="0.2">
      <c r="A26" s="548">
        <v>7</v>
      </c>
      <c r="B26" s="538" t="s">
        <v>101</v>
      </c>
      <c r="C26" s="555" t="s">
        <v>377</v>
      </c>
      <c r="D26" s="523" t="s">
        <v>408</v>
      </c>
      <c r="E26" s="525">
        <v>591</v>
      </c>
      <c r="F26" s="525"/>
      <c r="G26" s="525"/>
    </row>
    <row r="27" spans="1:7" ht="45" customHeight="1" x14ac:dyDescent="0.2">
      <c r="A27" s="548">
        <v>8</v>
      </c>
      <c r="B27" s="554" t="s">
        <v>390</v>
      </c>
      <c r="C27" s="555" t="s">
        <v>377</v>
      </c>
      <c r="D27" s="523" t="s">
        <v>408</v>
      </c>
      <c r="E27" s="530">
        <v>60</v>
      </c>
      <c r="F27" s="530"/>
      <c r="G27" s="530">
        <v>1500</v>
      </c>
    </row>
    <row r="28" spans="1:7" ht="47.25" customHeight="1" x14ac:dyDescent="0.2">
      <c r="A28" s="548">
        <v>9</v>
      </c>
      <c r="B28" s="538" t="s">
        <v>103</v>
      </c>
      <c r="C28" s="555" t="s">
        <v>377</v>
      </c>
      <c r="D28" s="523" t="s">
        <v>408</v>
      </c>
      <c r="E28" s="525">
        <v>382.1</v>
      </c>
      <c r="F28" s="526"/>
      <c r="G28" s="526"/>
    </row>
    <row r="29" spans="1:7" ht="43.5" customHeight="1" x14ac:dyDescent="0.2">
      <c r="A29" s="548">
        <v>10</v>
      </c>
      <c r="B29" s="538" t="s">
        <v>263</v>
      </c>
      <c r="C29" s="555" t="s">
        <v>377</v>
      </c>
      <c r="D29" s="528" t="s">
        <v>408</v>
      </c>
      <c r="E29" s="520">
        <v>10</v>
      </c>
      <c r="F29" s="525">
        <v>84</v>
      </c>
      <c r="G29" s="526"/>
    </row>
    <row r="30" spans="1:7" ht="38.25" customHeight="1" x14ac:dyDescent="0.2">
      <c r="A30" s="548">
        <v>11</v>
      </c>
      <c r="B30" s="538" t="s">
        <v>300</v>
      </c>
      <c r="C30" s="555" t="s">
        <v>377</v>
      </c>
      <c r="D30" s="532" t="s">
        <v>408</v>
      </c>
      <c r="E30" s="525">
        <v>24</v>
      </c>
      <c r="F30" s="525">
        <v>140.80000000000001</v>
      </c>
      <c r="G30" s="525">
        <v>150</v>
      </c>
    </row>
    <row r="31" spans="1:7" ht="38.25" customHeight="1" x14ac:dyDescent="0.2">
      <c r="A31" s="548">
        <v>12</v>
      </c>
      <c r="B31" s="553" t="s">
        <v>35</v>
      </c>
      <c r="C31" s="627" t="s">
        <v>377</v>
      </c>
      <c r="D31" s="532" t="s">
        <v>408</v>
      </c>
      <c r="E31" s="525">
        <v>181.1</v>
      </c>
      <c r="F31" s="525"/>
      <c r="G31" s="525"/>
    </row>
    <row r="32" spans="1:7" ht="43.5" customHeight="1" x14ac:dyDescent="0.2">
      <c r="A32" s="548">
        <v>13</v>
      </c>
      <c r="B32" s="538" t="s">
        <v>170</v>
      </c>
      <c r="C32" s="627" t="s">
        <v>377</v>
      </c>
      <c r="D32" s="532" t="s">
        <v>408</v>
      </c>
      <c r="E32" s="525"/>
      <c r="F32" s="525">
        <v>512.70000000000005</v>
      </c>
      <c r="G32" s="525">
        <v>591.5</v>
      </c>
    </row>
    <row r="33" spans="1:7" ht="43.5" customHeight="1" x14ac:dyDescent="0.2">
      <c r="A33" s="548">
        <v>14</v>
      </c>
      <c r="B33" s="538" t="s">
        <v>314</v>
      </c>
      <c r="C33" s="627" t="s">
        <v>377</v>
      </c>
      <c r="D33" s="532" t="s">
        <v>408</v>
      </c>
      <c r="E33" s="580">
        <f>200-100</f>
        <v>100</v>
      </c>
      <c r="F33" s="533">
        <f>200+100</f>
        <v>300</v>
      </c>
      <c r="G33" s="526"/>
    </row>
    <row r="34" spans="1:7" ht="43.5" customHeight="1" x14ac:dyDescent="0.2">
      <c r="A34" s="539">
        <v>15</v>
      </c>
      <c r="B34" s="532" t="s">
        <v>309</v>
      </c>
      <c r="C34" s="627" t="s">
        <v>377</v>
      </c>
      <c r="D34" s="538" t="s">
        <v>408</v>
      </c>
      <c r="E34" s="525">
        <v>150</v>
      </c>
      <c r="F34" s="525">
        <v>278</v>
      </c>
      <c r="G34" s="526"/>
    </row>
    <row r="35" spans="1:7" ht="42.75" customHeight="1" x14ac:dyDescent="0.2">
      <c r="A35" s="548">
        <v>16</v>
      </c>
      <c r="B35" s="538" t="s">
        <v>321</v>
      </c>
      <c r="C35" s="627" t="s">
        <v>377</v>
      </c>
      <c r="D35" s="538" t="s">
        <v>408</v>
      </c>
      <c r="E35" s="525">
        <f>500-200</f>
        <v>300</v>
      </c>
      <c r="F35" s="525">
        <f>1500+200</f>
        <v>1700</v>
      </c>
      <c r="G35" s="525">
        <v>1178.3</v>
      </c>
    </row>
    <row r="36" spans="1:7" ht="48.75" customHeight="1" x14ac:dyDescent="0.2">
      <c r="A36" s="539">
        <v>17</v>
      </c>
      <c r="B36" s="538" t="s">
        <v>315</v>
      </c>
      <c r="C36" s="555" t="s">
        <v>377</v>
      </c>
      <c r="D36" s="532" t="s">
        <v>408</v>
      </c>
      <c r="E36" s="526"/>
      <c r="F36" s="526"/>
      <c r="G36" s="525">
        <v>459.2</v>
      </c>
    </row>
    <row r="37" spans="1:7" s="519" customFormat="1" ht="48.75" customHeight="1" x14ac:dyDescent="0.2">
      <c r="A37" s="628">
        <v>18</v>
      </c>
      <c r="B37" s="627" t="s">
        <v>603</v>
      </c>
      <c r="C37" s="627" t="s">
        <v>377</v>
      </c>
      <c r="D37" s="532" t="s">
        <v>408</v>
      </c>
      <c r="E37" s="525">
        <v>127.5</v>
      </c>
      <c r="F37" s="525">
        <v>215</v>
      </c>
      <c r="G37" s="525">
        <v>60</v>
      </c>
    </row>
    <row r="38" spans="1:7" s="519" customFormat="1" ht="48.75" customHeight="1" x14ac:dyDescent="0.2">
      <c r="A38" s="628">
        <v>19</v>
      </c>
      <c r="B38" s="627" t="s">
        <v>604</v>
      </c>
      <c r="C38" s="627" t="s">
        <v>377</v>
      </c>
      <c r="D38" s="532" t="s">
        <v>408</v>
      </c>
      <c r="E38" s="525">
        <v>101.7</v>
      </c>
      <c r="F38" s="525"/>
      <c r="G38" s="525"/>
    </row>
    <row r="39" spans="1:7" ht="48.75" customHeight="1" x14ac:dyDescent="0.2">
      <c r="A39" s="548">
        <v>20</v>
      </c>
      <c r="B39" s="538" t="s">
        <v>141</v>
      </c>
      <c r="C39" s="555" t="s">
        <v>377</v>
      </c>
      <c r="D39" s="532" t="s">
        <v>408</v>
      </c>
      <c r="E39" s="525">
        <v>43.5</v>
      </c>
      <c r="F39" s="525">
        <v>154</v>
      </c>
      <c r="G39" s="525">
        <v>161</v>
      </c>
    </row>
    <row r="40" spans="1:7" ht="48.75" customHeight="1" x14ac:dyDescent="0.2">
      <c r="A40" s="548">
        <v>21</v>
      </c>
      <c r="B40" s="551" t="s">
        <v>159</v>
      </c>
      <c r="C40" s="555" t="s">
        <v>377</v>
      </c>
      <c r="D40" s="528" t="s">
        <v>408</v>
      </c>
      <c r="E40" s="534">
        <v>1263.5</v>
      </c>
      <c r="F40" s="535">
        <v>1200</v>
      </c>
      <c r="G40" s="535">
        <v>1200</v>
      </c>
    </row>
    <row r="41" spans="1:7" ht="46.5" customHeight="1" x14ac:dyDescent="0.2">
      <c r="A41" s="548">
        <v>22</v>
      </c>
      <c r="B41" s="538" t="s">
        <v>104</v>
      </c>
      <c r="C41" s="555" t="s">
        <v>377</v>
      </c>
      <c r="D41" s="528" t="s">
        <v>408</v>
      </c>
      <c r="E41" s="525">
        <v>3183.3</v>
      </c>
      <c r="F41" s="525">
        <v>794.1</v>
      </c>
      <c r="G41" s="525"/>
    </row>
    <row r="42" spans="1:7" ht="45" customHeight="1" x14ac:dyDescent="0.2">
      <c r="A42" s="548">
        <v>23</v>
      </c>
      <c r="B42" s="538" t="s">
        <v>417</v>
      </c>
      <c r="C42" s="555" t="s">
        <v>377</v>
      </c>
      <c r="D42" s="524" t="s">
        <v>408</v>
      </c>
      <c r="E42" s="525">
        <v>143</v>
      </c>
      <c r="F42" s="525">
        <v>253</v>
      </c>
      <c r="G42" s="525">
        <v>253</v>
      </c>
    </row>
    <row r="43" spans="1:7" ht="48.75" customHeight="1" x14ac:dyDescent="0.2">
      <c r="A43" s="541">
        <v>24</v>
      </c>
      <c r="B43" s="559" t="s">
        <v>389</v>
      </c>
      <c r="C43" s="555" t="s">
        <v>377</v>
      </c>
      <c r="D43" s="538" t="s">
        <v>408</v>
      </c>
      <c r="E43" s="525"/>
      <c r="F43" s="525"/>
      <c r="G43" s="525"/>
    </row>
    <row r="44" spans="1:7" ht="41.25" customHeight="1" x14ac:dyDescent="0.2">
      <c r="A44" s="541">
        <v>25</v>
      </c>
      <c r="B44" s="559" t="s">
        <v>410</v>
      </c>
      <c r="C44" s="555" t="s">
        <v>377</v>
      </c>
      <c r="D44" s="538" t="s">
        <v>408</v>
      </c>
      <c r="E44" s="525">
        <v>560.9</v>
      </c>
      <c r="F44" s="525">
        <v>483.5</v>
      </c>
      <c r="G44" s="525">
        <v>329.5</v>
      </c>
    </row>
    <row r="45" spans="1:7" ht="15.75" customHeight="1" x14ac:dyDescent="0.2">
      <c r="A45" s="676" t="s">
        <v>17</v>
      </c>
      <c r="B45" s="677"/>
      <c r="C45" s="677"/>
      <c r="D45" s="678"/>
      <c r="E45" s="549">
        <f>SUM(E21:E44)</f>
        <v>13834.500000000002</v>
      </c>
      <c r="F45" s="549">
        <f>SUM(F21:F44)</f>
        <v>10119.1</v>
      </c>
      <c r="G45" s="549">
        <f>SUM(G21:G44)</f>
        <v>11989.4</v>
      </c>
    </row>
    <row r="46" spans="1:7" ht="16.5" customHeight="1" x14ac:dyDescent="0.2">
      <c r="A46" s="679" t="s">
        <v>393</v>
      </c>
      <c r="B46" s="680"/>
      <c r="C46" s="680"/>
      <c r="D46" s="680"/>
      <c r="E46" s="563"/>
      <c r="F46" s="564"/>
      <c r="G46" s="565"/>
    </row>
    <row r="47" spans="1:7" ht="32.25" customHeight="1" x14ac:dyDescent="0.2">
      <c r="A47" s="539">
        <v>1</v>
      </c>
      <c r="B47" s="524" t="s">
        <v>91</v>
      </c>
      <c r="C47" s="555" t="s">
        <v>377</v>
      </c>
      <c r="D47" s="520" t="s">
        <v>419</v>
      </c>
      <c r="E47" s="520">
        <v>194.5</v>
      </c>
      <c r="F47" s="520"/>
      <c r="G47" s="520"/>
    </row>
    <row r="48" spans="1:7" ht="35.25" customHeight="1" x14ac:dyDescent="0.2">
      <c r="A48" s="539">
        <v>2</v>
      </c>
      <c r="B48" s="524" t="s">
        <v>134</v>
      </c>
      <c r="C48" s="555" t="s">
        <v>377</v>
      </c>
      <c r="D48" s="520" t="s">
        <v>419</v>
      </c>
      <c r="E48" s="520"/>
      <c r="F48" s="605">
        <f>299.8-299.8+675</f>
        <v>675</v>
      </c>
      <c r="G48" s="597">
        <v>299.8</v>
      </c>
    </row>
    <row r="49" spans="1:7" ht="34.5" customHeight="1" x14ac:dyDescent="0.2">
      <c r="A49" s="539">
        <v>3</v>
      </c>
      <c r="B49" s="524" t="s">
        <v>301</v>
      </c>
      <c r="C49" s="555" t="s">
        <v>377</v>
      </c>
      <c r="D49" s="520" t="s">
        <v>419</v>
      </c>
      <c r="E49" s="520"/>
      <c r="F49" s="520">
        <v>20</v>
      </c>
      <c r="G49" s="520">
        <v>100</v>
      </c>
    </row>
    <row r="50" spans="1:7" s="519" customFormat="1" ht="34.5" customHeight="1" x14ac:dyDescent="0.2">
      <c r="A50" s="539">
        <v>4</v>
      </c>
      <c r="B50" s="524" t="s">
        <v>605</v>
      </c>
      <c r="C50" s="555" t="s">
        <v>377</v>
      </c>
      <c r="D50" s="520" t="s">
        <v>419</v>
      </c>
      <c r="E50" s="520">
        <v>6</v>
      </c>
      <c r="F50" s="635">
        <v>107</v>
      </c>
      <c r="G50" s="636">
        <f>757-454</f>
        <v>303</v>
      </c>
    </row>
    <row r="51" spans="1:7" ht="18.75" customHeight="1" x14ac:dyDescent="0.2">
      <c r="A51" s="684" t="s">
        <v>17</v>
      </c>
      <c r="B51" s="684"/>
      <c r="C51" s="684"/>
      <c r="D51" s="684"/>
      <c r="E51" s="549">
        <f>SUM(E47:E50)</f>
        <v>200.5</v>
      </c>
      <c r="F51" s="549">
        <f>SUM(F47:F50)</f>
        <v>802</v>
      </c>
      <c r="G51" s="549">
        <f>SUM(G47:G50)</f>
        <v>702.8</v>
      </c>
    </row>
    <row r="52" spans="1:7" ht="18" customHeight="1" x14ac:dyDescent="0.2">
      <c r="A52" s="679" t="s">
        <v>394</v>
      </c>
      <c r="B52" s="680"/>
      <c r="C52" s="680"/>
      <c r="D52" s="680"/>
      <c r="E52" s="569"/>
      <c r="F52" s="569"/>
      <c r="G52" s="570"/>
    </row>
    <row r="53" spans="1:7" s="292" customFormat="1" ht="33.75" customHeight="1" x14ac:dyDescent="0.25">
      <c r="A53" s="539">
        <v>1</v>
      </c>
      <c r="B53" s="524" t="s">
        <v>123</v>
      </c>
      <c r="C53" s="555" t="s">
        <v>377</v>
      </c>
      <c r="D53" s="538" t="s">
        <v>442</v>
      </c>
      <c r="E53" s="520">
        <v>296.60000000000002</v>
      </c>
      <c r="F53" s="520"/>
      <c r="G53" s="520"/>
    </row>
    <row r="54" spans="1:7" s="292" customFormat="1" ht="31.5" customHeight="1" x14ac:dyDescent="0.25">
      <c r="A54" s="539">
        <v>2</v>
      </c>
      <c r="B54" s="524" t="s">
        <v>40</v>
      </c>
      <c r="C54" s="555" t="s">
        <v>377</v>
      </c>
      <c r="D54" s="538" t="s">
        <v>442</v>
      </c>
      <c r="E54" s="520">
        <v>7003.5</v>
      </c>
      <c r="F54" s="520">
        <v>4735.2</v>
      </c>
      <c r="G54" s="520"/>
    </row>
    <row r="55" spans="1:7" s="292" customFormat="1" ht="27" customHeight="1" x14ac:dyDescent="0.25">
      <c r="A55" s="539">
        <v>3</v>
      </c>
      <c r="B55" s="524" t="s">
        <v>128</v>
      </c>
      <c r="C55" s="555" t="s">
        <v>377</v>
      </c>
      <c r="D55" s="538" t="s">
        <v>442</v>
      </c>
      <c r="E55" s="520">
        <v>826</v>
      </c>
      <c r="F55" s="520">
        <v>790</v>
      </c>
      <c r="G55" s="520">
        <v>600</v>
      </c>
    </row>
    <row r="56" spans="1:7" s="292" customFormat="1" ht="30" customHeight="1" x14ac:dyDescent="0.25">
      <c r="A56" s="539">
        <v>4</v>
      </c>
      <c r="B56" s="524" t="s">
        <v>421</v>
      </c>
      <c r="C56" s="555" t="s">
        <v>377</v>
      </c>
      <c r="D56" s="538" t="s">
        <v>442</v>
      </c>
      <c r="E56" s="520"/>
      <c r="F56" s="520">
        <v>200</v>
      </c>
      <c r="G56" s="520">
        <v>200</v>
      </c>
    </row>
    <row r="57" spans="1:7" s="292" customFormat="1" ht="39.75" customHeight="1" x14ac:dyDescent="0.25">
      <c r="A57" s="539">
        <v>5</v>
      </c>
      <c r="B57" s="524" t="s">
        <v>146</v>
      </c>
      <c r="C57" s="555" t="s">
        <v>377</v>
      </c>
      <c r="D57" s="538" t="s">
        <v>442</v>
      </c>
      <c r="E57" s="520">
        <v>640.29999999999995</v>
      </c>
      <c r="F57" s="520"/>
      <c r="G57" s="520"/>
    </row>
    <row r="58" spans="1:7" s="292" customFormat="1" ht="30" customHeight="1" x14ac:dyDescent="0.25">
      <c r="A58" s="539">
        <v>6</v>
      </c>
      <c r="B58" s="524" t="s">
        <v>135</v>
      </c>
      <c r="C58" s="555" t="s">
        <v>377</v>
      </c>
      <c r="D58" s="538" t="s">
        <v>442</v>
      </c>
      <c r="E58" s="585">
        <v>247</v>
      </c>
      <c r="F58" s="600">
        <v>789.8</v>
      </c>
      <c r="G58" s="637">
        <v>614</v>
      </c>
    </row>
    <row r="59" spans="1:7" s="292" customFormat="1" ht="30" customHeight="1" x14ac:dyDescent="0.25">
      <c r="A59" s="539">
        <v>7</v>
      </c>
      <c r="B59" s="524" t="s">
        <v>137</v>
      </c>
      <c r="C59" s="555" t="s">
        <v>377</v>
      </c>
      <c r="D59" s="538" t="s">
        <v>442</v>
      </c>
      <c r="E59" s="520"/>
      <c r="F59" s="585"/>
      <c r="G59" s="520">
        <v>236.9</v>
      </c>
    </row>
    <row r="60" spans="1:7" s="292" customFormat="1" ht="33.75" customHeight="1" x14ac:dyDescent="0.25">
      <c r="A60" s="539">
        <v>8</v>
      </c>
      <c r="B60" s="524" t="s">
        <v>164</v>
      </c>
      <c r="C60" s="555" t="s">
        <v>377</v>
      </c>
      <c r="D60" s="538" t="s">
        <v>442</v>
      </c>
      <c r="E60" s="520"/>
      <c r="F60" s="585">
        <v>100</v>
      </c>
      <c r="G60" s="512">
        <f>200+2138.9</f>
        <v>2338.9</v>
      </c>
    </row>
    <row r="61" spans="1:7" s="292" customFormat="1" ht="30.75" customHeight="1" x14ac:dyDescent="0.25">
      <c r="A61" s="539">
        <v>9</v>
      </c>
      <c r="B61" s="538" t="s">
        <v>165</v>
      </c>
      <c r="C61" s="555" t="s">
        <v>377</v>
      </c>
      <c r="D61" s="538" t="s">
        <v>442</v>
      </c>
      <c r="E61" s="520">
        <v>1321</v>
      </c>
      <c r="F61" s="520">
        <v>1471.4</v>
      </c>
      <c r="G61" s="520"/>
    </row>
    <row r="62" spans="1:7" s="292" customFormat="1" ht="42.75" customHeight="1" x14ac:dyDescent="0.25">
      <c r="A62" s="539">
        <v>10</v>
      </c>
      <c r="B62" s="538" t="s">
        <v>596</v>
      </c>
      <c r="C62" s="555" t="s">
        <v>377</v>
      </c>
      <c r="D62" s="538" t="s">
        <v>442</v>
      </c>
      <c r="E62" s="520"/>
      <c r="F62" s="585">
        <v>35.700000000000003</v>
      </c>
      <c r="G62" s="600">
        <v>1013.6</v>
      </c>
    </row>
    <row r="63" spans="1:7" s="292" customFormat="1" ht="32.25" customHeight="1" x14ac:dyDescent="0.25">
      <c r="A63" s="539">
        <v>11</v>
      </c>
      <c r="B63" s="528" t="s">
        <v>136</v>
      </c>
      <c r="C63" s="555" t="s">
        <v>377</v>
      </c>
      <c r="D63" s="532" t="s">
        <v>442</v>
      </c>
      <c r="E63" s="520"/>
      <c r="F63" s="520">
        <v>672.6</v>
      </c>
      <c r="G63" s="520"/>
    </row>
    <row r="64" spans="1:7" s="292" customFormat="1" ht="37.5" customHeight="1" x14ac:dyDescent="0.25">
      <c r="A64" s="539">
        <v>12</v>
      </c>
      <c r="B64" s="528" t="s">
        <v>43</v>
      </c>
      <c r="C64" s="555" t="s">
        <v>377</v>
      </c>
      <c r="D64" s="532" t="s">
        <v>442</v>
      </c>
      <c r="E64" s="520">
        <v>416.6</v>
      </c>
      <c r="F64" s="520"/>
      <c r="G64" s="520"/>
    </row>
    <row r="65" spans="1:7" s="292" customFormat="1" ht="34.5" customHeight="1" x14ac:dyDescent="0.25">
      <c r="A65" s="539">
        <v>13</v>
      </c>
      <c r="B65" s="528" t="s">
        <v>420</v>
      </c>
      <c r="C65" s="555" t="s">
        <v>377</v>
      </c>
      <c r="D65" s="532" t="s">
        <v>442</v>
      </c>
      <c r="E65" s="520"/>
      <c r="F65" s="520"/>
      <c r="G65" s="520">
        <v>358.6</v>
      </c>
    </row>
    <row r="66" spans="1:7" s="292" customFormat="1" ht="31.5" customHeight="1" x14ac:dyDescent="0.25">
      <c r="A66" s="539">
        <v>14</v>
      </c>
      <c r="B66" s="528" t="s">
        <v>279</v>
      </c>
      <c r="C66" s="555" t="s">
        <v>377</v>
      </c>
      <c r="D66" s="532" t="s">
        <v>442</v>
      </c>
      <c r="E66" s="520"/>
      <c r="F66" s="520"/>
      <c r="G66" s="520">
        <v>676.1</v>
      </c>
    </row>
    <row r="67" spans="1:7" s="292" customFormat="1" ht="38.25" customHeight="1" x14ac:dyDescent="0.25">
      <c r="A67" s="539">
        <v>15</v>
      </c>
      <c r="B67" s="528" t="s">
        <v>422</v>
      </c>
      <c r="C67" s="555" t="s">
        <v>377</v>
      </c>
      <c r="D67" s="532" t="s">
        <v>442</v>
      </c>
      <c r="E67" s="520">
        <v>123</v>
      </c>
      <c r="F67" s="520">
        <v>257.5</v>
      </c>
      <c r="G67" s="520">
        <v>257.5</v>
      </c>
    </row>
    <row r="68" spans="1:7" s="292" customFormat="1" ht="12.75" customHeight="1" x14ac:dyDescent="0.25">
      <c r="A68" s="676" t="s">
        <v>17</v>
      </c>
      <c r="B68" s="677"/>
      <c r="C68" s="677"/>
      <c r="D68" s="678"/>
      <c r="E68" s="549">
        <f>SUM(E53:E67)</f>
        <v>10874</v>
      </c>
      <c r="F68" s="549">
        <f>SUM(F53:F67)</f>
        <v>9052.1999999999989</v>
      </c>
      <c r="G68" s="549">
        <f>SUM(G53:G67)</f>
        <v>6295.6000000000013</v>
      </c>
    </row>
    <row r="69" spans="1:7" s="292" customFormat="1" ht="18.75" customHeight="1" x14ac:dyDescent="0.25">
      <c r="A69" s="679" t="s">
        <v>395</v>
      </c>
      <c r="B69" s="680"/>
      <c r="C69" s="680"/>
      <c r="D69" s="680"/>
      <c r="E69" s="563"/>
      <c r="F69" s="563"/>
      <c r="G69" s="566"/>
    </row>
    <row r="70" spans="1:7" ht="30.75" customHeight="1" x14ac:dyDescent="0.2">
      <c r="A70" s="546">
        <v>1</v>
      </c>
      <c r="B70" s="529" t="s">
        <v>423</v>
      </c>
      <c r="C70" s="625" t="s">
        <v>377</v>
      </c>
      <c r="D70" s="538" t="s">
        <v>443</v>
      </c>
      <c r="E70" s="530">
        <v>1855.6</v>
      </c>
      <c r="F70" s="522"/>
      <c r="G70" s="522"/>
    </row>
    <row r="71" spans="1:7" ht="31.5" customHeight="1" x14ac:dyDescent="0.2">
      <c r="A71" s="539">
        <v>2</v>
      </c>
      <c r="B71" s="538" t="s">
        <v>345</v>
      </c>
      <c r="C71" s="625" t="s">
        <v>377</v>
      </c>
      <c r="D71" s="538" t="s">
        <v>443</v>
      </c>
      <c r="E71" s="520"/>
      <c r="F71" s="520"/>
      <c r="G71" s="520">
        <v>4000</v>
      </c>
    </row>
    <row r="72" spans="1:7" ht="30.75" customHeight="1" x14ac:dyDescent="0.2">
      <c r="A72" s="548">
        <v>3</v>
      </c>
      <c r="B72" s="567" t="s">
        <v>374</v>
      </c>
      <c r="C72" s="625" t="s">
        <v>377</v>
      </c>
      <c r="D72" s="538" t="s">
        <v>443</v>
      </c>
      <c r="E72" s="527"/>
      <c r="F72" s="527"/>
      <c r="G72" s="527">
        <v>50</v>
      </c>
    </row>
    <row r="73" spans="1:7" ht="31.5" customHeight="1" x14ac:dyDescent="0.2">
      <c r="A73" s="539">
        <v>4</v>
      </c>
      <c r="B73" s="557" t="s">
        <v>424</v>
      </c>
      <c r="C73" s="555" t="s">
        <v>377</v>
      </c>
      <c r="D73" s="538" t="s">
        <v>443</v>
      </c>
      <c r="E73" s="520">
        <v>10.6</v>
      </c>
      <c r="F73" s="520"/>
      <c r="G73" s="520"/>
    </row>
    <row r="74" spans="1:7" ht="34.5" customHeight="1" x14ac:dyDescent="0.2">
      <c r="A74" s="539">
        <v>5</v>
      </c>
      <c r="B74" s="557" t="s">
        <v>425</v>
      </c>
      <c r="C74" s="555" t="s">
        <v>377</v>
      </c>
      <c r="D74" s="538" t="s">
        <v>443</v>
      </c>
      <c r="E74" s="520"/>
      <c r="F74" s="520">
        <v>225</v>
      </c>
      <c r="G74" s="520"/>
    </row>
    <row r="75" spans="1:7" ht="19.5" customHeight="1" x14ac:dyDescent="0.2">
      <c r="A75" s="676" t="s">
        <v>17</v>
      </c>
      <c r="B75" s="677"/>
      <c r="C75" s="677"/>
      <c r="D75" s="678"/>
      <c r="E75" s="549">
        <f>SUM(E70:E74)</f>
        <v>1866.1999999999998</v>
      </c>
      <c r="F75" s="549">
        <f>SUM(F70:F74)</f>
        <v>225</v>
      </c>
      <c r="G75" s="549">
        <f>SUM(G70:G74)</f>
        <v>4050</v>
      </c>
    </row>
    <row r="76" spans="1:7" ht="18" customHeight="1" x14ac:dyDescent="0.2">
      <c r="A76" s="679" t="s">
        <v>396</v>
      </c>
      <c r="B76" s="680"/>
      <c r="C76" s="680"/>
      <c r="D76" s="681"/>
      <c r="E76" s="560"/>
      <c r="F76" s="560"/>
      <c r="G76" s="560"/>
    </row>
    <row r="77" spans="1:7" ht="27.75" customHeight="1" x14ac:dyDescent="0.2">
      <c r="A77" s="539">
        <v>1</v>
      </c>
      <c r="B77" s="524" t="s">
        <v>50</v>
      </c>
      <c r="C77" s="555" t="s">
        <v>377</v>
      </c>
      <c r="D77" s="555" t="s">
        <v>427</v>
      </c>
      <c r="E77" s="520">
        <v>400.7</v>
      </c>
      <c r="F77" s="520"/>
      <c r="G77" s="520"/>
    </row>
    <row r="78" spans="1:7" ht="33" customHeight="1" x14ac:dyDescent="0.2">
      <c r="A78" s="539">
        <v>2</v>
      </c>
      <c r="B78" s="524" t="s">
        <v>138</v>
      </c>
      <c r="C78" s="555" t="s">
        <v>377</v>
      </c>
      <c r="D78" s="555" t="s">
        <v>427</v>
      </c>
      <c r="E78" s="520"/>
      <c r="F78" s="520">
        <v>117</v>
      </c>
      <c r="G78" s="520">
        <v>1100</v>
      </c>
    </row>
    <row r="79" spans="1:7" ht="30" customHeight="1" x14ac:dyDescent="0.2">
      <c r="A79" s="539">
        <v>3</v>
      </c>
      <c r="B79" s="624" t="s">
        <v>90</v>
      </c>
      <c r="C79" s="555" t="s">
        <v>377</v>
      </c>
      <c r="D79" s="555" t="s">
        <v>427</v>
      </c>
      <c r="E79" s="520">
        <v>566.29999999999995</v>
      </c>
      <c r="F79" s="521"/>
      <c r="G79" s="521"/>
    </row>
    <row r="80" spans="1:7" ht="32.25" customHeight="1" x14ac:dyDescent="0.2">
      <c r="A80" s="539">
        <v>4</v>
      </c>
      <c r="B80" s="624" t="s">
        <v>397</v>
      </c>
      <c r="C80" s="555" t="s">
        <v>377</v>
      </c>
      <c r="D80" s="555" t="s">
        <v>427</v>
      </c>
      <c r="E80" s="638">
        <f>30+8.7</f>
        <v>38.700000000000003</v>
      </c>
      <c r="F80" s="639">
        <f>70-8.7+23.3</f>
        <v>84.6</v>
      </c>
      <c r="G80" s="639">
        <v>948.3</v>
      </c>
    </row>
    <row r="81" spans="1:7" ht="31.5" customHeight="1" x14ac:dyDescent="0.2">
      <c r="A81" s="539">
        <v>5</v>
      </c>
      <c r="B81" s="624" t="s">
        <v>327</v>
      </c>
      <c r="C81" s="555" t="s">
        <v>377</v>
      </c>
      <c r="D81" s="555" t="s">
        <v>427</v>
      </c>
      <c r="E81" s="585">
        <v>27.3</v>
      </c>
      <c r="F81" s="585">
        <v>335.1</v>
      </c>
      <c r="G81" s="521"/>
    </row>
    <row r="82" spans="1:7" ht="34.5" customHeight="1" x14ac:dyDescent="0.2">
      <c r="A82" s="539">
        <v>6</v>
      </c>
      <c r="B82" s="557" t="s">
        <v>426</v>
      </c>
      <c r="C82" s="555" t="s">
        <v>377</v>
      </c>
      <c r="D82" s="555" t="s">
        <v>427</v>
      </c>
      <c r="E82" s="520">
        <v>39.4</v>
      </c>
      <c r="F82" s="520">
        <v>151</v>
      </c>
      <c r="G82" s="521"/>
    </row>
    <row r="83" spans="1:7" ht="21.75" customHeight="1" x14ac:dyDescent="0.2">
      <c r="A83" s="684" t="s">
        <v>17</v>
      </c>
      <c r="B83" s="684"/>
      <c r="C83" s="684"/>
      <c r="D83" s="684"/>
      <c r="E83" s="549">
        <f>SUM(E77:E82)</f>
        <v>1072.4000000000001</v>
      </c>
      <c r="F83" s="549">
        <f>SUM(F77:F82)</f>
        <v>687.7</v>
      </c>
      <c r="G83" s="549">
        <f>SUM(G77:G82)</f>
        <v>2048.3000000000002</v>
      </c>
    </row>
    <row r="84" spans="1:7" ht="20.25" customHeight="1" x14ac:dyDescent="0.2">
      <c r="A84" s="679" t="s">
        <v>398</v>
      </c>
      <c r="B84" s="680"/>
      <c r="C84" s="680"/>
      <c r="D84" s="680"/>
      <c r="E84" s="563"/>
      <c r="F84" s="563"/>
      <c r="G84" s="566"/>
    </row>
    <row r="85" spans="1:7" ht="28.5" customHeight="1" x14ac:dyDescent="0.2">
      <c r="A85" s="546">
        <v>1</v>
      </c>
      <c r="B85" s="523" t="s">
        <v>89</v>
      </c>
      <c r="C85" s="633" t="s">
        <v>377</v>
      </c>
      <c r="D85" s="554" t="s">
        <v>440</v>
      </c>
      <c r="E85" s="522">
        <v>579.70000000000005</v>
      </c>
      <c r="F85" s="522">
        <v>48.8</v>
      </c>
      <c r="G85" s="522"/>
    </row>
    <row r="86" spans="1:7" ht="27.75" customHeight="1" x14ac:dyDescent="0.2">
      <c r="A86" s="539">
        <v>2</v>
      </c>
      <c r="B86" s="524" t="s">
        <v>84</v>
      </c>
      <c r="C86" s="625" t="s">
        <v>377</v>
      </c>
      <c r="D86" s="554" t="s">
        <v>440</v>
      </c>
      <c r="E86" s="520">
        <v>471.7</v>
      </c>
      <c r="F86" s="520"/>
      <c r="G86" s="520"/>
    </row>
    <row r="87" spans="1:7" ht="34.5" customHeight="1" x14ac:dyDescent="0.2">
      <c r="A87" s="539">
        <v>3</v>
      </c>
      <c r="B87" s="524" t="s">
        <v>441</v>
      </c>
      <c r="C87" s="625" t="s">
        <v>377</v>
      </c>
      <c r="D87" s="554" t="s">
        <v>440</v>
      </c>
      <c r="E87" s="520">
        <v>73.8</v>
      </c>
      <c r="F87" s="520"/>
      <c r="G87" s="520"/>
    </row>
    <row r="88" spans="1:7" ht="46.5" customHeight="1" x14ac:dyDescent="0.2">
      <c r="A88" s="539">
        <v>4</v>
      </c>
      <c r="B88" s="524" t="s">
        <v>544</v>
      </c>
      <c r="C88" s="625" t="s">
        <v>377</v>
      </c>
      <c r="D88" s="554" t="s">
        <v>440</v>
      </c>
      <c r="E88" s="520">
        <v>155</v>
      </c>
      <c r="F88" s="520">
        <v>2443.3000000000002</v>
      </c>
      <c r="G88" s="520">
        <v>1340</v>
      </c>
    </row>
    <row r="89" spans="1:7" ht="29.25" customHeight="1" x14ac:dyDescent="0.2">
      <c r="A89" s="539">
        <v>5</v>
      </c>
      <c r="B89" s="524" t="s">
        <v>149</v>
      </c>
      <c r="C89" s="625" t="s">
        <v>377</v>
      </c>
      <c r="D89" s="554" t="s">
        <v>440</v>
      </c>
      <c r="E89" s="516">
        <f>81.1-9.8</f>
        <v>71.3</v>
      </c>
      <c r="F89" s="585">
        <f>1600</f>
        <v>1600</v>
      </c>
      <c r="G89" s="512">
        <f>865.8-225.2</f>
        <v>640.59999999999991</v>
      </c>
    </row>
    <row r="90" spans="1:7" ht="21.75" customHeight="1" x14ac:dyDescent="0.2">
      <c r="A90" s="676" t="s">
        <v>17</v>
      </c>
      <c r="B90" s="677"/>
      <c r="C90" s="677"/>
      <c r="D90" s="678"/>
      <c r="E90" s="549">
        <f>SUM(E85:E89)</f>
        <v>1351.5</v>
      </c>
      <c r="F90" s="549">
        <f>SUM(F85:F89)</f>
        <v>4092.1000000000004</v>
      </c>
      <c r="G90" s="549">
        <f>SUM(G85:G89)</f>
        <v>1980.6</v>
      </c>
    </row>
    <row r="91" spans="1:7" ht="17.25" customHeight="1" x14ac:dyDescent="0.2">
      <c r="A91" s="698" t="s">
        <v>387</v>
      </c>
      <c r="B91" s="699"/>
      <c r="C91" s="699"/>
      <c r="D91" s="699"/>
      <c r="E91" s="699"/>
      <c r="F91" s="699"/>
      <c r="G91" s="700"/>
    </row>
    <row r="92" spans="1:7" ht="17.25" customHeight="1" x14ac:dyDescent="0.2">
      <c r="A92" s="679" t="s">
        <v>448</v>
      </c>
      <c r="B92" s="680"/>
      <c r="C92" s="680"/>
      <c r="D92" s="680"/>
      <c r="E92" s="571"/>
      <c r="F92" s="571"/>
      <c r="G92" s="572"/>
    </row>
    <row r="93" spans="1:7" ht="46.5" customHeight="1" x14ac:dyDescent="0.2">
      <c r="A93" s="539">
        <v>1</v>
      </c>
      <c r="B93" s="606" t="s">
        <v>449</v>
      </c>
      <c r="C93" s="625" t="s">
        <v>377</v>
      </c>
      <c r="D93" s="606" t="s">
        <v>408</v>
      </c>
      <c r="E93" s="592">
        <v>250</v>
      </c>
      <c r="F93" s="592">
        <v>700</v>
      </c>
      <c r="G93" s="592">
        <v>700</v>
      </c>
    </row>
    <row r="94" spans="1:7" ht="17.25" customHeight="1" x14ac:dyDescent="0.2">
      <c r="A94" s="676" t="s">
        <v>17</v>
      </c>
      <c r="B94" s="677"/>
      <c r="C94" s="677"/>
      <c r="D94" s="678"/>
      <c r="E94" s="549">
        <f>E93</f>
        <v>250</v>
      </c>
      <c r="F94" s="549">
        <f>F93</f>
        <v>700</v>
      </c>
      <c r="G94" s="549">
        <f>G93</f>
        <v>700</v>
      </c>
    </row>
    <row r="95" spans="1:7" ht="17.25" customHeight="1" x14ac:dyDescent="0.2">
      <c r="A95" s="679" t="s">
        <v>399</v>
      </c>
      <c r="B95" s="680"/>
      <c r="C95" s="680"/>
      <c r="D95" s="680"/>
      <c r="E95" s="571"/>
      <c r="F95" s="571"/>
      <c r="G95" s="572"/>
    </row>
    <row r="96" spans="1:7" ht="18.75" customHeight="1" x14ac:dyDescent="0.2">
      <c r="A96" s="539">
        <v>1</v>
      </c>
      <c r="B96" s="524" t="s">
        <v>110</v>
      </c>
      <c r="C96" s="555" t="s">
        <v>377</v>
      </c>
      <c r="D96" s="547" t="s">
        <v>383</v>
      </c>
      <c r="E96" s="520"/>
      <c r="F96" s="520">
        <v>30.6</v>
      </c>
      <c r="G96" s="520">
        <v>100</v>
      </c>
    </row>
    <row r="97" spans="1:7" ht="20.25" customHeight="1" x14ac:dyDescent="0.2">
      <c r="A97" s="539">
        <v>2</v>
      </c>
      <c r="B97" s="524" t="s">
        <v>272</v>
      </c>
      <c r="C97" s="627" t="s">
        <v>377</v>
      </c>
      <c r="D97" s="547" t="s">
        <v>383</v>
      </c>
      <c r="E97" s="525"/>
      <c r="F97" s="520">
        <v>62</v>
      </c>
      <c r="G97" s="520">
        <v>380</v>
      </c>
    </row>
    <row r="98" spans="1:7" ht="19.5" customHeight="1" x14ac:dyDescent="0.2">
      <c r="A98" s="539">
        <v>3</v>
      </c>
      <c r="B98" s="524" t="s">
        <v>384</v>
      </c>
      <c r="C98" s="555" t="s">
        <v>377</v>
      </c>
      <c r="D98" s="547" t="s">
        <v>383</v>
      </c>
      <c r="E98" s="520">
        <v>5</v>
      </c>
      <c r="F98" s="520">
        <v>45</v>
      </c>
      <c r="G98" s="520"/>
    </row>
    <row r="99" spans="1:7" ht="27" customHeight="1" x14ac:dyDescent="0.2">
      <c r="A99" s="539">
        <v>4</v>
      </c>
      <c r="B99" s="524" t="s">
        <v>385</v>
      </c>
      <c r="C99" s="555" t="s">
        <v>377</v>
      </c>
      <c r="D99" s="547" t="s">
        <v>383</v>
      </c>
      <c r="E99" s="520"/>
      <c r="F99" s="520">
        <v>25</v>
      </c>
      <c r="G99" s="520">
        <v>50</v>
      </c>
    </row>
    <row r="100" spans="1:7" ht="29.25" customHeight="1" x14ac:dyDescent="0.2">
      <c r="A100" s="539">
        <v>5</v>
      </c>
      <c r="B100" s="483" t="s">
        <v>528</v>
      </c>
      <c r="C100" s="631" t="s">
        <v>428</v>
      </c>
      <c r="D100" s="485"/>
      <c r="E100" s="607"/>
      <c r="F100" s="586"/>
      <c r="G100" s="586"/>
    </row>
    <row r="101" spans="1:7" ht="19.5" customHeight="1" x14ac:dyDescent="0.2">
      <c r="A101" s="548">
        <v>6</v>
      </c>
      <c r="B101" s="507" t="s">
        <v>531</v>
      </c>
      <c r="C101" s="631" t="s">
        <v>428</v>
      </c>
      <c r="D101" s="608"/>
      <c r="E101" s="609"/>
      <c r="F101" s="609"/>
      <c r="G101" s="609"/>
    </row>
    <row r="102" spans="1:7" ht="21.75" customHeight="1" x14ac:dyDescent="0.2">
      <c r="A102" s="548">
        <v>7</v>
      </c>
      <c r="B102" s="486" t="s">
        <v>429</v>
      </c>
      <c r="C102" s="631" t="s">
        <v>428</v>
      </c>
      <c r="D102" s="608"/>
      <c r="E102" s="610"/>
      <c r="F102" s="611"/>
      <c r="G102" s="612"/>
    </row>
    <row r="103" spans="1:7" ht="45" customHeight="1" x14ac:dyDescent="0.2">
      <c r="A103" s="548">
        <v>8</v>
      </c>
      <c r="B103" s="486" t="s">
        <v>529</v>
      </c>
      <c r="C103" s="631" t="s">
        <v>428</v>
      </c>
      <c r="D103" s="608"/>
      <c r="E103" s="610"/>
      <c r="F103" s="610"/>
      <c r="G103" s="612"/>
    </row>
    <row r="104" spans="1:7" ht="21" customHeight="1" x14ac:dyDescent="0.2">
      <c r="A104" s="548">
        <v>9</v>
      </c>
      <c r="B104" s="575" t="s">
        <v>430</v>
      </c>
      <c r="C104" s="632" t="s">
        <v>428</v>
      </c>
      <c r="D104" s="608"/>
      <c r="E104" s="611"/>
      <c r="F104" s="611"/>
      <c r="G104" s="612"/>
    </row>
    <row r="105" spans="1:7" ht="24" customHeight="1" x14ac:dyDescent="0.2">
      <c r="A105" s="548">
        <v>10</v>
      </c>
      <c r="B105" s="575" t="s">
        <v>530</v>
      </c>
      <c r="C105" s="631" t="s">
        <v>428</v>
      </c>
      <c r="D105" s="608"/>
      <c r="E105" s="611"/>
      <c r="F105" s="611"/>
      <c r="G105" s="612"/>
    </row>
    <row r="106" spans="1:7" ht="21" customHeight="1" x14ac:dyDescent="0.2">
      <c r="A106" s="548">
        <v>11</v>
      </c>
      <c r="B106" s="508" t="s">
        <v>431</v>
      </c>
      <c r="C106" s="631" t="s">
        <v>428</v>
      </c>
      <c r="D106" s="608"/>
      <c r="E106" s="609"/>
      <c r="F106" s="613"/>
      <c r="G106" s="612"/>
    </row>
    <row r="107" spans="1:7" ht="14.25" customHeight="1" x14ac:dyDescent="0.2">
      <c r="A107" s="676" t="s">
        <v>17</v>
      </c>
      <c r="B107" s="677"/>
      <c r="C107" s="677"/>
      <c r="D107" s="678"/>
      <c r="E107" s="603">
        <f>SUM(E96:E106)+1252.1</f>
        <v>1257.0999999999999</v>
      </c>
      <c r="F107" s="603">
        <f>SUM(F96:F106)+420</f>
        <v>582.6</v>
      </c>
      <c r="G107" s="603">
        <f>SUM(G96:G106)+200</f>
        <v>730</v>
      </c>
    </row>
    <row r="108" spans="1:7" ht="17.25" customHeight="1" x14ac:dyDescent="0.2">
      <c r="A108" s="679" t="s">
        <v>400</v>
      </c>
      <c r="B108" s="680"/>
      <c r="C108" s="680"/>
      <c r="D108" s="680"/>
      <c r="E108" s="571"/>
      <c r="F108" s="571"/>
      <c r="G108" s="572"/>
    </row>
    <row r="109" spans="1:7" ht="30" customHeight="1" x14ac:dyDescent="0.2">
      <c r="A109" s="548">
        <v>1</v>
      </c>
      <c r="B109" s="536" t="s">
        <v>313</v>
      </c>
      <c r="C109" s="629" t="s">
        <v>377</v>
      </c>
      <c r="D109" s="629" t="s">
        <v>386</v>
      </c>
      <c r="E109" s="593">
        <v>17193.3</v>
      </c>
      <c r="F109" s="593">
        <v>14878.9</v>
      </c>
      <c r="G109" s="593">
        <v>2721.5</v>
      </c>
    </row>
    <row r="110" spans="1:7" ht="29.25" customHeight="1" x14ac:dyDescent="0.2">
      <c r="A110" s="548">
        <v>2</v>
      </c>
      <c r="B110" s="536" t="s">
        <v>80</v>
      </c>
      <c r="C110" s="629" t="s">
        <v>377</v>
      </c>
      <c r="D110" s="629" t="s">
        <v>386</v>
      </c>
      <c r="E110" s="594">
        <v>601.5</v>
      </c>
      <c r="F110" s="594"/>
      <c r="G110" s="594"/>
    </row>
    <row r="111" spans="1:7" ht="29.25" customHeight="1" x14ac:dyDescent="0.2">
      <c r="A111" s="539">
        <v>3</v>
      </c>
      <c r="B111" s="557" t="s">
        <v>391</v>
      </c>
      <c r="C111" s="627" t="s">
        <v>377</v>
      </c>
      <c r="D111" s="629" t="s">
        <v>386</v>
      </c>
      <c r="E111" s="592">
        <v>563.20000000000005</v>
      </c>
      <c r="F111" s="592">
        <v>1905.1</v>
      </c>
      <c r="G111" s="592">
        <v>947.9</v>
      </c>
    </row>
    <row r="112" spans="1:7" ht="33" customHeight="1" x14ac:dyDescent="0.2">
      <c r="A112" s="541">
        <v>4</v>
      </c>
      <c r="B112" s="529" t="s">
        <v>288</v>
      </c>
      <c r="C112" s="523" t="s">
        <v>377</v>
      </c>
      <c r="D112" s="629" t="s">
        <v>386</v>
      </c>
      <c r="E112" s="595">
        <v>491</v>
      </c>
      <c r="F112" s="595">
        <v>532</v>
      </c>
      <c r="G112" s="595">
        <v>341</v>
      </c>
    </row>
    <row r="113" spans="1:7" ht="30" customHeight="1" x14ac:dyDescent="0.2">
      <c r="A113" s="548">
        <v>5</v>
      </c>
      <c r="B113" s="532" t="s">
        <v>28</v>
      </c>
      <c r="C113" s="627" t="s">
        <v>377</v>
      </c>
      <c r="D113" s="629" t="s">
        <v>386</v>
      </c>
      <c r="E113" s="592">
        <v>1672.6</v>
      </c>
      <c r="F113" s="592"/>
      <c r="G113" s="592"/>
    </row>
    <row r="114" spans="1:7" ht="32.25" customHeight="1" x14ac:dyDescent="0.2">
      <c r="A114" s="539">
        <v>6</v>
      </c>
      <c r="B114" s="532" t="s">
        <v>96</v>
      </c>
      <c r="C114" s="627" t="s">
        <v>377</v>
      </c>
      <c r="D114" s="629" t="s">
        <v>386</v>
      </c>
      <c r="E114" s="596">
        <v>1180</v>
      </c>
      <c r="F114" s="592">
        <v>1400</v>
      </c>
      <c r="G114" s="592">
        <v>2051.3000000000002</v>
      </c>
    </row>
    <row r="115" spans="1:7" ht="32.25" customHeight="1" x14ac:dyDescent="0.2">
      <c r="A115" s="548">
        <v>7</v>
      </c>
      <c r="B115" s="537" t="s">
        <v>335</v>
      </c>
      <c r="C115" s="630" t="s">
        <v>377</v>
      </c>
      <c r="D115" s="629" t="s">
        <v>386</v>
      </c>
      <c r="E115" s="595">
        <v>167.5</v>
      </c>
      <c r="F115" s="595"/>
      <c r="G115" s="595"/>
    </row>
    <row r="116" spans="1:7" ht="35.25" customHeight="1" x14ac:dyDescent="0.2">
      <c r="A116" s="539">
        <v>8</v>
      </c>
      <c r="B116" s="532" t="s">
        <v>375</v>
      </c>
      <c r="C116" s="627" t="s">
        <v>377</v>
      </c>
      <c r="D116" s="629" t="s">
        <v>386</v>
      </c>
      <c r="E116" s="592">
        <v>30</v>
      </c>
      <c r="F116" s="592">
        <v>50</v>
      </c>
      <c r="G116" s="592">
        <v>103.2</v>
      </c>
    </row>
    <row r="117" spans="1:7" ht="30" customHeight="1" x14ac:dyDescent="0.2">
      <c r="A117" s="539">
        <v>9</v>
      </c>
      <c r="B117" s="532" t="s">
        <v>299</v>
      </c>
      <c r="C117" s="524" t="s">
        <v>377</v>
      </c>
      <c r="D117" s="629" t="s">
        <v>386</v>
      </c>
      <c r="E117" s="597">
        <v>350</v>
      </c>
      <c r="F117" s="597">
        <v>400</v>
      </c>
      <c r="G117" s="597">
        <v>400</v>
      </c>
    </row>
    <row r="118" spans="1:7" ht="55.5" customHeight="1" x14ac:dyDescent="0.2">
      <c r="A118" s="548">
        <v>10</v>
      </c>
      <c r="B118" s="532" t="s">
        <v>741</v>
      </c>
      <c r="C118" s="524" t="s">
        <v>377</v>
      </c>
      <c r="D118" s="629" t="s">
        <v>386</v>
      </c>
      <c r="E118" s="597">
        <v>583.79999999999995</v>
      </c>
      <c r="F118" s="597">
        <v>274</v>
      </c>
      <c r="G118" s="597">
        <v>300.10000000000002</v>
      </c>
    </row>
    <row r="119" spans="1:7" ht="29.25" customHeight="1" x14ac:dyDescent="0.2">
      <c r="A119" s="539">
        <v>11</v>
      </c>
      <c r="B119" s="532" t="s">
        <v>324</v>
      </c>
      <c r="C119" s="627" t="s">
        <v>377</v>
      </c>
      <c r="D119" s="629" t="s">
        <v>386</v>
      </c>
      <c r="E119" s="597"/>
      <c r="F119" s="597"/>
      <c r="G119" s="597">
        <v>50</v>
      </c>
    </row>
    <row r="120" spans="1:7" ht="31.5" customHeight="1" x14ac:dyDescent="0.2">
      <c r="A120" s="548">
        <v>12</v>
      </c>
      <c r="B120" s="538" t="s">
        <v>39</v>
      </c>
      <c r="C120" s="555" t="s">
        <v>377</v>
      </c>
      <c r="D120" s="629" t="s">
        <v>386</v>
      </c>
      <c r="E120" s="597">
        <v>26</v>
      </c>
      <c r="F120" s="597"/>
      <c r="G120" s="597"/>
    </row>
    <row r="121" spans="1:7" ht="30.75" customHeight="1" x14ac:dyDescent="0.2">
      <c r="A121" s="548">
        <v>13</v>
      </c>
      <c r="B121" s="537" t="s">
        <v>152</v>
      </c>
      <c r="C121" s="630" t="s">
        <v>377</v>
      </c>
      <c r="D121" s="629" t="s">
        <v>386</v>
      </c>
      <c r="E121" s="595">
        <v>13.3</v>
      </c>
      <c r="F121" s="595">
        <v>63.5</v>
      </c>
      <c r="G121" s="595">
        <v>63.4</v>
      </c>
    </row>
    <row r="122" spans="1:7" ht="30.75" customHeight="1" x14ac:dyDescent="0.2">
      <c r="A122" s="548">
        <v>14</v>
      </c>
      <c r="B122" s="537" t="s">
        <v>432</v>
      </c>
      <c r="C122" s="630" t="s">
        <v>377</v>
      </c>
      <c r="D122" s="629" t="s">
        <v>386</v>
      </c>
      <c r="E122" s="595">
        <v>4.9000000000000004</v>
      </c>
      <c r="F122" s="595"/>
      <c r="G122" s="595"/>
    </row>
    <row r="123" spans="1:7" ht="33" customHeight="1" x14ac:dyDescent="0.2">
      <c r="A123" s="548">
        <v>15</v>
      </c>
      <c r="B123" s="537" t="s">
        <v>433</v>
      </c>
      <c r="C123" s="630" t="s">
        <v>377</v>
      </c>
      <c r="D123" s="629" t="s">
        <v>386</v>
      </c>
      <c r="E123" s="595"/>
      <c r="F123" s="595">
        <v>125</v>
      </c>
      <c r="G123" s="595"/>
    </row>
    <row r="124" spans="1:7" ht="28.5" customHeight="1" x14ac:dyDescent="0.2">
      <c r="A124" s="539">
        <v>16</v>
      </c>
      <c r="B124" s="532" t="s">
        <v>317</v>
      </c>
      <c r="C124" s="627" t="s">
        <v>377</v>
      </c>
      <c r="D124" s="629" t="s">
        <v>386</v>
      </c>
      <c r="E124" s="597">
        <v>22.1</v>
      </c>
      <c r="F124" s="597"/>
      <c r="G124" s="597"/>
    </row>
    <row r="125" spans="1:7" s="265" customFormat="1" ht="32.25" customHeight="1" x14ac:dyDescent="0.2">
      <c r="A125" s="542">
        <v>17</v>
      </c>
      <c r="B125" s="544" t="s">
        <v>444</v>
      </c>
      <c r="C125" s="553" t="s">
        <v>377</v>
      </c>
      <c r="D125" s="695" t="s">
        <v>386</v>
      </c>
      <c r="E125" s="593"/>
      <c r="F125" s="593">
        <v>96.8</v>
      </c>
      <c r="G125" s="593">
        <v>151.30000000000001</v>
      </c>
    </row>
    <row r="126" spans="1:7" ht="19.5" customHeight="1" x14ac:dyDescent="0.2">
      <c r="A126" s="542"/>
      <c r="B126" s="544" t="s">
        <v>332</v>
      </c>
      <c r="C126" s="553"/>
      <c r="D126" s="696"/>
      <c r="E126" s="588"/>
      <c r="F126" s="588"/>
      <c r="G126" s="588"/>
    </row>
    <row r="127" spans="1:7" ht="18.75" customHeight="1" x14ac:dyDescent="0.2">
      <c r="A127" s="550"/>
      <c r="B127" s="545" t="s">
        <v>333</v>
      </c>
      <c r="C127" s="630"/>
      <c r="D127" s="697"/>
      <c r="E127" s="589"/>
      <c r="F127" s="589"/>
      <c r="G127" s="589"/>
    </row>
    <row r="128" spans="1:7" ht="30" customHeight="1" x14ac:dyDescent="0.2">
      <c r="A128" s="543">
        <v>20</v>
      </c>
      <c r="B128" s="532" t="s">
        <v>308</v>
      </c>
      <c r="C128" s="627" t="s">
        <v>377</v>
      </c>
      <c r="D128" s="629" t="s">
        <v>386</v>
      </c>
      <c r="E128" s="587"/>
      <c r="F128" s="587"/>
      <c r="G128" s="597">
        <v>100</v>
      </c>
    </row>
    <row r="129" spans="1:7" ht="29.25" customHeight="1" x14ac:dyDescent="0.2">
      <c r="A129" s="543">
        <v>21</v>
      </c>
      <c r="B129" s="532" t="s">
        <v>434</v>
      </c>
      <c r="C129" s="627" t="s">
        <v>377</v>
      </c>
      <c r="D129" s="629" t="s">
        <v>386</v>
      </c>
      <c r="E129" s="597"/>
      <c r="F129" s="597">
        <v>200</v>
      </c>
      <c r="G129" s="597">
        <v>500</v>
      </c>
    </row>
    <row r="130" spans="1:7" ht="33" customHeight="1" x14ac:dyDescent="0.2">
      <c r="A130" s="543">
        <v>22</v>
      </c>
      <c r="B130" s="532" t="s">
        <v>435</v>
      </c>
      <c r="C130" s="627" t="s">
        <v>377</v>
      </c>
      <c r="D130" s="629" t="s">
        <v>386</v>
      </c>
      <c r="E130" s="597"/>
      <c r="F130" s="597">
        <v>30</v>
      </c>
      <c r="G130" s="597">
        <v>50</v>
      </c>
    </row>
    <row r="131" spans="1:7" ht="34.5" customHeight="1" x14ac:dyDescent="0.2">
      <c r="A131" s="543">
        <v>23</v>
      </c>
      <c r="B131" s="532" t="s">
        <v>436</v>
      </c>
      <c r="C131" s="627" t="s">
        <v>377</v>
      </c>
      <c r="D131" s="629" t="s">
        <v>386</v>
      </c>
      <c r="E131" s="525">
        <v>5</v>
      </c>
      <c r="F131" s="525">
        <v>37.799999999999997</v>
      </c>
      <c r="G131" s="525">
        <v>357.2</v>
      </c>
    </row>
    <row r="132" spans="1:7" ht="34.5" customHeight="1" x14ac:dyDescent="0.2">
      <c r="A132" s="543">
        <v>24</v>
      </c>
      <c r="B132" s="532" t="s">
        <v>438</v>
      </c>
      <c r="C132" s="627" t="s">
        <v>377</v>
      </c>
      <c r="D132" s="629" t="s">
        <v>386</v>
      </c>
      <c r="E132" s="525">
        <v>5</v>
      </c>
      <c r="F132" s="525">
        <v>35</v>
      </c>
      <c r="G132" s="525"/>
    </row>
    <row r="133" spans="1:7" s="519" customFormat="1" ht="34.5" customHeight="1" x14ac:dyDescent="0.2">
      <c r="A133" s="506">
        <v>23</v>
      </c>
      <c r="B133" s="532" t="s">
        <v>534</v>
      </c>
      <c r="C133" s="627" t="s">
        <v>377</v>
      </c>
      <c r="D133" s="627" t="s">
        <v>386</v>
      </c>
      <c r="E133" s="525">
        <v>26.5</v>
      </c>
      <c r="F133" s="525"/>
      <c r="G133" s="525"/>
    </row>
    <row r="134" spans="1:7" ht="29.25" customHeight="1" x14ac:dyDescent="0.2">
      <c r="A134" s="543">
        <v>25</v>
      </c>
      <c r="B134" s="532" t="s">
        <v>153</v>
      </c>
      <c r="C134" s="627" t="s">
        <v>377</v>
      </c>
      <c r="D134" s="629" t="s">
        <v>386</v>
      </c>
      <c r="E134" s="597">
        <v>23.7</v>
      </c>
      <c r="F134" s="597">
        <v>50.4</v>
      </c>
      <c r="G134" s="597">
        <v>50.4</v>
      </c>
    </row>
    <row r="135" spans="1:7" ht="27.75" customHeight="1" x14ac:dyDescent="0.2">
      <c r="A135" s="543">
        <v>26</v>
      </c>
      <c r="B135" s="532" t="s">
        <v>122</v>
      </c>
      <c r="C135" s="627" t="s">
        <v>377</v>
      </c>
      <c r="D135" s="629" t="s">
        <v>386</v>
      </c>
      <c r="E135" s="597">
        <v>45</v>
      </c>
      <c r="F135" s="597">
        <v>45</v>
      </c>
      <c r="G135" s="597">
        <v>45</v>
      </c>
    </row>
    <row r="136" spans="1:7" s="292" customFormat="1" ht="33" customHeight="1" x14ac:dyDescent="0.25">
      <c r="A136" s="546">
        <v>27</v>
      </c>
      <c r="B136" s="537" t="s">
        <v>600</v>
      </c>
      <c r="C136" s="630" t="s">
        <v>377</v>
      </c>
      <c r="D136" s="629" t="s">
        <v>386</v>
      </c>
      <c r="E136" s="598">
        <v>1613.1</v>
      </c>
      <c r="F136" s="598">
        <v>2663.1</v>
      </c>
      <c r="G136" s="598"/>
    </row>
    <row r="137" spans="1:7" s="292" customFormat="1" ht="33" customHeight="1" x14ac:dyDescent="0.25">
      <c r="A137" s="539">
        <v>28</v>
      </c>
      <c r="B137" s="532" t="s">
        <v>602</v>
      </c>
      <c r="C137" s="627" t="s">
        <v>377</v>
      </c>
      <c r="D137" s="627" t="s">
        <v>386</v>
      </c>
      <c r="E137" s="597">
        <v>5</v>
      </c>
      <c r="F137" s="597">
        <v>20</v>
      </c>
      <c r="G137" s="597"/>
    </row>
    <row r="138" spans="1:7" s="292" customFormat="1" ht="31.5" customHeight="1" x14ac:dyDescent="0.25">
      <c r="A138" s="540">
        <v>29</v>
      </c>
      <c r="B138" s="552" t="s">
        <v>437</v>
      </c>
      <c r="C138" s="553" t="s">
        <v>377</v>
      </c>
      <c r="D138" s="553" t="s">
        <v>386</v>
      </c>
      <c r="E138" s="601">
        <v>60</v>
      </c>
      <c r="F138" s="602">
        <v>300</v>
      </c>
      <c r="G138" s="602"/>
    </row>
    <row r="139" spans="1:7" s="292" customFormat="1" ht="31.5" customHeight="1" x14ac:dyDescent="0.25">
      <c r="A139" s="539">
        <v>29</v>
      </c>
      <c r="B139" s="532" t="s">
        <v>536</v>
      </c>
      <c r="C139" s="650" t="s">
        <v>377</v>
      </c>
      <c r="D139" s="650" t="s">
        <v>386</v>
      </c>
      <c r="E139" s="597"/>
      <c r="F139" s="597"/>
      <c r="G139" s="597"/>
    </row>
    <row r="140" spans="1:7" s="292" customFormat="1" ht="31.5" customHeight="1" x14ac:dyDescent="0.25">
      <c r="A140" s="539">
        <v>30</v>
      </c>
      <c r="B140" s="532" t="s">
        <v>740</v>
      </c>
      <c r="C140" s="650" t="s">
        <v>377</v>
      </c>
      <c r="D140" s="650" t="s">
        <v>386</v>
      </c>
      <c r="E140" s="597"/>
      <c r="F140" s="597">
        <v>10000</v>
      </c>
      <c r="G140" s="597">
        <v>12000</v>
      </c>
    </row>
    <row r="141" spans="1:7" s="292" customFormat="1" ht="18" customHeight="1" x14ac:dyDescent="0.25">
      <c r="A141" s="676" t="s">
        <v>17</v>
      </c>
      <c r="B141" s="677"/>
      <c r="C141" s="677"/>
      <c r="D141" s="678"/>
      <c r="E141" s="603">
        <f>SUM(E109:E138)</f>
        <v>24682.499999999996</v>
      </c>
      <c r="F141" s="603">
        <f>SUM(F109:F140)</f>
        <v>33106.6</v>
      </c>
      <c r="G141" s="603">
        <f>SUM(G109:G140)</f>
        <v>20232.3</v>
      </c>
    </row>
    <row r="142" spans="1:7" s="292" customFormat="1" ht="15.75" customHeight="1" x14ac:dyDescent="0.25">
      <c r="A142" s="679" t="s">
        <v>416</v>
      </c>
      <c r="B142" s="680"/>
      <c r="C142" s="680"/>
      <c r="D142" s="680"/>
      <c r="E142" s="590"/>
      <c r="F142" s="614"/>
      <c r="G142" s="591"/>
    </row>
    <row r="143" spans="1:7" s="292" customFormat="1" ht="30.75" customHeight="1" x14ac:dyDescent="0.25">
      <c r="A143" s="540">
        <v>1</v>
      </c>
      <c r="B143" s="553" t="s">
        <v>143</v>
      </c>
      <c r="C143" s="630" t="s">
        <v>377</v>
      </c>
      <c r="D143" s="553" t="s">
        <v>386</v>
      </c>
      <c r="E143" s="595">
        <v>170</v>
      </c>
      <c r="F143" s="598">
        <v>170</v>
      </c>
      <c r="G143" s="598">
        <v>170</v>
      </c>
    </row>
    <row r="144" spans="1:7" ht="22.5" customHeight="1" x14ac:dyDescent="0.2">
      <c r="A144" s="539">
        <v>2</v>
      </c>
      <c r="B144" s="557" t="s">
        <v>373</v>
      </c>
      <c r="C144" s="555" t="s">
        <v>377</v>
      </c>
      <c r="D144" s="555" t="s">
        <v>383</v>
      </c>
      <c r="E144" s="592">
        <v>120</v>
      </c>
      <c r="F144" s="592">
        <v>200</v>
      </c>
      <c r="G144" s="592"/>
    </row>
    <row r="145" spans="1:7" ht="19.5" customHeight="1" x14ac:dyDescent="0.2">
      <c r="A145" s="573">
        <v>3</v>
      </c>
      <c r="B145" s="574" t="s">
        <v>537</v>
      </c>
      <c r="C145" s="556" t="s">
        <v>407</v>
      </c>
      <c r="D145" s="568"/>
      <c r="E145" s="599"/>
      <c r="F145" s="599"/>
      <c r="G145" s="599"/>
    </row>
    <row r="146" spans="1:7" ht="24" customHeight="1" x14ac:dyDescent="0.2">
      <c r="A146" s="573">
        <v>4</v>
      </c>
      <c r="B146" s="574" t="s">
        <v>538</v>
      </c>
      <c r="C146" s="556" t="s">
        <v>407</v>
      </c>
      <c r="D146" s="568"/>
      <c r="E146" s="599"/>
      <c r="F146" s="599"/>
      <c r="G146" s="599"/>
    </row>
    <row r="147" spans="1:7" ht="23.25" customHeight="1" x14ac:dyDescent="0.2">
      <c r="A147" s="573">
        <v>5</v>
      </c>
      <c r="B147" s="574" t="s">
        <v>401</v>
      </c>
      <c r="C147" s="556" t="s">
        <v>407</v>
      </c>
      <c r="D147" s="568"/>
      <c r="E147" s="599"/>
      <c r="F147" s="599"/>
      <c r="G147" s="599"/>
    </row>
    <row r="148" spans="1:7" ht="25.5" customHeight="1" x14ac:dyDescent="0.2">
      <c r="A148" s="573">
        <v>6</v>
      </c>
      <c r="B148" s="575" t="s">
        <v>539</v>
      </c>
      <c r="C148" s="556" t="s">
        <v>407</v>
      </c>
      <c r="D148" s="568"/>
      <c r="E148" s="582"/>
      <c r="F148" s="583"/>
      <c r="G148" s="583"/>
    </row>
    <row r="149" spans="1:7" ht="28.5" customHeight="1" x14ac:dyDescent="0.2">
      <c r="A149" s="573">
        <v>7</v>
      </c>
      <c r="B149" s="575" t="s">
        <v>540</v>
      </c>
      <c r="C149" s="556" t="s">
        <v>407</v>
      </c>
      <c r="D149" s="568"/>
      <c r="E149" s="582"/>
      <c r="F149" s="583"/>
      <c r="G149" s="583"/>
    </row>
    <row r="150" spans="1:7" ht="19.5" customHeight="1" x14ac:dyDescent="0.2">
      <c r="A150" s="573">
        <v>8</v>
      </c>
      <c r="B150" s="575" t="s">
        <v>402</v>
      </c>
      <c r="C150" s="556" t="s">
        <v>407</v>
      </c>
      <c r="D150" s="568"/>
      <c r="E150" s="582"/>
      <c r="F150" s="583"/>
      <c r="G150" s="583"/>
    </row>
    <row r="151" spans="1:7" ht="21" customHeight="1" x14ac:dyDescent="0.2">
      <c r="A151" s="573">
        <v>9</v>
      </c>
      <c r="B151" s="575" t="s">
        <v>541</v>
      </c>
      <c r="C151" s="556" t="s">
        <v>407</v>
      </c>
      <c r="D151" s="568"/>
      <c r="E151" s="583"/>
      <c r="F151" s="583"/>
      <c r="G151" s="583"/>
    </row>
    <row r="152" spans="1:7" ht="29.25" customHeight="1" x14ac:dyDescent="0.2">
      <c r="A152" s="573">
        <v>10</v>
      </c>
      <c r="B152" s="575" t="s">
        <v>403</v>
      </c>
      <c r="C152" s="556" t="s">
        <v>407</v>
      </c>
      <c r="D152" s="568"/>
      <c r="E152" s="583"/>
      <c r="F152" s="583"/>
      <c r="G152" s="583"/>
    </row>
    <row r="153" spans="1:7" ht="26.25" customHeight="1" x14ac:dyDescent="0.2">
      <c r="A153" s="573">
        <v>11</v>
      </c>
      <c r="B153" s="575" t="s">
        <v>542</v>
      </c>
      <c r="C153" s="556" t="s">
        <v>407</v>
      </c>
      <c r="D153" s="568"/>
      <c r="E153" s="583"/>
      <c r="F153" s="583"/>
      <c r="G153" s="583"/>
    </row>
    <row r="154" spans="1:7" ht="21.75" customHeight="1" x14ac:dyDescent="0.2">
      <c r="A154" s="573">
        <v>12</v>
      </c>
      <c r="B154" s="575" t="s">
        <v>553</v>
      </c>
      <c r="C154" s="556" t="s">
        <v>407</v>
      </c>
      <c r="D154" s="568"/>
      <c r="E154" s="582"/>
      <c r="F154" s="581"/>
      <c r="G154" s="581"/>
    </row>
    <row r="155" spans="1:7" ht="23.25" customHeight="1" x14ac:dyDescent="0.2">
      <c r="A155" s="573">
        <v>13</v>
      </c>
      <c r="B155" s="575" t="s">
        <v>552</v>
      </c>
      <c r="C155" s="556" t="s">
        <v>407</v>
      </c>
      <c r="D155" s="568"/>
      <c r="E155" s="581"/>
      <c r="F155" s="581"/>
      <c r="G155" s="581"/>
    </row>
    <row r="156" spans="1:7" ht="25.5" customHeight="1" x14ac:dyDescent="0.2">
      <c r="A156" s="573">
        <v>14</v>
      </c>
      <c r="B156" s="575" t="s">
        <v>404</v>
      </c>
      <c r="C156" s="556" t="s">
        <v>407</v>
      </c>
      <c r="D156" s="568"/>
      <c r="E156" s="583"/>
      <c r="F156" s="582"/>
      <c r="G156" s="583"/>
    </row>
    <row r="157" spans="1:7" ht="24.75" customHeight="1" x14ac:dyDescent="0.2">
      <c r="A157" s="573">
        <v>15</v>
      </c>
      <c r="B157" s="575" t="s">
        <v>405</v>
      </c>
      <c r="C157" s="556" t="s">
        <v>407</v>
      </c>
      <c r="D157" s="568"/>
      <c r="E157" s="583"/>
      <c r="F157" s="582"/>
      <c r="G157" s="583"/>
    </row>
    <row r="158" spans="1:7" ht="26.25" customHeight="1" x14ac:dyDescent="0.2">
      <c r="A158" s="573">
        <v>16</v>
      </c>
      <c r="B158" s="575" t="s">
        <v>543</v>
      </c>
      <c r="C158" s="556" t="s">
        <v>407</v>
      </c>
      <c r="D158" s="568"/>
      <c r="E158" s="583"/>
      <c r="F158" s="582"/>
      <c r="G158" s="583"/>
    </row>
    <row r="159" spans="1:7" ht="22.5" customHeight="1" x14ac:dyDescent="0.2">
      <c r="A159" s="573">
        <v>17</v>
      </c>
      <c r="B159" s="575" t="s">
        <v>554</v>
      </c>
      <c r="C159" s="556" t="s">
        <v>407</v>
      </c>
      <c r="D159" s="568"/>
      <c r="E159" s="584"/>
      <c r="F159" s="584"/>
      <c r="G159" s="584"/>
    </row>
    <row r="160" spans="1:7" ht="21.75" customHeight="1" x14ac:dyDescent="0.2">
      <c r="A160" s="573">
        <v>18</v>
      </c>
      <c r="B160" s="575" t="s">
        <v>606</v>
      </c>
      <c r="C160" s="556" t="s">
        <v>407</v>
      </c>
      <c r="D160" s="568"/>
      <c r="E160" s="584"/>
      <c r="F160" s="584"/>
      <c r="G160" s="584"/>
    </row>
    <row r="161" spans="1:7" ht="30" customHeight="1" x14ac:dyDescent="0.2">
      <c r="A161" s="573">
        <v>19</v>
      </c>
      <c r="B161" s="575" t="s">
        <v>406</v>
      </c>
      <c r="C161" s="556" t="s">
        <v>407</v>
      </c>
      <c r="D161" s="568"/>
      <c r="E161" s="584"/>
      <c r="F161" s="584"/>
      <c r="G161" s="584"/>
    </row>
    <row r="162" spans="1:7" ht="23.25" customHeight="1" x14ac:dyDescent="0.2">
      <c r="A162" s="573">
        <v>20</v>
      </c>
      <c r="B162" s="574" t="s">
        <v>555</v>
      </c>
      <c r="C162" s="556" t="s">
        <v>407</v>
      </c>
      <c r="D162" s="568"/>
      <c r="E162" s="584"/>
      <c r="F162" s="584"/>
      <c r="G162" s="584"/>
    </row>
    <row r="163" spans="1:7" ht="23.25" customHeight="1" x14ac:dyDescent="0.2">
      <c r="A163" s="573">
        <v>21</v>
      </c>
      <c r="B163" s="557" t="s">
        <v>556</v>
      </c>
      <c r="C163" s="556" t="s">
        <v>407</v>
      </c>
      <c r="D163" s="568"/>
      <c r="E163" s="584"/>
      <c r="F163" s="584"/>
      <c r="G163" s="584"/>
    </row>
    <row r="164" spans="1:7" ht="17.25" customHeight="1" x14ac:dyDescent="0.2">
      <c r="A164" s="573">
        <v>22</v>
      </c>
      <c r="B164" s="557" t="s">
        <v>557</v>
      </c>
      <c r="C164" s="556" t="s">
        <v>407</v>
      </c>
      <c r="D164" s="568"/>
      <c r="E164" s="584"/>
      <c r="F164" s="584"/>
      <c r="G164" s="584"/>
    </row>
    <row r="165" spans="1:7" ht="25.5" customHeight="1" x14ac:dyDescent="0.2">
      <c r="A165" s="573">
        <v>23</v>
      </c>
      <c r="B165" s="557" t="s">
        <v>558</v>
      </c>
      <c r="C165" s="556" t="s">
        <v>407</v>
      </c>
      <c r="D165" s="568"/>
      <c r="E165" s="581"/>
      <c r="F165" s="581"/>
      <c r="G165" s="581"/>
    </row>
    <row r="166" spans="1:7" ht="18.75" customHeight="1" x14ac:dyDescent="0.2">
      <c r="A166" s="573">
        <v>24</v>
      </c>
      <c r="B166" s="557" t="s">
        <v>559</v>
      </c>
      <c r="C166" s="556" t="s">
        <v>407</v>
      </c>
      <c r="D166" s="568"/>
      <c r="E166" s="581"/>
      <c r="F166" s="581"/>
      <c r="G166" s="581"/>
    </row>
    <row r="167" spans="1:7" ht="20.25" customHeight="1" x14ac:dyDescent="0.2">
      <c r="A167" s="573">
        <v>25</v>
      </c>
      <c r="B167" s="576" t="s">
        <v>560</v>
      </c>
      <c r="C167" s="556" t="s">
        <v>407</v>
      </c>
      <c r="D167" s="568"/>
      <c r="E167" s="581"/>
      <c r="F167" s="581"/>
      <c r="G167" s="581"/>
    </row>
    <row r="168" spans="1:7" ht="20.25" customHeight="1" x14ac:dyDescent="0.2">
      <c r="A168" s="573">
        <v>26</v>
      </c>
      <c r="B168" s="557" t="s">
        <v>561</v>
      </c>
      <c r="C168" s="556" t="s">
        <v>407</v>
      </c>
      <c r="D168" s="568"/>
      <c r="E168" s="581"/>
      <c r="F168" s="581"/>
      <c r="G168" s="581"/>
    </row>
    <row r="169" spans="1:7" ht="20.25" customHeight="1" x14ac:dyDescent="0.2">
      <c r="A169" s="573">
        <v>27</v>
      </c>
      <c r="B169" s="575" t="s">
        <v>562</v>
      </c>
      <c r="C169" s="556" t="s">
        <v>407</v>
      </c>
      <c r="D169" s="568"/>
      <c r="E169" s="581"/>
      <c r="F169" s="581"/>
      <c r="G169" s="581"/>
    </row>
    <row r="170" spans="1:7" ht="21.75" customHeight="1" x14ac:dyDescent="0.2">
      <c r="A170" s="573">
        <v>28</v>
      </c>
      <c r="B170" s="575" t="s">
        <v>563</v>
      </c>
      <c r="C170" s="556" t="s">
        <v>407</v>
      </c>
      <c r="D170" s="568"/>
      <c r="E170" s="581"/>
      <c r="F170" s="581"/>
      <c r="G170" s="581"/>
    </row>
    <row r="171" spans="1:7" ht="19.5" customHeight="1" x14ac:dyDescent="0.2">
      <c r="A171" s="573">
        <v>29</v>
      </c>
      <c r="B171" s="557" t="s">
        <v>564</v>
      </c>
      <c r="C171" s="556" t="s">
        <v>407</v>
      </c>
      <c r="D171" s="568"/>
      <c r="E171" s="581"/>
      <c r="F171" s="581"/>
      <c r="G171" s="581"/>
    </row>
    <row r="172" spans="1:7" ht="45" customHeight="1" x14ac:dyDescent="0.2">
      <c r="A172" s="573">
        <v>31</v>
      </c>
      <c r="B172" s="575" t="s">
        <v>565</v>
      </c>
      <c r="C172" s="556" t="s">
        <v>407</v>
      </c>
      <c r="D172" s="568"/>
      <c r="E172" s="581"/>
      <c r="F172" s="581"/>
      <c r="G172" s="581"/>
    </row>
    <row r="173" spans="1:7" ht="30.75" customHeight="1" x14ac:dyDescent="0.2">
      <c r="A173" s="573">
        <v>32</v>
      </c>
      <c r="B173" s="557" t="s">
        <v>566</v>
      </c>
      <c r="C173" s="556" t="s">
        <v>407</v>
      </c>
      <c r="D173" s="568"/>
      <c r="E173" s="581"/>
      <c r="F173" s="581"/>
      <c r="G173" s="581"/>
    </row>
    <row r="174" spans="1:7" ht="18.75" customHeight="1" x14ac:dyDescent="0.2">
      <c r="A174" s="573">
        <v>33</v>
      </c>
      <c r="B174" s="575" t="s">
        <v>567</v>
      </c>
      <c r="C174" s="556" t="s">
        <v>407</v>
      </c>
      <c r="D174" s="568"/>
      <c r="E174" s="581"/>
      <c r="F174" s="581"/>
      <c r="G174" s="581"/>
    </row>
    <row r="175" spans="1:7" ht="21.75" customHeight="1" x14ac:dyDescent="0.2">
      <c r="A175" s="573">
        <v>34</v>
      </c>
      <c r="B175" s="575" t="s">
        <v>568</v>
      </c>
      <c r="C175" s="556" t="s">
        <v>407</v>
      </c>
      <c r="D175" s="568"/>
      <c r="E175" s="581"/>
      <c r="F175" s="581"/>
      <c r="G175" s="581"/>
    </row>
    <row r="176" spans="1:7" ht="17.25" customHeight="1" x14ac:dyDescent="0.2">
      <c r="A176" s="573">
        <v>35</v>
      </c>
      <c r="B176" s="575" t="s">
        <v>569</v>
      </c>
      <c r="C176" s="556" t="s">
        <v>407</v>
      </c>
      <c r="D176" s="568"/>
      <c r="E176" s="581"/>
      <c r="F176" s="581"/>
      <c r="G176" s="581"/>
    </row>
    <row r="177" spans="1:7" ht="21" customHeight="1" x14ac:dyDescent="0.2">
      <c r="A177" s="573">
        <v>36</v>
      </c>
      <c r="B177" s="575" t="s">
        <v>570</v>
      </c>
      <c r="C177" s="556" t="s">
        <v>407</v>
      </c>
      <c r="D177" s="568"/>
      <c r="E177" s="581"/>
      <c r="F177" s="581"/>
      <c r="G177" s="581"/>
    </row>
    <row r="178" spans="1:7" ht="22.5" customHeight="1" x14ac:dyDescent="0.2">
      <c r="A178" s="573">
        <v>37</v>
      </c>
      <c r="B178" s="575" t="s">
        <v>571</v>
      </c>
      <c r="C178" s="556" t="s">
        <v>407</v>
      </c>
      <c r="D178" s="568"/>
      <c r="E178" s="581"/>
      <c r="F178" s="581"/>
      <c r="G178" s="581"/>
    </row>
    <row r="179" spans="1:7" ht="34.5" customHeight="1" x14ac:dyDescent="0.2">
      <c r="A179" s="573">
        <v>38</v>
      </c>
      <c r="B179" s="575" t="s">
        <v>572</v>
      </c>
      <c r="C179" s="556" t="s">
        <v>407</v>
      </c>
      <c r="D179" s="568"/>
      <c r="E179" s="581"/>
      <c r="F179" s="581"/>
      <c r="G179" s="581"/>
    </row>
    <row r="180" spans="1:7" ht="22.5" customHeight="1" x14ac:dyDescent="0.2">
      <c r="A180" s="573">
        <v>39</v>
      </c>
      <c r="B180" s="577" t="s">
        <v>573</v>
      </c>
      <c r="C180" s="556" t="s">
        <v>407</v>
      </c>
      <c r="D180" s="568"/>
      <c r="E180" s="584"/>
      <c r="F180" s="584"/>
      <c r="G180" s="584"/>
    </row>
    <row r="181" spans="1:7" ht="21" customHeight="1" x14ac:dyDescent="0.2">
      <c r="A181" s="573">
        <v>40</v>
      </c>
      <c r="B181" s="578" t="s">
        <v>574</v>
      </c>
      <c r="C181" s="556" t="s">
        <v>407</v>
      </c>
      <c r="D181" s="568"/>
      <c r="E181" s="584"/>
      <c r="F181" s="584"/>
      <c r="G181" s="584"/>
    </row>
    <row r="182" spans="1:7" ht="24.75" customHeight="1" x14ac:dyDescent="0.2">
      <c r="A182" s="573">
        <v>41</v>
      </c>
      <c r="B182" s="578" t="s">
        <v>575</v>
      </c>
      <c r="C182" s="556" t="s">
        <v>407</v>
      </c>
      <c r="D182" s="568"/>
      <c r="E182" s="581"/>
      <c r="F182" s="581"/>
      <c r="G182" s="581"/>
    </row>
    <row r="183" spans="1:7" ht="20.25" customHeight="1" x14ac:dyDescent="0.2">
      <c r="A183" s="573">
        <v>42</v>
      </c>
      <c r="B183" s="578" t="s">
        <v>576</v>
      </c>
      <c r="C183" s="556" t="s">
        <v>407</v>
      </c>
      <c r="D183" s="568"/>
      <c r="E183" s="581"/>
      <c r="F183" s="581"/>
      <c r="G183" s="581"/>
    </row>
    <row r="184" spans="1:7" ht="21" customHeight="1" x14ac:dyDescent="0.2">
      <c r="A184" s="573">
        <v>43</v>
      </c>
      <c r="B184" s="578" t="s">
        <v>577</v>
      </c>
      <c r="C184" s="556" t="s">
        <v>407</v>
      </c>
      <c r="D184" s="568"/>
      <c r="E184" s="581"/>
      <c r="F184" s="581"/>
      <c r="G184" s="581"/>
    </row>
    <row r="185" spans="1:7" ht="22.5" customHeight="1" x14ac:dyDescent="0.2">
      <c r="A185" s="573">
        <v>44</v>
      </c>
      <c r="B185" s="578" t="s">
        <v>578</v>
      </c>
      <c r="C185" s="556" t="s">
        <v>407</v>
      </c>
      <c r="D185" s="568"/>
      <c r="E185" s="581"/>
      <c r="F185" s="581"/>
      <c r="G185" s="581"/>
    </row>
    <row r="186" spans="1:7" ht="20.25" customHeight="1" x14ac:dyDescent="0.2">
      <c r="A186" s="573">
        <v>45</v>
      </c>
      <c r="B186" s="578" t="s">
        <v>579</v>
      </c>
      <c r="C186" s="556" t="s">
        <v>407</v>
      </c>
      <c r="D186" s="568"/>
      <c r="E186" s="581"/>
      <c r="F186" s="581"/>
      <c r="G186" s="581"/>
    </row>
    <row r="187" spans="1:7" ht="21" customHeight="1" x14ac:dyDescent="0.2">
      <c r="A187" s="573">
        <v>46</v>
      </c>
      <c r="B187" s="578" t="s">
        <v>580</v>
      </c>
      <c r="C187" s="556" t="s">
        <v>407</v>
      </c>
      <c r="D187" s="568"/>
      <c r="E187" s="581"/>
      <c r="F187" s="581"/>
      <c r="G187" s="581"/>
    </row>
    <row r="188" spans="1:7" ht="25.5" customHeight="1" x14ac:dyDescent="0.2">
      <c r="A188" s="573">
        <v>47</v>
      </c>
      <c r="B188" s="578" t="s">
        <v>581</v>
      </c>
      <c r="C188" s="556" t="s">
        <v>407</v>
      </c>
      <c r="D188" s="568"/>
      <c r="E188" s="581"/>
      <c r="F188" s="581"/>
      <c r="G188" s="581"/>
    </row>
    <row r="189" spans="1:7" ht="24.75" customHeight="1" x14ac:dyDescent="0.2">
      <c r="A189" s="573">
        <v>48</v>
      </c>
      <c r="B189" s="578" t="s">
        <v>582</v>
      </c>
      <c r="C189" s="556" t="s">
        <v>407</v>
      </c>
      <c r="D189" s="568"/>
      <c r="E189" s="581"/>
      <c r="F189" s="581"/>
      <c r="G189" s="581"/>
    </row>
    <row r="190" spans="1:7" ht="23.25" customHeight="1" x14ac:dyDescent="0.2">
      <c r="A190" s="573">
        <v>49</v>
      </c>
      <c r="B190" s="578" t="s">
        <v>583</v>
      </c>
      <c r="C190" s="556" t="s">
        <v>407</v>
      </c>
      <c r="D190" s="568"/>
      <c r="E190" s="581"/>
      <c r="F190" s="581"/>
      <c r="G190" s="581"/>
    </row>
    <row r="191" spans="1:7" ht="18.75" customHeight="1" x14ac:dyDescent="0.2">
      <c r="A191" s="573">
        <v>50</v>
      </c>
      <c r="B191" s="578" t="s">
        <v>584</v>
      </c>
      <c r="C191" s="556" t="s">
        <v>407</v>
      </c>
      <c r="D191" s="568"/>
      <c r="E191" s="581"/>
      <c r="F191" s="581"/>
      <c r="G191" s="581"/>
    </row>
    <row r="192" spans="1:7" ht="23.25" customHeight="1" x14ac:dyDescent="0.2">
      <c r="A192" s="573">
        <v>51</v>
      </c>
      <c r="B192" s="578" t="s">
        <v>585</v>
      </c>
      <c r="C192" s="556" t="s">
        <v>407</v>
      </c>
      <c r="D192" s="568"/>
      <c r="E192" s="581"/>
      <c r="F192" s="581"/>
      <c r="G192" s="581"/>
    </row>
    <row r="193" spans="1:7" ht="21" customHeight="1" x14ac:dyDescent="0.2">
      <c r="A193" s="573">
        <v>52</v>
      </c>
      <c r="B193" s="578" t="s">
        <v>586</v>
      </c>
      <c r="C193" s="556" t="s">
        <v>407</v>
      </c>
      <c r="D193" s="568"/>
      <c r="E193" s="581"/>
      <c r="F193" s="581"/>
      <c r="G193" s="581"/>
    </row>
    <row r="194" spans="1:7" ht="21.75" customHeight="1" x14ac:dyDescent="0.2">
      <c r="A194" s="573">
        <v>53</v>
      </c>
      <c r="B194" s="579" t="s">
        <v>587</v>
      </c>
      <c r="C194" s="556" t="s">
        <v>407</v>
      </c>
      <c r="D194" s="568"/>
      <c r="E194" s="581"/>
      <c r="F194" s="581"/>
      <c r="G194" s="581"/>
    </row>
    <row r="195" spans="1:7" ht="19.5" customHeight="1" x14ac:dyDescent="0.2">
      <c r="A195" s="573">
        <v>54</v>
      </c>
      <c r="B195" s="579" t="s">
        <v>588</v>
      </c>
      <c r="C195" s="556" t="s">
        <v>407</v>
      </c>
      <c r="D195" s="568"/>
      <c r="E195" s="581"/>
      <c r="F195" s="581"/>
      <c r="G195" s="581"/>
    </row>
    <row r="196" spans="1:7" ht="26.25" customHeight="1" x14ac:dyDescent="0.2">
      <c r="A196" s="573">
        <v>55</v>
      </c>
      <c r="B196" s="579" t="s">
        <v>589</v>
      </c>
      <c r="C196" s="556" t="s">
        <v>407</v>
      </c>
      <c r="D196" s="568"/>
      <c r="E196" s="581"/>
      <c r="F196" s="581"/>
      <c r="G196" s="581"/>
    </row>
    <row r="197" spans="1:7" ht="21.75" customHeight="1" x14ac:dyDescent="0.2">
      <c r="A197" s="573">
        <v>56</v>
      </c>
      <c r="B197" s="579" t="s">
        <v>590</v>
      </c>
      <c r="C197" s="556" t="s">
        <v>407</v>
      </c>
      <c r="D197" s="568"/>
      <c r="E197" s="581"/>
      <c r="F197" s="581"/>
      <c r="G197" s="581"/>
    </row>
    <row r="198" spans="1:7" ht="19.5" customHeight="1" x14ac:dyDescent="0.2">
      <c r="A198" s="573">
        <v>57</v>
      </c>
      <c r="B198" s="579" t="s">
        <v>591</v>
      </c>
      <c r="C198" s="556" t="s">
        <v>407</v>
      </c>
      <c r="D198" s="568"/>
      <c r="E198" s="581"/>
      <c r="F198" s="581"/>
      <c r="G198" s="581"/>
    </row>
    <row r="199" spans="1:7" ht="18" customHeight="1" x14ac:dyDescent="0.2">
      <c r="A199" s="573">
        <v>58</v>
      </c>
      <c r="B199" s="579" t="s">
        <v>593</v>
      </c>
      <c r="C199" s="556" t="s">
        <v>407</v>
      </c>
      <c r="D199" s="568"/>
      <c r="E199" s="581"/>
      <c r="F199" s="581"/>
      <c r="G199" s="581"/>
    </row>
    <row r="200" spans="1:7" ht="20.25" customHeight="1" x14ac:dyDescent="0.2">
      <c r="A200" s="573">
        <v>59</v>
      </c>
      <c r="B200" s="579" t="s">
        <v>594</v>
      </c>
      <c r="C200" s="556" t="s">
        <v>407</v>
      </c>
      <c r="D200" s="568"/>
      <c r="E200" s="581"/>
      <c r="F200" s="581"/>
      <c r="G200" s="581"/>
    </row>
    <row r="201" spans="1:7" ht="21.75" customHeight="1" x14ac:dyDescent="0.2">
      <c r="A201" s="573">
        <v>60</v>
      </c>
      <c r="B201" s="579" t="s">
        <v>595</v>
      </c>
      <c r="C201" s="556" t="s">
        <v>407</v>
      </c>
      <c r="D201" s="568"/>
      <c r="E201" s="581"/>
      <c r="F201" s="581"/>
      <c r="G201" s="581"/>
    </row>
    <row r="202" spans="1:7" ht="24.75" customHeight="1" x14ac:dyDescent="0.2">
      <c r="A202" s="573">
        <v>61</v>
      </c>
      <c r="B202" s="579" t="s">
        <v>592</v>
      </c>
      <c r="C202" s="556" t="s">
        <v>407</v>
      </c>
      <c r="D202" s="568"/>
      <c r="E202" s="581"/>
      <c r="F202" s="581"/>
      <c r="G202" s="581"/>
    </row>
    <row r="203" spans="1:7" x14ac:dyDescent="0.2">
      <c r="A203" s="692" t="s">
        <v>17</v>
      </c>
      <c r="B203" s="693"/>
      <c r="C203" s="693"/>
      <c r="D203" s="694"/>
      <c r="E203" s="604">
        <f>+E144+E143+1869</f>
        <v>2159</v>
      </c>
      <c r="F203" s="604">
        <f>370+3182</f>
        <v>3552</v>
      </c>
      <c r="G203" s="604">
        <f>170+2786</f>
        <v>2956</v>
      </c>
    </row>
    <row r="204" spans="1:7" ht="13.5" customHeight="1" x14ac:dyDescent="0.2">
      <c r="A204" s="615" t="s">
        <v>461</v>
      </c>
      <c r="B204" s="616"/>
      <c r="C204" s="616"/>
      <c r="D204" s="616"/>
      <c r="E204" s="590"/>
      <c r="F204" s="590"/>
      <c r="G204" s="591"/>
    </row>
    <row r="205" spans="1:7" ht="25.5" customHeight="1" x14ac:dyDescent="0.2">
      <c r="A205" s="617">
        <v>1</v>
      </c>
      <c r="B205" s="487" t="s">
        <v>460</v>
      </c>
      <c r="C205" s="556" t="s">
        <v>415</v>
      </c>
      <c r="D205" s="488"/>
      <c r="E205" s="488"/>
      <c r="F205" s="618"/>
      <c r="G205" s="618"/>
    </row>
    <row r="206" spans="1:7" ht="16.5" customHeight="1" x14ac:dyDescent="0.2">
      <c r="A206" s="617">
        <v>2</v>
      </c>
      <c r="B206" s="487" t="s">
        <v>456</v>
      </c>
      <c r="C206" s="556" t="s">
        <v>415</v>
      </c>
      <c r="D206" s="488"/>
      <c r="E206" s="488"/>
      <c r="F206" s="618"/>
      <c r="G206" s="618"/>
    </row>
    <row r="207" spans="1:7" ht="28.5" customHeight="1" x14ac:dyDescent="0.2">
      <c r="A207" s="617">
        <v>3</v>
      </c>
      <c r="B207" s="487" t="s">
        <v>457</v>
      </c>
      <c r="C207" s="556" t="s">
        <v>415</v>
      </c>
      <c r="D207" s="488"/>
      <c r="E207" s="488"/>
      <c r="F207" s="618"/>
      <c r="G207" s="618"/>
    </row>
    <row r="208" spans="1:7" ht="23.25" customHeight="1" x14ac:dyDescent="0.2">
      <c r="A208" s="617">
        <v>4</v>
      </c>
      <c r="B208" s="487" t="s">
        <v>458</v>
      </c>
      <c r="C208" s="556" t="s">
        <v>415</v>
      </c>
      <c r="D208" s="488"/>
      <c r="E208" s="488"/>
      <c r="F208" s="618"/>
      <c r="G208" s="618"/>
    </row>
    <row r="209" spans="1:7" ht="27.75" customHeight="1" x14ac:dyDescent="0.2">
      <c r="A209" s="617">
        <v>5</v>
      </c>
      <c r="B209" s="489" t="s">
        <v>459</v>
      </c>
      <c r="C209" s="556" t="s">
        <v>415</v>
      </c>
      <c r="D209" s="488"/>
      <c r="E209" s="488"/>
      <c r="F209" s="618"/>
      <c r="G209" s="618"/>
    </row>
    <row r="210" spans="1:7" ht="36.75" customHeight="1" x14ac:dyDescent="0.2">
      <c r="A210" s="617">
        <v>6</v>
      </c>
      <c r="B210" s="487" t="s">
        <v>462</v>
      </c>
      <c r="C210" s="556" t="s">
        <v>415</v>
      </c>
      <c r="D210" s="488"/>
      <c r="E210" s="488"/>
      <c r="F210" s="618"/>
      <c r="G210" s="618"/>
    </row>
    <row r="211" spans="1:7" ht="28.5" customHeight="1" x14ac:dyDescent="0.2">
      <c r="A211" s="617">
        <v>7</v>
      </c>
      <c r="B211" s="487" t="s">
        <v>463</v>
      </c>
      <c r="C211" s="556" t="s">
        <v>415</v>
      </c>
      <c r="D211" s="488"/>
      <c r="E211" s="488"/>
      <c r="F211" s="618"/>
      <c r="G211" s="618"/>
    </row>
    <row r="212" spans="1:7" ht="17.25" customHeight="1" x14ac:dyDescent="0.2">
      <c r="A212" s="617">
        <v>8</v>
      </c>
      <c r="B212" s="487" t="s">
        <v>464</v>
      </c>
      <c r="C212" s="556" t="s">
        <v>415</v>
      </c>
      <c r="D212" s="488"/>
      <c r="E212" s="488"/>
      <c r="F212" s="618"/>
      <c r="G212" s="618"/>
    </row>
    <row r="213" spans="1:7" ht="22.5" customHeight="1" x14ac:dyDescent="0.2">
      <c r="A213" s="617">
        <v>9</v>
      </c>
      <c r="B213" s="487" t="s">
        <v>465</v>
      </c>
      <c r="C213" s="556" t="s">
        <v>415</v>
      </c>
      <c r="D213" s="490"/>
      <c r="E213" s="490"/>
      <c r="F213" s="618"/>
      <c r="G213" s="618"/>
    </row>
    <row r="214" spans="1:7" ht="19.5" customHeight="1" x14ac:dyDescent="0.2">
      <c r="A214" s="617">
        <v>10</v>
      </c>
      <c r="B214" s="489" t="s">
        <v>466</v>
      </c>
      <c r="C214" s="556" t="s">
        <v>415</v>
      </c>
      <c r="D214" s="488"/>
      <c r="E214" s="488"/>
      <c r="F214" s="618"/>
      <c r="G214" s="618"/>
    </row>
    <row r="215" spans="1:7" ht="18" customHeight="1" x14ac:dyDescent="0.2">
      <c r="A215" s="617">
        <v>11</v>
      </c>
      <c r="B215" s="489" t="s">
        <v>467</v>
      </c>
      <c r="C215" s="556" t="s">
        <v>415</v>
      </c>
      <c r="D215" s="488"/>
      <c r="E215" s="488"/>
      <c r="F215" s="618"/>
      <c r="G215" s="618"/>
    </row>
    <row r="216" spans="1:7" ht="27" customHeight="1" x14ac:dyDescent="0.2">
      <c r="A216" s="617">
        <v>12</v>
      </c>
      <c r="B216" s="489" t="s">
        <v>468</v>
      </c>
      <c r="C216" s="556" t="s">
        <v>415</v>
      </c>
      <c r="D216" s="488"/>
      <c r="E216" s="488"/>
      <c r="F216" s="618"/>
      <c r="G216" s="618"/>
    </row>
    <row r="217" spans="1:7" ht="26.25" customHeight="1" x14ac:dyDescent="0.2">
      <c r="A217" s="617">
        <v>13</v>
      </c>
      <c r="B217" s="489" t="s">
        <v>469</v>
      </c>
      <c r="C217" s="556" t="s">
        <v>415</v>
      </c>
      <c r="D217" s="488"/>
      <c r="E217" s="488"/>
      <c r="F217" s="618"/>
      <c r="G217" s="618"/>
    </row>
    <row r="218" spans="1:7" ht="21" customHeight="1" x14ac:dyDescent="0.2">
      <c r="A218" s="617">
        <v>14</v>
      </c>
      <c r="B218" s="489" t="s">
        <v>470</v>
      </c>
      <c r="C218" s="556" t="s">
        <v>415</v>
      </c>
      <c r="D218" s="488"/>
      <c r="E218" s="488"/>
      <c r="F218" s="618"/>
      <c r="G218" s="618"/>
    </row>
    <row r="219" spans="1:7" ht="22.5" customHeight="1" x14ac:dyDescent="0.2">
      <c r="A219" s="617">
        <v>15</v>
      </c>
      <c r="B219" s="489" t="s">
        <v>471</v>
      </c>
      <c r="C219" s="556" t="s">
        <v>415</v>
      </c>
      <c r="D219" s="488"/>
      <c r="E219" s="488"/>
      <c r="F219" s="618"/>
      <c r="G219" s="618"/>
    </row>
    <row r="220" spans="1:7" ht="29.25" customHeight="1" x14ac:dyDescent="0.2">
      <c r="A220" s="617">
        <v>16</v>
      </c>
      <c r="B220" s="489" t="s">
        <v>472</v>
      </c>
      <c r="C220" s="556" t="s">
        <v>415</v>
      </c>
      <c r="D220" s="488"/>
      <c r="E220" s="488"/>
      <c r="F220" s="618"/>
      <c r="G220" s="618"/>
    </row>
    <row r="221" spans="1:7" ht="25.5" customHeight="1" x14ac:dyDescent="0.2">
      <c r="A221" s="617">
        <v>17</v>
      </c>
      <c r="B221" s="489" t="s">
        <v>473</v>
      </c>
      <c r="C221" s="556" t="s">
        <v>415</v>
      </c>
      <c r="D221" s="488"/>
      <c r="E221" s="488"/>
      <c r="F221" s="618"/>
      <c r="G221" s="618"/>
    </row>
    <row r="222" spans="1:7" ht="23.25" customHeight="1" x14ac:dyDescent="0.2">
      <c r="A222" s="617">
        <v>18</v>
      </c>
      <c r="B222" s="489" t="s">
        <v>411</v>
      </c>
      <c r="C222" s="556" t="s">
        <v>415</v>
      </c>
      <c r="D222" s="488"/>
      <c r="E222" s="488"/>
      <c r="F222" s="618"/>
      <c r="G222" s="618"/>
    </row>
    <row r="223" spans="1:7" ht="24" customHeight="1" x14ac:dyDescent="0.2">
      <c r="A223" s="617">
        <v>19</v>
      </c>
      <c r="B223" s="489" t="s">
        <v>412</v>
      </c>
      <c r="C223" s="556" t="s">
        <v>415</v>
      </c>
      <c r="D223" s="488"/>
      <c r="E223" s="488"/>
      <c r="F223" s="618"/>
      <c r="G223" s="618"/>
    </row>
    <row r="224" spans="1:7" ht="21" customHeight="1" x14ac:dyDescent="0.2">
      <c r="A224" s="617">
        <v>20</v>
      </c>
      <c r="B224" s="489" t="s">
        <v>474</v>
      </c>
      <c r="C224" s="556" t="s">
        <v>415</v>
      </c>
      <c r="D224" s="488"/>
      <c r="E224" s="488"/>
      <c r="F224" s="618"/>
      <c r="G224" s="618"/>
    </row>
    <row r="225" spans="1:7" ht="20.25" customHeight="1" x14ac:dyDescent="0.2">
      <c r="A225" s="617">
        <v>21</v>
      </c>
      <c r="B225" s="489" t="s">
        <v>475</v>
      </c>
      <c r="C225" s="556" t="s">
        <v>415</v>
      </c>
      <c r="D225" s="488"/>
      <c r="E225" s="488"/>
      <c r="F225" s="618"/>
      <c r="G225" s="618"/>
    </row>
    <row r="226" spans="1:7" ht="21" customHeight="1" x14ac:dyDescent="0.2">
      <c r="A226" s="617">
        <v>22</v>
      </c>
      <c r="B226" s="489" t="s">
        <v>476</v>
      </c>
      <c r="C226" s="556" t="s">
        <v>415</v>
      </c>
      <c r="D226" s="488"/>
      <c r="E226" s="488"/>
      <c r="F226" s="618"/>
      <c r="G226" s="618"/>
    </row>
    <row r="227" spans="1:7" ht="32.25" customHeight="1" x14ac:dyDescent="0.2">
      <c r="A227" s="617">
        <v>23</v>
      </c>
      <c r="B227" s="489" t="s">
        <v>477</v>
      </c>
      <c r="C227" s="556" t="s">
        <v>415</v>
      </c>
      <c r="D227" s="491"/>
      <c r="E227" s="491"/>
      <c r="F227" s="618"/>
      <c r="G227" s="618"/>
    </row>
    <row r="228" spans="1:7" ht="21.75" customHeight="1" x14ac:dyDescent="0.2">
      <c r="A228" s="617">
        <v>24</v>
      </c>
      <c r="B228" s="489" t="s">
        <v>478</v>
      </c>
      <c r="C228" s="556" t="s">
        <v>415</v>
      </c>
      <c r="D228" s="488"/>
      <c r="E228" s="488"/>
      <c r="F228" s="618"/>
      <c r="G228" s="618"/>
    </row>
    <row r="229" spans="1:7" ht="21" customHeight="1" x14ac:dyDescent="0.2">
      <c r="A229" s="617">
        <v>25</v>
      </c>
      <c r="B229" s="492" t="s">
        <v>479</v>
      </c>
      <c r="C229" s="556" t="s">
        <v>415</v>
      </c>
      <c r="D229" s="493"/>
      <c r="E229" s="493"/>
      <c r="F229" s="619"/>
      <c r="G229" s="619"/>
    </row>
    <row r="230" spans="1:7" ht="20.25" customHeight="1" x14ac:dyDescent="0.2">
      <c r="A230" s="617">
        <v>26</v>
      </c>
      <c r="B230" s="494" t="s">
        <v>413</v>
      </c>
      <c r="C230" s="556" t="s">
        <v>415</v>
      </c>
      <c r="D230" s="493"/>
      <c r="E230" s="493"/>
      <c r="F230" s="619"/>
      <c r="G230" s="618"/>
    </row>
    <row r="231" spans="1:7" ht="21.75" customHeight="1" x14ac:dyDescent="0.2">
      <c r="A231" s="617">
        <v>27</v>
      </c>
      <c r="B231" s="495" t="s">
        <v>480</v>
      </c>
      <c r="C231" s="556" t="s">
        <v>415</v>
      </c>
      <c r="D231" s="496"/>
      <c r="E231" s="496"/>
      <c r="F231" s="620"/>
      <c r="G231" s="618"/>
    </row>
    <row r="232" spans="1:7" ht="33" customHeight="1" x14ac:dyDescent="0.2">
      <c r="A232" s="617">
        <v>28</v>
      </c>
      <c r="B232" s="495" t="s">
        <v>481</v>
      </c>
      <c r="C232" s="556" t="s">
        <v>415</v>
      </c>
      <c r="D232" s="496"/>
      <c r="E232" s="496"/>
      <c r="F232" s="620"/>
      <c r="G232" s="618"/>
    </row>
    <row r="233" spans="1:7" ht="24.75" customHeight="1" x14ac:dyDescent="0.2">
      <c r="A233" s="617">
        <v>29</v>
      </c>
      <c r="B233" s="495" t="s">
        <v>482</v>
      </c>
      <c r="C233" s="556" t="s">
        <v>415</v>
      </c>
      <c r="D233" s="496"/>
      <c r="E233" s="496"/>
      <c r="F233" s="620"/>
      <c r="G233" s="618"/>
    </row>
    <row r="234" spans="1:7" ht="38.25" customHeight="1" x14ac:dyDescent="0.2">
      <c r="A234" s="617">
        <v>30</v>
      </c>
      <c r="B234" s="495" t="s">
        <v>483</v>
      </c>
      <c r="C234" s="556" t="s">
        <v>415</v>
      </c>
      <c r="D234" s="496"/>
      <c r="E234" s="496"/>
      <c r="F234" s="620"/>
      <c r="G234" s="618"/>
    </row>
    <row r="235" spans="1:7" ht="30.75" customHeight="1" x14ac:dyDescent="0.2">
      <c r="A235" s="617">
        <v>31</v>
      </c>
      <c r="B235" s="495" t="s">
        <v>484</v>
      </c>
      <c r="C235" s="556" t="s">
        <v>415</v>
      </c>
      <c r="D235" s="496"/>
      <c r="E235" s="496"/>
      <c r="F235" s="620"/>
      <c r="G235" s="618"/>
    </row>
    <row r="236" spans="1:7" ht="24.75" customHeight="1" x14ac:dyDescent="0.2">
      <c r="A236" s="617">
        <v>32</v>
      </c>
      <c r="B236" s="495" t="s">
        <v>485</v>
      </c>
      <c r="C236" s="556" t="s">
        <v>415</v>
      </c>
      <c r="D236" s="496"/>
      <c r="E236" s="496"/>
      <c r="F236" s="620"/>
      <c r="G236" s="618"/>
    </row>
    <row r="237" spans="1:7" ht="27.75" customHeight="1" x14ac:dyDescent="0.2">
      <c r="A237" s="617">
        <v>33</v>
      </c>
      <c r="B237" s="495" t="s">
        <v>486</v>
      </c>
      <c r="C237" s="556" t="s">
        <v>415</v>
      </c>
      <c r="D237" s="496"/>
      <c r="E237" s="496"/>
      <c r="F237" s="620"/>
      <c r="G237" s="618"/>
    </row>
    <row r="238" spans="1:7" ht="27.75" customHeight="1" x14ac:dyDescent="0.2">
      <c r="A238" s="617">
        <v>34</v>
      </c>
      <c r="B238" s="495" t="s">
        <v>487</v>
      </c>
      <c r="C238" s="556" t="s">
        <v>415</v>
      </c>
      <c r="D238" s="496"/>
      <c r="E238" s="496"/>
      <c r="F238" s="620"/>
      <c r="G238" s="618"/>
    </row>
    <row r="239" spans="1:7" ht="18" customHeight="1" x14ac:dyDescent="0.2">
      <c r="A239" s="617">
        <v>35</v>
      </c>
      <c r="B239" s="495" t="s">
        <v>601</v>
      </c>
      <c r="C239" s="556" t="s">
        <v>415</v>
      </c>
      <c r="D239" s="496"/>
      <c r="E239" s="496"/>
      <c r="F239" s="620"/>
      <c r="G239" s="618"/>
    </row>
    <row r="240" spans="1:7" ht="21.75" customHeight="1" x14ac:dyDescent="0.2">
      <c r="A240" s="617">
        <v>36</v>
      </c>
      <c r="B240" s="495" t="s">
        <v>488</v>
      </c>
      <c r="C240" s="556" t="s">
        <v>415</v>
      </c>
      <c r="D240" s="496"/>
      <c r="E240" s="496"/>
      <c r="F240" s="620"/>
      <c r="G240" s="618"/>
    </row>
    <row r="241" spans="1:7" ht="24" customHeight="1" x14ac:dyDescent="0.2">
      <c r="A241" s="617">
        <v>37</v>
      </c>
      <c r="B241" s="495" t="s">
        <v>489</v>
      </c>
      <c r="C241" s="556" t="s">
        <v>415</v>
      </c>
      <c r="D241" s="496"/>
      <c r="E241" s="496"/>
      <c r="F241" s="620"/>
      <c r="G241" s="618"/>
    </row>
    <row r="242" spans="1:7" ht="20.25" customHeight="1" x14ac:dyDescent="0.2">
      <c r="A242" s="617">
        <v>38</v>
      </c>
      <c r="B242" s="495" t="s">
        <v>490</v>
      </c>
      <c r="C242" s="556" t="s">
        <v>415</v>
      </c>
      <c r="D242" s="496"/>
      <c r="E242" s="496"/>
      <c r="F242" s="620"/>
      <c r="G242" s="618"/>
    </row>
    <row r="243" spans="1:7" ht="19.5" customHeight="1" x14ac:dyDescent="0.2">
      <c r="A243" s="617">
        <v>39</v>
      </c>
      <c r="B243" s="495" t="s">
        <v>491</v>
      </c>
      <c r="C243" s="556" t="s">
        <v>415</v>
      </c>
      <c r="D243" s="496"/>
      <c r="E243" s="496"/>
      <c r="F243" s="620"/>
      <c r="G243" s="618"/>
    </row>
    <row r="244" spans="1:7" ht="16.5" customHeight="1" x14ac:dyDescent="0.2">
      <c r="A244" s="617">
        <v>40</v>
      </c>
      <c r="B244" s="495" t="s">
        <v>492</v>
      </c>
      <c r="C244" s="556" t="s">
        <v>415</v>
      </c>
      <c r="D244" s="496"/>
      <c r="E244" s="496"/>
      <c r="F244" s="620"/>
      <c r="G244" s="618"/>
    </row>
    <row r="245" spans="1:7" ht="18.75" customHeight="1" x14ac:dyDescent="0.2">
      <c r="A245" s="617">
        <v>41</v>
      </c>
      <c r="B245" s="495" t="s">
        <v>493</v>
      </c>
      <c r="C245" s="556" t="s">
        <v>415</v>
      </c>
      <c r="D245" s="496"/>
      <c r="E245" s="496"/>
      <c r="F245" s="620"/>
      <c r="G245" s="618"/>
    </row>
    <row r="246" spans="1:7" ht="18" customHeight="1" x14ac:dyDescent="0.2">
      <c r="A246" s="617">
        <v>42</v>
      </c>
      <c r="B246" s="495" t="s">
        <v>494</v>
      </c>
      <c r="C246" s="556" t="s">
        <v>415</v>
      </c>
      <c r="D246" s="496"/>
      <c r="E246" s="496"/>
      <c r="F246" s="620"/>
      <c r="G246" s="618"/>
    </row>
    <row r="247" spans="1:7" ht="24" customHeight="1" x14ac:dyDescent="0.2">
      <c r="A247" s="617">
        <v>43</v>
      </c>
      <c r="B247" s="495" t="s">
        <v>495</v>
      </c>
      <c r="C247" s="556" t="s">
        <v>415</v>
      </c>
      <c r="D247" s="496"/>
      <c r="E247" s="496"/>
      <c r="F247" s="620"/>
      <c r="G247" s="618"/>
    </row>
    <row r="248" spans="1:7" ht="27" customHeight="1" x14ac:dyDescent="0.2">
      <c r="A248" s="617">
        <v>44</v>
      </c>
      <c r="B248" s="495" t="s">
        <v>496</v>
      </c>
      <c r="C248" s="556" t="s">
        <v>415</v>
      </c>
      <c r="D248" s="496"/>
      <c r="E248" s="496"/>
      <c r="F248" s="620"/>
      <c r="G248" s="618"/>
    </row>
    <row r="249" spans="1:7" ht="25.5" customHeight="1" x14ac:dyDescent="0.2">
      <c r="A249" s="617">
        <v>45</v>
      </c>
      <c r="B249" s="495" t="s">
        <v>497</v>
      </c>
      <c r="C249" s="556" t="s">
        <v>415</v>
      </c>
      <c r="D249" s="496"/>
      <c r="E249" s="496"/>
      <c r="F249" s="620"/>
      <c r="G249" s="618"/>
    </row>
    <row r="250" spans="1:7" ht="25.5" customHeight="1" x14ac:dyDescent="0.2">
      <c r="A250" s="617">
        <v>46</v>
      </c>
      <c r="B250" s="495" t="s">
        <v>498</v>
      </c>
      <c r="C250" s="556" t="s">
        <v>415</v>
      </c>
      <c r="D250" s="496"/>
      <c r="E250" s="496"/>
      <c r="F250" s="620"/>
      <c r="G250" s="618"/>
    </row>
    <row r="251" spans="1:7" ht="28.5" customHeight="1" x14ac:dyDescent="0.2">
      <c r="A251" s="617">
        <v>47</v>
      </c>
      <c r="B251" s="495" t="s">
        <v>499</v>
      </c>
      <c r="C251" s="556" t="s">
        <v>415</v>
      </c>
      <c r="D251" s="496"/>
      <c r="E251" s="496"/>
      <c r="F251" s="620"/>
      <c r="G251" s="618"/>
    </row>
    <row r="252" spans="1:7" ht="26.25" customHeight="1" x14ac:dyDescent="0.2">
      <c r="A252" s="617">
        <v>48</v>
      </c>
      <c r="B252" s="487" t="s">
        <v>414</v>
      </c>
      <c r="C252" s="556" t="s">
        <v>415</v>
      </c>
      <c r="D252" s="496"/>
      <c r="E252" s="496"/>
      <c r="F252" s="620"/>
      <c r="G252" s="618"/>
    </row>
    <row r="253" spans="1:7" ht="18.75" customHeight="1" x14ac:dyDescent="0.2">
      <c r="A253" s="617">
        <v>49</v>
      </c>
      <c r="B253" s="495" t="s">
        <v>500</v>
      </c>
      <c r="C253" s="556" t="s">
        <v>415</v>
      </c>
      <c r="D253" s="496"/>
      <c r="E253" s="496"/>
      <c r="F253" s="619"/>
      <c r="G253" s="620"/>
    </row>
    <row r="254" spans="1:7" ht="22.5" customHeight="1" x14ac:dyDescent="0.2">
      <c r="A254" s="617">
        <v>50</v>
      </c>
      <c r="B254" s="495" t="s">
        <v>501</v>
      </c>
      <c r="C254" s="556" t="s">
        <v>415</v>
      </c>
      <c r="D254" s="496"/>
      <c r="E254" s="496"/>
      <c r="F254" s="618"/>
      <c r="G254" s="620"/>
    </row>
    <row r="255" spans="1:7" ht="22.5" customHeight="1" x14ac:dyDescent="0.2">
      <c r="A255" s="617">
        <v>51</v>
      </c>
      <c r="B255" s="495" t="s">
        <v>502</v>
      </c>
      <c r="C255" s="556" t="s">
        <v>415</v>
      </c>
      <c r="D255" s="496"/>
      <c r="E255" s="496"/>
      <c r="F255" s="618"/>
      <c r="G255" s="620"/>
    </row>
    <row r="256" spans="1:7" ht="17.25" customHeight="1" x14ac:dyDescent="0.2">
      <c r="A256" s="617">
        <v>52</v>
      </c>
      <c r="B256" s="495" t="s">
        <v>503</v>
      </c>
      <c r="C256" s="556" t="s">
        <v>415</v>
      </c>
      <c r="D256" s="496"/>
      <c r="E256" s="496"/>
      <c r="F256" s="618"/>
      <c r="G256" s="620"/>
    </row>
    <row r="257" spans="1:7" ht="21" customHeight="1" x14ac:dyDescent="0.2">
      <c r="A257" s="617">
        <v>53</v>
      </c>
      <c r="B257" s="495" t="s">
        <v>504</v>
      </c>
      <c r="C257" s="556" t="s">
        <v>415</v>
      </c>
      <c r="D257" s="496"/>
      <c r="E257" s="496"/>
      <c r="F257" s="618"/>
      <c r="G257" s="620"/>
    </row>
    <row r="258" spans="1:7" ht="20.25" customHeight="1" x14ac:dyDescent="0.2">
      <c r="A258" s="617">
        <v>54</v>
      </c>
      <c r="B258" s="495" t="s">
        <v>505</v>
      </c>
      <c r="C258" s="556" t="s">
        <v>415</v>
      </c>
      <c r="D258" s="496"/>
      <c r="E258" s="496"/>
      <c r="F258" s="618"/>
      <c r="G258" s="620"/>
    </row>
    <row r="259" spans="1:7" ht="21" customHeight="1" x14ac:dyDescent="0.2">
      <c r="A259" s="617">
        <v>55</v>
      </c>
      <c r="B259" s="495" t="s">
        <v>506</v>
      </c>
      <c r="C259" s="556" t="s">
        <v>415</v>
      </c>
      <c r="D259" s="496"/>
      <c r="E259" s="496"/>
      <c r="F259" s="618"/>
      <c r="G259" s="620"/>
    </row>
    <row r="260" spans="1:7" ht="19.5" customHeight="1" x14ac:dyDescent="0.2">
      <c r="A260" s="617">
        <v>56</v>
      </c>
      <c r="B260" s="495" t="s">
        <v>507</v>
      </c>
      <c r="C260" s="556" t="s">
        <v>415</v>
      </c>
      <c r="D260" s="496"/>
      <c r="E260" s="496"/>
      <c r="F260" s="618"/>
      <c r="G260" s="620"/>
    </row>
    <row r="261" spans="1:7" ht="16.5" customHeight="1" x14ac:dyDescent="0.2">
      <c r="A261" s="617">
        <v>57</v>
      </c>
      <c r="B261" s="495" t="s">
        <v>508</v>
      </c>
      <c r="C261" s="556" t="s">
        <v>415</v>
      </c>
      <c r="D261" s="496"/>
      <c r="E261" s="496"/>
      <c r="F261" s="618"/>
      <c r="G261" s="620"/>
    </row>
    <row r="262" spans="1:7" ht="23.25" customHeight="1" x14ac:dyDescent="0.2">
      <c r="A262" s="617">
        <v>58</v>
      </c>
      <c r="B262" s="495" t="s">
        <v>509</v>
      </c>
      <c r="C262" s="556" t="s">
        <v>415</v>
      </c>
      <c r="D262" s="496"/>
      <c r="E262" s="496"/>
      <c r="F262" s="618"/>
      <c r="G262" s="620"/>
    </row>
    <row r="263" spans="1:7" ht="20.25" customHeight="1" x14ac:dyDescent="0.2">
      <c r="A263" s="617">
        <v>59</v>
      </c>
      <c r="B263" s="495" t="s">
        <v>510</v>
      </c>
      <c r="C263" s="556" t="s">
        <v>415</v>
      </c>
      <c r="D263" s="496"/>
      <c r="E263" s="496"/>
      <c r="F263" s="618"/>
      <c r="G263" s="620"/>
    </row>
    <row r="264" spans="1:7" ht="27.75" customHeight="1" x14ac:dyDescent="0.2">
      <c r="A264" s="617">
        <v>60</v>
      </c>
      <c r="B264" s="495" t="s">
        <v>511</v>
      </c>
      <c r="C264" s="556" t="s">
        <v>415</v>
      </c>
      <c r="D264" s="496"/>
      <c r="E264" s="496"/>
      <c r="F264" s="618"/>
      <c r="G264" s="620"/>
    </row>
    <row r="265" spans="1:7" ht="21.75" customHeight="1" x14ac:dyDescent="0.2">
      <c r="A265" s="617">
        <v>61</v>
      </c>
      <c r="B265" s="495" t="s">
        <v>512</v>
      </c>
      <c r="C265" s="556" t="s">
        <v>415</v>
      </c>
      <c r="D265" s="496"/>
      <c r="E265" s="496"/>
      <c r="F265" s="618"/>
      <c r="G265" s="620"/>
    </row>
    <row r="266" spans="1:7" ht="24" customHeight="1" x14ac:dyDescent="0.2">
      <c r="A266" s="617">
        <v>62</v>
      </c>
      <c r="B266" s="495" t="s">
        <v>513</v>
      </c>
      <c r="C266" s="556" t="s">
        <v>415</v>
      </c>
      <c r="D266" s="496"/>
      <c r="E266" s="496"/>
      <c r="F266" s="618"/>
      <c r="G266" s="620"/>
    </row>
    <row r="267" spans="1:7" ht="24" customHeight="1" x14ac:dyDescent="0.2">
      <c r="A267" s="617">
        <v>63</v>
      </c>
      <c r="B267" s="495" t="s">
        <v>514</v>
      </c>
      <c r="C267" s="556" t="s">
        <v>415</v>
      </c>
      <c r="D267" s="496"/>
      <c r="E267" s="496"/>
      <c r="F267" s="618"/>
      <c r="G267" s="620"/>
    </row>
    <row r="268" spans="1:7" ht="21.75" customHeight="1" x14ac:dyDescent="0.2">
      <c r="A268" s="617">
        <v>64</v>
      </c>
      <c r="B268" s="495" t="s">
        <v>515</v>
      </c>
      <c r="C268" s="556" t="s">
        <v>415</v>
      </c>
      <c r="D268" s="496"/>
      <c r="E268" s="496"/>
      <c r="F268" s="618"/>
      <c r="G268" s="620"/>
    </row>
    <row r="269" spans="1:7" ht="16.5" customHeight="1" x14ac:dyDescent="0.2">
      <c r="A269" s="617">
        <v>65</v>
      </c>
      <c r="B269" s="495" t="s">
        <v>516</v>
      </c>
      <c r="C269" s="556" t="s">
        <v>415</v>
      </c>
      <c r="D269" s="496"/>
      <c r="E269" s="496"/>
      <c r="F269" s="618"/>
      <c r="G269" s="620"/>
    </row>
    <row r="270" spans="1:7" ht="17.25" customHeight="1" x14ac:dyDescent="0.2">
      <c r="A270" s="617">
        <v>66</v>
      </c>
      <c r="B270" s="495" t="s">
        <v>517</v>
      </c>
      <c r="C270" s="556" t="s">
        <v>415</v>
      </c>
      <c r="D270" s="496"/>
      <c r="E270" s="496"/>
      <c r="F270" s="618"/>
      <c r="G270" s="620"/>
    </row>
    <row r="271" spans="1:7" ht="16.5" customHeight="1" x14ac:dyDescent="0.2">
      <c r="A271" s="617">
        <v>67</v>
      </c>
      <c r="B271" s="495" t="s">
        <v>739</v>
      </c>
      <c r="C271" s="556" t="s">
        <v>415</v>
      </c>
      <c r="D271" s="496"/>
      <c r="E271" s="496"/>
      <c r="F271" s="618"/>
      <c r="G271" s="620"/>
    </row>
    <row r="272" spans="1:7" ht="17.25" customHeight="1" x14ac:dyDescent="0.2">
      <c r="A272" s="617">
        <v>68</v>
      </c>
      <c r="B272" s="495" t="s">
        <v>518</v>
      </c>
      <c r="C272" s="556" t="s">
        <v>415</v>
      </c>
      <c r="D272" s="496"/>
      <c r="E272" s="496"/>
      <c r="F272" s="618"/>
      <c r="G272" s="620"/>
    </row>
    <row r="273" spans="1:8" ht="27.75" customHeight="1" x14ac:dyDescent="0.2">
      <c r="A273" s="617">
        <v>69</v>
      </c>
      <c r="B273" s="495" t="s">
        <v>519</v>
      </c>
      <c r="C273" s="556" t="s">
        <v>415</v>
      </c>
      <c r="D273" s="496"/>
      <c r="E273" s="496"/>
      <c r="F273" s="618"/>
      <c r="G273" s="620"/>
    </row>
    <row r="274" spans="1:8" ht="24" customHeight="1" x14ac:dyDescent="0.2">
      <c r="A274" s="617">
        <v>70</v>
      </c>
      <c r="B274" s="495" t="s">
        <v>520</v>
      </c>
      <c r="C274" s="556" t="s">
        <v>415</v>
      </c>
      <c r="D274" s="496"/>
      <c r="E274" s="496"/>
      <c r="F274" s="618"/>
      <c r="G274" s="620"/>
    </row>
    <row r="275" spans="1:8" ht="21" customHeight="1" x14ac:dyDescent="0.2">
      <c r="A275" s="617">
        <v>71</v>
      </c>
      <c r="B275" s="495" t="s">
        <v>521</v>
      </c>
      <c r="C275" s="556" t="s">
        <v>415</v>
      </c>
      <c r="D275" s="496"/>
      <c r="E275" s="496"/>
      <c r="F275" s="618"/>
      <c r="G275" s="620"/>
    </row>
    <row r="276" spans="1:8" ht="24" customHeight="1" x14ac:dyDescent="0.2">
      <c r="A276" s="617">
        <v>72</v>
      </c>
      <c r="B276" s="495" t="s">
        <v>523</v>
      </c>
      <c r="C276" s="556" t="s">
        <v>415</v>
      </c>
      <c r="D276" s="496"/>
      <c r="E276" s="496"/>
      <c r="F276" s="618"/>
      <c r="G276" s="620"/>
    </row>
    <row r="277" spans="1:8" ht="28.5" customHeight="1" x14ac:dyDescent="0.2">
      <c r="A277" s="617">
        <v>73</v>
      </c>
      <c r="B277" s="495" t="s">
        <v>522</v>
      </c>
      <c r="C277" s="556" t="s">
        <v>415</v>
      </c>
      <c r="D277" s="496"/>
      <c r="E277" s="496"/>
      <c r="F277" s="618"/>
      <c r="G277" s="620"/>
    </row>
    <row r="278" spans="1:8" ht="21" customHeight="1" x14ac:dyDescent="0.2">
      <c r="A278" s="617">
        <v>74</v>
      </c>
      <c r="B278" s="495" t="s">
        <v>524</v>
      </c>
      <c r="C278" s="556" t="s">
        <v>415</v>
      </c>
      <c r="D278" s="496"/>
      <c r="E278" s="496"/>
      <c r="F278" s="618"/>
      <c r="G278" s="620"/>
    </row>
    <row r="279" spans="1:8" ht="18.75" customHeight="1" x14ac:dyDescent="0.2">
      <c r="A279" s="617">
        <v>75</v>
      </c>
      <c r="B279" s="495" t="s">
        <v>525</v>
      </c>
      <c r="C279" s="556" t="s">
        <v>415</v>
      </c>
      <c r="D279" s="496"/>
      <c r="E279" s="496"/>
      <c r="F279" s="618"/>
      <c r="G279" s="620"/>
    </row>
    <row r="280" spans="1:8" ht="17.25" customHeight="1" x14ac:dyDescent="0.2">
      <c r="A280" s="617">
        <v>76</v>
      </c>
      <c r="B280" s="497" t="s">
        <v>526</v>
      </c>
      <c r="C280" s="532" t="s">
        <v>415</v>
      </c>
      <c r="D280" s="498"/>
      <c r="E280" s="498"/>
      <c r="F280" s="621"/>
      <c r="G280" s="622"/>
    </row>
    <row r="281" spans="1:8" x14ac:dyDescent="0.2">
      <c r="A281" s="686" t="s">
        <v>17</v>
      </c>
      <c r="B281" s="687"/>
      <c r="C281" s="687"/>
      <c r="D281" s="688"/>
      <c r="E281" s="623">
        <v>3182.7</v>
      </c>
      <c r="F281" s="623">
        <v>3763</v>
      </c>
      <c r="G281" s="623">
        <v>3399</v>
      </c>
    </row>
    <row r="282" spans="1:8" x14ac:dyDescent="0.2">
      <c r="A282" s="686" t="s">
        <v>17</v>
      </c>
      <c r="B282" s="687"/>
      <c r="C282" s="687"/>
      <c r="D282" s="688"/>
      <c r="E282" s="623">
        <f>E281+E203+E141+E107+E94+E90+E83+E75+E68+E51+E45+E19+E10</f>
        <v>66981.75</v>
      </c>
      <c r="F282" s="623">
        <f>F281+F203+F141+F107+F94+F90+F83+F75+F68+F51+F45+F19+F10</f>
        <v>71310.97099999999</v>
      </c>
      <c r="G282" s="623">
        <f>G281+G203+G141+G107+G94+G90+G83+G75+G68+G51+G45+G19+G10</f>
        <v>55466.989000000001</v>
      </c>
      <c r="H282" s="266">
        <f>SUM(E282:G282)</f>
        <v>193759.71</v>
      </c>
    </row>
    <row r="283" spans="1:8" customFormat="1" ht="15" x14ac:dyDescent="0.25">
      <c r="A283" s="481" t="s">
        <v>446</v>
      </c>
      <c r="B283" s="481"/>
      <c r="C283" s="482"/>
    </row>
    <row r="284" spans="1:8" customFormat="1" ht="15" x14ac:dyDescent="0.25">
      <c r="A284" s="481" t="s">
        <v>445</v>
      </c>
      <c r="B284" s="481"/>
      <c r="C284" s="482"/>
    </row>
    <row r="285" spans="1:8" customFormat="1" ht="15" x14ac:dyDescent="0.25">
      <c r="A285" s="481" t="s">
        <v>447</v>
      </c>
      <c r="B285" s="481"/>
      <c r="C285" s="482"/>
    </row>
    <row r="286" spans="1:8" customFormat="1" ht="15" x14ac:dyDescent="0.25">
      <c r="A286" s="685" t="s">
        <v>454</v>
      </c>
      <c r="B286" s="685"/>
      <c r="C286" s="685"/>
    </row>
    <row r="287" spans="1:8" customFormat="1" ht="15" x14ac:dyDescent="0.25">
      <c r="A287" s="685"/>
      <c r="B287" s="685"/>
      <c r="C287" s="685"/>
    </row>
    <row r="288" spans="1:8" customFormat="1" ht="15" x14ac:dyDescent="0.25">
      <c r="A288" s="685"/>
      <c r="B288" s="685"/>
      <c r="C288" s="685"/>
    </row>
  </sheetData>
  <mergeCells count="39">
    <mergeCell ref="A203:D203"/>
    <mergeCell ref="A83:D83"/>
    <mergeCell ref="A108:D108"/>
    <mergeCell ref="D125:D127"/>
    <mergeCell ref="A90:D90"/>
    <mergeCell ref="A142:D142"/>
    <mergeCell ref="A91:G91"/>
    <mergeCell ref="A68:D68"/>
    <mergeCell ref="A75:D75"/>
    <mergeCell ref="A286:C288"/>
    <mergeCell ref="A282:D282"/>
    <mergeCell ref="F1:G1"/>
    <mergeCell ref="B3:B4"/>
    <mergeCell ref="C3:C4"/>
    <mergeCell ref="A6:C6"/>
    <mergeCell ref="D3:D4"/>
    <mergeCell ref="A5:G5"/>
    <mergeCell ref="A3:A4"/>
    <mergeCell ref="A2:G2"/>
    <mergeCell ref="E3:G3"/>
    <mergeCell ref="A281:D281"/>
    <mergeCell ref="A107:D107"/>
    <mergeCell ref="A141:D141"/>
    <mergeCell ref="A11:D11"/>
    <mergeCell ref="A10:D10"/>
    <mergeCell ref="A45:D45"/>
    <mergeCell ref="A95:D95"/>
    <mergeCell ref="A69:D69"/>
    <mergeCell ref="A76:D76"/>
    <mergeCell ref="A84:D84"/>
    <mergeCell ref="A46:D46"/>
    <mergeCell ref="A20:D20"/>
    <mergeCell ref="B12:B13"/>
    <mergeCell ref="A12:A13"/>
    <mergeCell ref="A92:D92"/>
    <mergeCell ref="A94:D94"/>
    <mergeCell ref="A51:D51"/>
    <mergeCell ref="A19:D19"/>
    <mergeCell ref="A52:D52"/>
  </mergeCells>
  <conditionalFormatting sqref="D227">
    <cfRule type="expression" dxfId="11" priority="12" stopIfTrue="1">
      <formula>LEN(TRIM(D227))&gt;0</formula>
    </cfRule>
  </conditionalFormatting>
  <conditionalFormatting sqref="E231:E238">
    <cfRule type="expression" dxfId="10" priority="11" stopIfTrue="1">
      <formula>LEN(TRIM(E231))&gt;0</formula>
    </cfRule>
  </conditionalFormatting>
  <conditionalFormatting sqref="E239:E252">
    <cfRule type="expression" dxfId="9" priority="10" stopIfTrue="1">
      <formula>LEN(TRIM(E239))&gt;0</formula>
    </cfRule>
  </conditionalFormatting>
  <conditionalFormatting sqref="F253:F273">
    <cfRule type="expression" dxfId="8" priority="9" stopIfTrue="1">
      <formula>LEN(TRIM(F253))&gt;0</formula>
    </cfRule>
  </conditionalFormatting>
  <conditionalFormatting sqref="F274">
    <cfRule type="expression" dxfId="7" priority="8" stopIfTrue="1">
      <formula>LEN(TRIM(F274))&gt;0</formula>
    </cfRule>
  </conditionalFormatting>
  <conditionalFormatting sqref="F275:F280">
    <cfRule type="expression" dxfId="6" priority="7" stopIfTrue="1">
      <formula>LEN(TRIM(F275))&gt;0</formula>
    </cfRule>
  </conditionalFormatting>
  <conditionalFormatting sqref="E227">
    <cfRule type="expression" dxfId="5" priority="6" stopIfTrue="1">
      <formula>LEN(TRIM(E227))&gt;0</formula>
    </cfRule>
  </conditionalFormatting>
  <conditionalFormatting sqref="F231:F238">
    <cfRule type="expression" dxfId="4" priority="5" stopIfTrue="1">
      <formula>LEN(TRIM(F231))&gt;0</formula>
    </cfRule>
  </conditionalFormatting>
  <conditionalFormatting sqref="F239:F252">
    <cfRule type="expression" dxfId="3" priority="4" stopIfTrue="1">
      <formula>LEN(TRIM(F239))&gt;0</formula>
    </cfRule>
  </conditionalFormatting>
  <conditionalFormatting sqref="G253:G273">
    <cfRule type="expression" dxfId="2" priority="3" stopIfTrue="1">
      <formula>LEN(TRIM(G253))&gt;0</formula>
    </cfRule>
  </conditionalFormatting>
  <conditionalFormatting sqref="G274">
    <cfRule type="expression" dxfId="1" priority="2" stopIfTrue="1">
      <formula>LEN(TRIM(G274))&gt;0</formula>
    </cfRule>
  </conditionalFormatting>
  <conditionalFormatting sqref="G275:G280">
    <cfRule type="expression" dxfId="0" priority="1" stopIfTrue="1">
      <formula>LEN(TRIM(G275))&gt;0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1"/>
  <sheetViews>
    <sheetView zoomScaleNormal="100" zoomScaleSheetLayoutView="100" workbookViewId="0">
      <pane ySplit="7" topLeftCell="A20" activePane="bottomLeft" state="frozen"/>
      <selection pane="bottomLeft" activeCell="G34" sqref="G34"/>
    </sheetView>
  </sheetViews>
  <sheetFormatPr defaultColWidth="9.140625" defaultRowHeight="12.75" x14ac:dyDescent="0.2"/>
  <cols>
    <col min="1" max="1" width="3.42578125" style="337" customWidth="1"/>
    <col min="2" max="2" width="31.5703125" style="265" customWidth="1"/>
    <col min="3" max="3" width="4.140625" style="266" hidden="1" customWidth="1"/>
    <col min="4" max="4" width="6.42578125" style="78" customWidth="1"/>
    <col min="5" max="5" width="8.140625" style="78" customWidth="1"/>
    <col min="6" max="6" width="9.140625" style="341" customWidth="1"/>
    <col min="7" max="7" width="10.5703125" style="341" customWidth="1"/>
    <col min="8" max="8" width="9.140625" style="341" customWidth="1"/>
    <col min="9" max="11" width="9.42578125" style="321" customWidth="1"/>
    <col min="12" max="13" width="9.5703125" style="321" customWidth="1"/>
    <col min="14" max="14" width="8.42578125" style="321" customWidth="1"/>
    <col min="15" max="16" width="9.140625" style="266" customWidth="1"/>
    <col min="17" max="17" width="9.42578125" style="266" customWidth="1"/>
    <col min="18" max="23" width="9.5703125" style="266" customWidth="1"/>
    <col min="24" max="24" width="32.5703125" style="266" customWidth="1"/>
    <col min="25" max="25" width="9.42578125" style="266" customWidth="1"/>
    <col min="26" max="16384" width="9.140625" style="266"/>
  </cols>
  <sheetData>
    <row r="1" spans="1:25" ht="26.45" customHeight="1" x14ac:dyDescent="0.2">
      <c r="A1" s="336"/>
      <c r="C1" s="265"/>
      <c r="D1" s="301"/>
      <c r="E1" s="301"/>
      <c r="I1" s="267"/>
      <c r="J1" s="267"/>
      <c r="K1" s="267"/>
      <c r="L1" s="701" t="s">
        <v>97</v>
      </c>
      <c r="M1" s="701"/>
      <c r="N1" s="701"/>
      <c r="O1" s="701"/>
      <c r="P1" s="702"/>
      <c r="Q1" s="702"/>
      <c r="R1" s="702"/>
      <c r="S1" s="702"/>
      <c r="T1" s="702"/>
      <c r="U1" s="702"/>
      <c r="V1" s="702"/>
      <c r="W1" s="702"/>
      <c r="X1" s="702"/>
    </row>
    <row r="2" spans="1:25" ht="16.5" customHeight="1" x14ac:dyDescent="0.25">
      <c r="A2" s="722" t="s">
        <v>260</v>
      </c>
      <c r="B2" s="722"/>
      <c r="C2" s="722"/>
      <c r="D2" s="722"/>
      <c r="E2" s="722"/>
      <c r="F2" s="722"/>
      <c r="G2" s="722"/>
      <c r="H2" s="722"/>
      <c r="I2" s="722"/>
      <c r="J2" s="722"/>
      <c r="K2" s="722"/>
      <c r="L2" s="722"/>
      <c r="M2" s="722"/>
      <c r="N2" s="722"/>
      <c r="O2" s="722"/>
      <c r="P2" s="722"/>
      <c r="Q2" s="722"/>
      <c r="R2" s="722"/>
      <c r="S2" s="722"/>
      <c r="T2" s="722"/>
      <c r="U2" s="722"/>
      <c r="V2" s="722"/>
      <c r="W2" s="722"/>
      <c r="X2" s="722"/>
    </row>
    <row r="3" spans="1:25" ht="12" customHeight="1" x14ac:dyDescent="0.2">
      <c r="A3" s="336"/>
      <c r="C3" s="265"/>
      <c r="D3" s="301"/>
      <c r="E3" s="301"/>
      <c r="I3" s="267"/>
      <c r="J3" s="267"/>
      <c r="K3" s="267"/>
      <c r="L3" s="267"/>
      <c r="M3" s="267"/>
      <c r="N3" s="267"/>
      <c r="O3" s="267"/>
      <c r="P3" s="267"/>
      <c r="Q3" s="267"/>
      <c r="R3" s="267"/>
      <c r="S3" s="267"/>
      <c r="T3" s="267"/>
      <c r="U3" s="703" t="s">
        <v>304</v>
      </c>
      <c r="V3" s="703"/>
      <c r="W3" s="703"/>
      <c r="X3" s="703"/>
    </row>
    <row r="4" spans="1:25" ht="22.5" customHeight="1" x14ac:dyDescent="0.2">
      <c r="A4" s="734" t="s">
        <v>160</v>
      </c>
      <c r="B4" s="736" t="s">
        <v>0</v>
      </c>
      <c r="C4" s="738" t="s">
        <v>27</v>
      </c>
      <c r="D4" s="723" t="s">
        <v>16</v>
      </c>
      <c r="E4" s="724"/>
      <c r="F4" s="750" t="s">
        <v>18</v>
      </c>
      <c r="G4" s="751"/>
      <c r="H4" s="752"/>
      <c r="I4" s="750" t="s">
        <v>1</v>
      </c>
      <c r="J4" s="751"/>
      <c r="K4" s="752"/>
      <c r="L4" s="710" t="s">
        <v>336</v>
      </c>
      <c r="M4" s="711"/>
      <c r="N4" s="712"/>
      <c r="O4" s="710" t="s">
        <v>2</v>
      </c>
      <c r="P4" s="711"/>
      <c r="Q4" s="712"/>
      <c r="R4" s="716" t="s">
        <v>3</v>
      </c>
      <c r="S4" s="717"/>
      <c r="T4" s="718"/>
      <c r="U4" s="730" t="s">
        <v>22</v>
      </c>
      <c r="V4" s="730"/>
      <c r="W4" s="730"/>
      <c r="X4" s="704" t="s">
        <v>290</v>
      </c>
    </row>
    <row r="5" spans="1:25" ht="15.75" customHeight="1" x14ac:dyDescent="0.2">
      <c r="A5" s="735"/>
      <c r="B5" s="737"/>
      <c r="C5" s="739"/>
      <c r="D5" s="725"/>
      <c r="E5" s="726"/>
      <c r="F5" s="753"/>
      <c r="G5" s="754"/>
      <c r="H5" s="755"/>
      <c r="I5" s="753"/>
      <c r="J5" s="754"/>
      <c r="K5" s="755"/>
      <c r="L5" s="713"/>
      <c r="M5" s="714"/>
      <c r="N5" s="715"/>
      <c r="O5" s="713"/>
      <c r="P5" s="714"/>
      <c r="Q5" s="715"/>
      <c r="R5" s="719"/>
      <c r="S5" s="720"/>
      <c r="T5" s="721"/>
      <c r="U5" s="730"/>
      <c r="V5" s="730"/>
      <c r="W5" s="730"/>
      <c r="X5" s="705"/>
    </row>
    <row r="6" spans="1:25" ht="15.75" customHeight="1" x14ac:dyDescent="0.2">
      <c r="A6" s="390"/>
      <c r="B6" s="391"/>
      <c r="C6" s="391"/>
      <c r="D6" s="419"/>
      <c r="E6" s="420"/>
      <c r="F6" s="727" t="s">
        <v>17</v>
      </c>
      <c r="G6" s="728"/>
      <c r="H6" s="729"/>
      <c r="I6" s="727" t="s">
        <v>6</v>
      </c>
      <c r="J6" s="728"/>
      <c r="K6" s="729"/>
      <c r="L6" s="400"/>
      <c r="M6" s="401" t="s">
        <v>7</v>
      </c>
      <c r="N6" s="401"/>
      <c r="O6" s="707" t="s">
        <v>8</v>
      </c>
      <c r="P6" s="708"/>
      <c r="Q6" s="709"/>
      <c r="R6" s="402"/>
      <c r="S6" s="403" t="s">
        <v>9</v>
      </c>
      <c r="T6" s="389"/>
      <c r="U6" s="731" t="s">
        <v>78</v>
      </c>
      <c r="V6" s="732"/>
      <c r="W6" s="733"/>
      <c r="X6" s="706"/>
    </row>
    <row r="7" spans="1:25" ht="42.6" customHeight="1" x14ac:dyDescent="0.2">
      <c r="A7" s="365"/>
      <c r="B7" s="305"/>
      <c r="C7" s="305"/>
      <c r="D7" s="366" t="s">
        <v>4</v>
      </c>
      <c r="E7" s="366" t="s">
        <v>5</v>
      </c>
      <c r="F7" s="22" t="s">
        <v>283</v>
      </c>
      <c r="G7" s="100" t="s">
        <v>284</v>
      </c>
      <c r="H7" s="22" t="s">
        <v>282</v>
      </c>
      <c r="I7" s="22" t="s">
        <v>283</v>
      </c>
      <c r="J7" s="22" t="s">
        <v>284</v>
      </c>
      <c r="K7" s="22" t="s">
        <v>282</v>
      </c>
      <c r="L7" s="22" t="s">
        <v>283</v>
      </c>
      <c r="M7" s="100" t="s">
        <v>284</v>
      </c>
      <c r="N7" s="22" t="s">
        <v>282</v>
      </c>
      <c r="O7" s="22" t="s">
        <v>283</v>
      </c>
      <c r="P7" s="22" t="s">
        <v>284</v>
      </c>
      <c r="Q7" s="22" t="s">
        <v>282</v>
      </c>
      <c r="R7" s="22" t="s">
        <v>283</v>
      </c>
      <c r="S7" s="100" t="s">
        <v>284</v>
      </c>
      <c r="T7" s="22" t="s">
        <v>282</v>
      </c>
      <c r="U7" s="22" t="s">
        <v>283</v>
      </c>
      <c r="V7" s="22" t="s">
        <v>284</v>
      </c>
      <c r="W7" s="22" t="s">
        <v>282</v>
      </c>
      <c r="X7" s="404"/>
    </row>
    <row r="8" spans="1:25" ht="15" customHeight="1" x14ac:dyDescent="0.2">
      <c r="A8" s="758" t="s">
        <v>340</v>
      </c>
      <c r="B8" s="759"/>
      <c r="C8" s="759"/>
      <c r="D8" s="759"/>
      <c r="E8" s="759"/>
      <c r="F8" s="759"/>
      <c r="G8" s="759"/>
      <c r="H8" s="759"/>
      <c r="I8" s="759"/>
      <c r="J8" s="759"/>
      <c r="K8" s="759"/>
      <c r="L8" s="759"/>
      <c r="M8" s="759"/>
      <c r="N8" s="759"/>
      <c r="O8" s="759"/>
      <c r="P8" s="759"/>
      <c r="Q8" s="759"/>
      <c r="R8" s="759"/>
      <c r="S8" s="759"/>
      <c r="T8" s="759"/>
      <c r="U8" s="760"/>
      <c r="V8" s="384"/>
      <c r="W8" s="384"/>
      <c r="X8" s="384"/>
    </row>
    <row r="9" spans="1:25" ht="42" customHeight="1" x14ac:dyDescent="0.2">
      <c r="A9" s="408" t="s">
        <v>140</v>
      </c>
      <c r="B9" s="426" t="s">
        <v>150</v>
      </c>
      <c r="C9" s="425" t="s">
        <v>124</v>
      </c>
      <c r="D9" s="29" t="s">
        <v>37</v>
      </c>
      <c r="E9" s="29" t="s">
        <v>26</v>
      </c>
      <c r="F9" s="461">
        <f>I9+L9+O9+R9+U9</f>
        <v>654.1</v>
      </c>
      <c r="G9" s="461">
        <f>J9+M9+P9+S9+V9</f>
        <v>654.1</v>
      </c>
      <c r="H9" s="461">
        <f>+G9-F9</f>
        <v>0</v>
      </c>
      <c r="I9" s="459">
        <v>21.6</v>
      </c>
      <c r="J9" s="459">
        <v>32</v>
      </c>
      <c r="K9" s="459">
        <f>+J9-I9</f>
        <v>10.399999999999999</v>
      </c>
      <c r="L9" s="459">
        <v>555.4</v>
      </c>
      <c r="M9" s="459">
        <v>555.6</v>
      </c>
      <c r="N9" s="459">
        <f>+M9-L9</f>
        <v>0.20000000000004547</v>
      </c>
      <c r="O9" s="459"/>
      <c r="P9" s="459"/>
      <c r="Q9" s="459"/>
      <c r="R9" s="459"/>
      <c r="S9" s="459"/>
      <c r="T9" s="459"/>
      <c r="U9" s="459">
        <v>77.099999999999994</v>
      </c>
      <c r="V9" s="459">
        <v>66.5</v>
      </c>
      <c r="W9" s="459">
        <f>+V9-U9</f>
        <v>-10.599999999999994</v>
      </c>
      <c r="X9" s="427" t="s">
        <v>353</v>
      </c>
    </row>
    <row r="10" spans="1:25" ht="54.75" customHeight="1" x14ac:dyDescent="0.2">
      <c r="A10" s="349" t="s">
        <v>105</v>
      </c>
      <c r="B10" s="291" t="s">
        <v>131</v>
      </c>
      <c r="C10" s="281" t="s">
        <v>124</v>
      </c>
      <c r="D10" s="28" t="s">
        <v>37</v>
      </c>
      <c r="E10" s="28" t="s">
        <v>26</v>
      </c>
      <c r="F10" s="461">
        <f t="shared" ref="F10:G12" si="0">I10+L10+O10+R10+U10</f>
        <v>69.400000000000006</v>
      </c>
      <c r="G10" s="461">
        <f t="shared" si="0"/>
        <v>69.400000000000006</v>
      </c>
      <c r="H10" s="461">
        <f>+G10-F10</f>
        <v>0</v>
      </c>
      <c r="I10" s="269">
        <v>10.4</v>
      </c>
      <c r="J10" s="269">
        <f>10.4</f>
        <v>10.4</v>
      </c>
      <c r="K10" s="269"/>
      <c r="L10" s="269">
        <v>59</v>
      </c>
      <c r="M10" s="269">
        <v>59</v>
      </c>
      <c r="N10" s="269"/>
      <c r="O10" s="269"/>
      <c r="P10" s="269"/>
      <c r="Q10" s="269"/>
      <c r="R10" s="269"/>
      <c r="S10" s="269"/>
      <c r="T10" s="269"/>
      <c r="U10" s="269"/>
      <c r="V10" s="269"/>
      <c r="W10" s="269"/>
      <c r="X10" s="427"/>
    </row>
    <row r="11" spans="1:25" ht="42" customHeight="1" x14ac:dyDescent="0.2">
      <c r="A11" s="350" t="s">
        <v>161</v>
      </c>
      <c r="B11" s="283" t="s">
        <v>328</v>
      </c>
      <c r="C11" s="438" t="s">
        <v>63</v>
      </c>
      <c r="D11" s="13" t="s">
        <v>23</v>
      </c>
      <c r="E11" s="13" t="s">
        <v>75</v>
      </c>
      <c r="F11" s="342">
        <f t="shared" si="0"/>
        <v>1523</v>
      </c>
      <c r="G11" s="342">
        <f t="shared" si="0"/>
        <v>1523</v>
      </c>
      <c r="H11" s="347">
        <f>+G11-F11</f>
        <v>0</v>
      </c>
      <c r="I11" s="270">
        <v>1023</v>
      </c>
      <c r="J11" s="270">
        <v>1023</v>
      </c>
      <c r="K11" s="270"/>
      <c r="L11" s="270"/>
      <c r="M11" s="270"/>
      <c r="N11" s="270"/>
      <c r="O11" s="270"/>
      <c r="P11" s="270"/>
      <c r="Q11" s="270"/>
      <c r="R11" s="270"/>
      <c r="S11" s="270"/>
      <c r="T11" s="270"/>
      <c r="U11" s="270">
        <v>500</v>
      </c>
      <c r="V11" s="270">
        <v>500</v>
      </c>
      <c r="W11" s="270"/>
      <c r="X11" s="270"/>
    </row>
    <row r="12" spans="1:25" ht="59.25" customHeight="1" x14ac:dyDescent="0.2">
      <c r="A12" s="408" t="s">
        <v>162</v>
      </c>
      <c r="B12" s="424" t="s">
        <v>14</v>
      </c>
      <c r="C12" s="268" t="s">
        <v>116</v>
      </c>
      <c r="D12" s="28" t="s">
        <v>25</v>
      </c>
      <c r="E12" s="28" t="s">
        <v>26</v>
      </c>
      <c r="F12" s="458">
        <f t="shared" si="0"/>
        <v>3035.8</v>
      </c>
      <c r="G12" s="458">
        <f>J12+M12+P12+S12+V12</f>
        <v>3038.2000000000003</v>
      </c>
      <c r="H12" s="428">
        <f>+G12-F12</f>
        <v>2.4000000000000909</v>
      </c>
      <c r="I12" s="271">
        <v>1260.5</v>
      </c>
      <c r="J12" s="271">
        <f>1260.5+2.4</f>
        <v>1262.9000000000001</v>
      </c>
      <c r="K12" s="271">
        <f>+J12-I12</f>
        <v>2.4000000000000909</v>
      </c>
      <c r="L12" s="270">
        <v>1621.9</v>
      </c>
      <c r="M12" s="270">
        <v>1621.9</v>
      </c>
      <c r="N12" s="270"/>
      <c r="O12" s="270">
        <v>143.1</v>
      </c>
      <c r="P12" s="270">
        <v>143.1</v>
      </c>
      <c r="Q12" s="278"/>
      <c r="R12" s="269"/>
      <c r="S12" s="269"/>
      <c r="T12" s="269"/>
      <c r="U12" s="269">
        <v>10.3</v>
      </c>
      <c r="V12" s="269">
        <v>10.3</v>
      </c>
      <c r="W12" s="269"/>
      <c r="X12" s="427" t="s">
        <v>354</v>
      </c>
    </row>
    <row r="13" spans="1:25" ht="16.5" customHeight="1" x14ac:dyDescent="0.2">
      <c r="A13" s="351" t="s">
        <v>318</v>
      </c>
      <c r="B13" s="435" t="s">
        <v>322</v>
      </c>
      <c r="C13" s="325"/>
      <c r="D13" s="326"/>
      <c r="E13" s="327" t="s">
        <v>17</v>
      </c>
      <c r="F13" s="328">
        <f>SUM(F9:F12)</f>
        <v>5282.3</v>
      </c>
      <c r="G13" s="328">
        <f>SUM(G9:G12)</f>
        <v>5284.7000000000007</v>
      </c>
      <c r="H13" s="328"/>
      <c r="I13" s="328">
        <f>SUM(I9:I12)</f>
        <v>2315.5</v>
      </c>
      <c r="J13" s="328">
        <f>SUM(J9:J12)</f>
        <v>2328.3000000000002</v>
      </c>
      <c r="K13" s="328"/>
      <c r="L13" s="328">
        <f>SUM(L9:L12)</f>
        <v>2236.3000000000002</v>
      </c>
      <c r="M13" s="328">
        <f>SUM(M9:M12)</f>
        <v>2236.5</v>
      </c>
      <c r="N13" s="328"/>
      <c r="O13" s="328">
        <f>SUM(O9:O12)</f>
        <v>143.1</v>
      </c>
      <c r="P13" s="328">
        <f>SUM(P9:P12)</f>
        <v>143.1</v>
      </c>
      <c r="Q13" s="328"/>
      <c r="R13" s="328">
        <f>SUM(R9:R12)</f>
        <v>0</v>
      </c>
      <c r="S13" s="328">
        <f>SUM(S9:S12)</f>
        <v>0</v>
      </c>
      <c r="T13" s="328"/>
      <c r="U13" s="328">
        <f>SUM(U9:U12)</f>
        <v>587.4</v>
      </c>
      <c r="V13" s="328">
        <f>SUM(V9:V12)</f>
        <v>576.79999999999995</v>
      </c>
      <c r="W13" s="328"/>
      <c r="X13" s="328"/>
    </row>
    <row r="14" spans="1:25" ht="17.25" customHeight="1" x14ac:dyDescent="0.2">
      <c r="A14" s="761" t="s">
        <v>19</v>
      </c>
      <c r="B14" s="762"/>
      <c r="C14" s="762"/>
      <c r="D14" s="762"/>
      <c r="E14" s="762"/>
      <c r="F14" s="762"/>
      <c r="G14" s="762"/>
      <c r="H14" s="762"/>
      <c r="I14" s="762"/>
      <c r="J14" s="762"/>
      <c r="K14" s="762"/>
      <c r="L14" s="762"/>
      <c r="M14" s="762"/>
      <c r="N14" s="762"/>
      <c r="O14" s="762"/>
      <c r="P14" s="762"/>
      <c r="Q14" s="762"/>
      <c r="R14" s="762"/>
      <c r="S14" s="762"/>
      <c r="T14" s="762"/>
      <c r="U14" s="763"/>
      <c r="V14" s="437"/>
      <c r="W14" s="437"/>
      <c r="X14" s="436"/>
    </row>
    <row r="15" spans="1:25" ht="55.5" customHeight="1" x14ac:dyDescent="0.2">
      <c r="A15" s="375" t="s">
        <v>140</v>
      </c>
      <c r="B15" s="273" t="s">
        <v>261</v>
      </c>
      <c r="C15" s="274" t="s">
        <v>63</v>
      </c>
      <c r="D15" s="28">
        <v>2016</v>
      </c>
      <c r="E15" s="28" t="s">
        <v>68</v>
      </c>
      <c r="F15" s="433">
        <f>I15+L15+O15+R15+U15</f>
        <v>741.6</v>
      </c>
      <c r="G15" s="433">
        <f>J15+M15+P15+S15+V15</f>
        <v>741.6</v>
      </c>
      <c r="H15" s="345">
        <f>G15-F15</f>
        <v>0</v>
      </c>
      <c r="I15" s="272">
        <v>741.6</v>
      </c>
      <c r="J15" s="272">
        <v>741.6</v>
      </c>
      <c r="K15" s="272"/>
      <c r="L15" s="272"/>
      <c r="M15" s="272"/>
      <c r="N15" s="272"/>
      <c r="O15" s="272"/>
      <c r="P15" s="272"/>
      <c r="Q15" s="272"/>
      <c r="R15" s="272"/>
      <c r="S15" s="272"/>
      <c r="T15" s="272"/>
      <c r="U15" s="272"/>
      <c r="V15" s="272"/>
      <c r="W15" s="272"/>
      <c r="X15" s="272"/>
      <c r="Y15" s="300"/>
    </row>
    <row r="16" spans="1:25" ht="42.75" customHeight="1" x14ac:dyDescent="0.2">
      <c r="A16" s="352" t="s">
        <v>105</v>
      </c>
      <c r="B16" s="311" t="s">
        <v>85</v>
      </c>
      <c r="C16" s="271"/>
      <c r="D16" s="10" t="s">
        <v>26</v>
      </c>
      <c r="E16" s="10" t="s">
        <v>73</v>
      </c>
      <c r="F16" s="433">
        <f t="shared" ref="F16:G28" si="1">I16+L16+O16+R16+U16</f>
        <v>1097.8</v>
      </c>
      <c r="G16" s="433">
        <f t="shared" si="1"/>
        <v>1097.8</v>
      </c>
      <c r="H16" s="343">
        <f t="shared" ref="H16:H28" si="2">+G16-F16</f>
        <v>0</v>
      </c>
      <c r="I16" s="276">
        <v>965.1</v>
      </c>
      <c r="J16" s="276">
        <v>965.1</v>
      </c>
      <c r="K16" s="276"/>
      <c r="L16" s="276"/>
      <c r="M16" s="276"/>
      <c r="N16" s="276"/>
      <c r="O16" s="276"/>
      <c r="P16" s="276"/>
      <c r="Q16" s="276"/>
      <c r="R16" s="276"/>
      <c r="S16" s="276"/>
      <c r="T16" s="276"/>
      <c r="U16" s="276">
        <v>132.69999999999999</v>
      </c>
      <c r="V16" s="276">
        <v>132.69999999999999</v>
      </c>
      <c r="W16" s="276"/>
      <c r="X16" s="276"/>
    </row>
    <row r="17" spans="1:24" ht="42.75" customHeight="1" x14ac:dyDescent="0.2">
      <c r="A17" s="375" t="s">
        <v>161</v>
      </c>
      <c r="B17" s="311" t="s">
        <v>306</v>
      </c>
      <c r="C17" s="442"/>
      <c r="D17" s="28">
        <v>2022</v>
      </c>
      <c r="E17" s="28" t="s">
        <v>75</v>
      </c>
      <c r="F17" s="343">
        <f t="shared" si="1"/>
        <v>322.5</v>
      </c>
      <c r="G17" s="343">
        <f t="shared" si="1"/>
        <v>322.5</v>
      </c>
      <c r="H17" s="344">
        <f t="shared" si="2"/>
        <v>0</v>
      </c>
      <c r="I17" s="272">
        <v>322.5</v>
      </c>
      <c r="J17" s="272">
        <v>322.5</v>
      </c>
      <c r="K17" s="272"/>
      <c r="L17" s="272"/>
      <c r="M17" s="272"/>
      <c r="N17" s="272"/>
      <c r="O17" s="270"/>
      <c r="P17" s="270"/>
      <c r="Q17" s="270"/>
      <c r="R17" s="270"/>
      <c r="S17" s="270"/>
      <c r="T17" s="270"/>
      <c r="U17" s="270"/>
      <c r="V17" s="270"/>
      <c r="W17" s="270"/>
      <c r="X17" s="270"/>
    </row>
    <row r="18" spans="1:24" ht="42" customHeight="1" x14ac:dyDescent="0.2">
      <c r="A18" s="375" t="s">
        <v>162</v>
      </c>
      <c r="B18" s="440" t="s">
        <v>132</v>
      </c>
      <c r="C18" s="278" t="s">
        <v>63</v>
      </c>
      <c r="D18" s="28">
        <v>2016</v>
      </c>
      <c r="E18" s="28" t="s">
        <v>26</v>
      </c>
      <c r="F18" s="343">
        <f t="shared" si="1"/>
        <v>497.9</v>
      </c>
      <c r="G18" s="343">
        <f t="shared" si="1"/>
        <v>497.9</v>
      </c>
      <c r="H18" s="344">
        <f t="shared" si="2"/>
        <v>0</v>
      </c>
      <c r="I18" s="272">
        <v>225.4</v>
      </c>
      <c r="J18" s="272">
        <v>225.4</v>
      </c>
      <c r="K18" s="272"/>
      <c r="L18" s="272">
        <v>272.5</v>
      </c>
      <c r="M18" s="272">
        <v>272.5</v>
      </c>
      <c r="N18" s="272"/>
      <c r="O18" s="272"/>
      <c r="P18" s="272"/>
      <c r="Q18" s="272"/>
      <c r="R18" s="272"/>
      <c r="S18" s="272"/>
      <c r="T18" s="272"/>
      <c r="U18" s="272"/>
      <c r="V18" s="272"/>
      <c r="W18" s="272"/>
      <c r="X18" s="272"/>
    </row>
    <row r="19" spans="1:24" s="265" customFormat="1" ht="42.75" customHeight="1" x14ac:dyDescent="0.2">
      <c r="A19" s="375" t="s">
        <v>24</v>
      </c>
      <c r="B19" s="379" t="s">
        <v>36</v>
      </c>
      <c r="C19" s="271" t="s">
        <v>74</v>
      </c>
      <c r="D19" s="10" t="s">
        <v>25</v>
      </c>
      <c r="E19" s="10" t="s">
        <v>26</v>
      </c>
      <c r="F19" s="343">
        <f t="shared" si="1"/>
        <v>2953.7000000000003</v>
      </c>
      <c r="G19" s="343">
        <f>J19+M19+P19+S19+V19</f>
        <v>2953.7</v>
      </c>
      <c r="H19" s="406">
        <f t="shared" si="2"/>
        <v>0</v>
      </c>
      <c r="I19" s="277">
        <v>633.79999999999995</v>
      </c>
      <c r="J19" s="277">
        <v>715.8</v>
      </c>
      <c r="K19" s="277">
        <f>+J19-I19</f>
        <v>82</v>
      </c>
      <c r="L19" s="277">
        <v>2131.8000000000002</v>
      </c>
      <c r="M19" s="277">
        <v>2056.4</v>
      </c>
      <c r="N19" s="277">
        <f>+M19-L19</f>
        <v>-75.400000000000091</v>
      </c>
      <c r="O19" s="277">
        <v>188.1</v>
      </c>
      <c r="P19" s="277">
        <v>181.5</v>
      </c>
      <c r="Q19" s="277">
        <f>+P19-O19</f>
        <v>-6.5999999999999943</v>
      </c>
      <c r="R19" s="276"/>
      <c r="S19" s="276"/>
      <c r="T19" s="276"/>
      <c r="U19" s="276"/>
      <c r="V19" s="276"/>
      <c r="W19" s="276"/>
      <c r="X19" s="311" t="s">
        <v>353</v>
      </c>
    </row>
    <row r="20" spans="1:24" ht="44.25" customHeight="1" x14ac:dyDescent="0.2">
      <c r="A20" s="375" t="s">
        <v>31</v>
      </c>
      <c r="B20" s="311" t="s">
        <v>305</v>
      </c>
      <c r="C20" s="270" t="s">
        <v>118</v>
      </c>
      <c r="D20" s="10" t="s">
        <v>25</v>
      </c>
      <c r="E20" s="10" t="s">
        <v>156</v>
      </c>
      <c r="F20" s="343">
        <f t="shared" si="1"/>
        <v>2993.2000000000003</v>
      </c>
      <c r="G20" s="343">
        <f>J20+M20+P20+S20+V20</f>
        <v>2993.2000000000003</v>
      </c>
      <c r="H20" s="343">
        <f t="shared" si="2"/>
        <v>0</v>
      </c>
      <c r="I20" s="276">
        <v>2094.3000000000002</v>
      </c>
      <c r="J20" s="276">
        <v>2094.3000000000002</v>
      </c>
      <c r="K20" s="276"/>
      <c r="L20" s="276">
        <v>826</v>
      </c>
      <c r="M20" s="276">
        <f>826</f>
        <v>826</v>
      </c>
      <c r="N20" s="277"/>
      <c r="O20" s="276">
        <v>72.900000000000006</v>
      </c>
      <c r="P20" s="276">
        <v>72.900000000000006</v>
      </c>
      <c r="Q20" s="277"/>
      <c r="R20" s="276"/>
      <c r="S20" s="276"/>
      <c r="T20" s="276"/>
      <c r="U20" s="276"/>
      <c r="V20" s="276"/>
      <c r="W20" s="276"/>
      <c r="X20" s="311"/>
    </row>
    <row r="21" spans="1:24" ht="29.25" customHeight="1" x14ac:dyDescent="0.2">
      <c r="A21" s="375" t="s">
        <v>163</v>
      </c>
      <c r="B21" s="273" t="s">
        <v>302</v>
      </c>
      <c r="C21" s="274"/>
      <c r="D21" s="28" t="s">
        <v>37</v>
      </c>
      <c r="E21" s="28" t="s">
        <v>26</v>
      </c>
      <c r="F21" s="433">
        <f t="shared" si="1"/>
        <v>1246.0999999999999</v>
      </c>
      <c r="G21" s="433">
        <f t="shared" si="1"/>
        <v>1246.0999999999999</v>
      </c>
      <c r="H21" s="345">
        <f t="shared" si="2"/>
        <v>0</v>
      </c>
      <c r="I21" s="272">
        <v>1246.0999999999999</v>
      </c>
      <c r="J21" s="272">
        <v>1246.0999999999999</v>
      </c>
      <c r="K21" s="272"/>
      <c r="L21" s="272"/>
      <c r="M21" s="272"/>
      <c r="N21" s="272"/>
      <c r="O21" s="272"/>
      <c r="P21" s="272"/>
      <c r="Q21" s="272"/>
      <c r="R21" s="272"/>
      <c r="S21" s="272"/>
      <c r="T21" s="272"/>
      <c r="U21" s="272"/>
      <c r="V21" s="272"/>
      <c r="W21" s="272"/>
      <c r="X21" s="272"/>
    </row>
    <row r="22" spans="1:24" ht="43.35" customHeight="1" x14ac:dyDescent="0.2">
      <c r="A22" s="375" t="s">
        <v>174</v>
      </c>
      <c r="B22" s="275" t="s">
        <v>110</v>
      </c>
      <c r="C22" s="274" t="s">
        <v>45</v>
      </c>
      <c r="D22" s="28" t="s">
        <v>68</v>
      </c>
      <c r="E22" s="28" t="s">
        <v>155</v>
      </c>
      <c r="F22" s="433">
        <f t="shared" si="1"/>
        <v>1243.2</v>
      </c>
      <c r="G22" s="433">
        <f t="shared" si="1"/>
        <v>1243.2</v>
      </c>
      <c r="H22" s="433">
        <f t="shared" si="2"/>
        <v>0</v>
      </c>
      <c r="I22" s="270">
        <v>1243.2</v>
      </c>
      <c r="J22" s="270">
        <v>1243.2</v>
      </c>
      <c r="K22" s="270"/>
      <c r="L22" s="270"/>
      <c r="M22" s="270"/>
      <c r="N22" s="270"/>
      <c r="O22" s="270"/>
      <c r="P22" s="270"/>
      <c r="Q22" s="270"/>
      <c r="R22" s="270"/>
      <c r="S22" s="270"/>
      <c r="T22" s="270"/>
      <c r="U22" s="270"/>
      <c r="V22" s="270"/>
      <c r="W22" s="270"/>
      <c r="X22" s="270"/>
    </row>
    <row r="23" spans="1:24" ht="43.5" customHeight="1" x14ac:dyDescent="0.2">
      <c r="A23" s="375" t="s">
        <v>175</v>
      </c>
      <c r="B23" s="275" t="s">
        <v>272</v>
      </c>
      <c r="C23" s="278" t="s">
        <v>64</v>
      </c>
      <c r="D23" s="28" t="s">
        <v>25</v>
      </c>
      <c r="E23" s="28" t="s">
        <v>155</v>
      </c>
      <c r="F23" s="454">
        <f t="shared" si="1"/>
        <v>2000</v>
      </c>
      <c r="G23" s="454">
        <f t="shared" si="1"/>
        <v>2000</v>
      </c>
      <c r="H23" s="454">
        <f t="shared" si="2"/>
        <v>0</v>
      </c>
      <c r="I23" s="276">
        <v>2000</v>
      </c>
      <c r="J23" s="276">
        <v>2000</v>
      </c>
      <c r="K23" s="276"/>
      <c r="L23" s="270"/>
      <c r="M23" s="270"/>
      <c r="N23" s="270"/>
      <c r="O23" s="270"/>
      <c r="P23" s="270"/>
      <c r="Q23" s="270"/>
      <c r="R23" s="270"/>
      <c r="S23" s="270"/>
      <c r="T23" s="270"/>
      <c r="U23" s="270"/>
      <c r="V23" s="270"/>
      <c r="W23" s="270"/>
      <c r="X23" s="270"/>
    </row>
    <row r="24" spans="1:24" ht="45" customHeight="1" x14ac:dyDescent="0.2">
      <c r="A24" s="375" t="s">
        <v>176</v>
      </c>
      <c r="B24" s="275" t="s">
        <v>329</v>
      </c>
      <c r="C24" s="274"/>
      <c r="D24" s="28" t="s">
        <v>26</v>
      </c>
      <c r="E24" s="28" t="s">
        <v>75</v>
      </c>
      <c r="F24" s="433">
        <f t="shared" si="1"/>
        <v>50</v>
      </c>
      <c r="G24" s="433">
        <f t="shared" si="1"/>
        <v>50</v>
      </c>
      <c r="H24" s="433">
        <f t="shared" si="2"/>
        <v>0</v>
      </c>
      <c r="I24" s="270">
        <v>50</v>
      </c>
      <c r="J24" s="270">
        <v>50</v>
      </c>
      <c r="K24" s="270"/>
      <c r="L24" s="270"/>
      <c r="M24" s="270"/>
      <c r="N24" s="270"/>
      <c r="O24" s="270"/>
      <c r="P24" s="270"/>
      <c r="Q24" s="270"/>
      <c r="R24" s="270"/>
      <c r="S24" s="270"/>
      <c r="T24" s="270"/>
      <c r="U24" s="270"/>
      <c r="V24" s="270"/>
      <c r="W24" s="270"/>
      <c r="X24" s="270"/>
    </row>
    <row r="25" spans="1:24" ht="30" customHeight="1" x14ac:dyDescent="0.2">
      <c r="A25" s="375" t="s">
        <v>177</v>
      </c>
      <c r="B25" s="275" t="s">
        <v>145</v>
      </c>
      <c r="C25" s="274"/>
      <c r="D25" s="28" t="s">
        <v>68</v>
      </c>
      <c r="E25" s="28" t="s">
        <v>155</v>
      </c>
      <c r="F25" s="433">
        <f t="shared" si="1"/>
        <v>1065</v>
      </c>
      <c r="G25" s="433">
        <f t="shared" si="1"/>
        <v>1065</v>
      </c>
      <c r="H25" s="433">
        <f t="shared" si="2"/>
        <v>0</v>
      </c>
      <c r="I25" s="270"/>
      <c r="J25" s="270"/>
      <c r="K25" s="270"/>
      <c r="L25" s="270"/>
      <c r="M25" s="270"/>
      <c r="N25" s="270"/>
      <c r="O25" s="270"/>
      <c r="P25" s="270"/>
      <c r="Q25" s="270"/>
      <c r="R25" s="270"/>
      <c r="S25" s="270"/>
      <c r="T25" s="270"/>
      <c r="U25" s="270">
        <v>1065</v>
      </c>
      <c r="V25" s="270">
        <v>1065</v>
      </c>
      <c r="W25" s="270"/>
      <c r="X25" s="270"/>
    </row>
    <row r="26" spans="1:24" ht="91.5" customHeight="1" x14ac:dyDescent="0.2">
      <c r="A26" s="375" t="s">
        <v>178</v>
      </c>
      <c r="B26" s="275" t="s">
        <v>311</v>
      </c>
      <c r="C26" s="274"/>
      <c r="D26" s="28" t="s">
        <v>37</v>
      </c>
      <c r="E26" s="28" t="s">
        <v>26</v>
      </c>
      <c r="F26" s="433">
        <f t="shared" si="1"/>
        <v>612</v>
      </c>
      <c r="G26" s="433">
        <f t="shared" si="1"/>
        <v>612</v>
      </c>
      <c r="H26" s="345">
        <f t="shared" si="2"/>
        <v>0</v>
      </c>
      <c r="I26" s="272"/>
      <c r="J26" s="272"/>
      <c r="K26" s="272"/>
      <c r="L26" s="272"/>
      <c r="M26" s="272"/>
      <c r="N26" s="272"/>
      <c r="O26" s="270"/>
      <c r="P26" s="270"/>
      <c r="Q26" s="270"/>
      <c r="R26" s="270"/>
      <c r="S26" s="270"/>
      <c r="T26" s="270"/>
      <c r="U26" s="270">
        <v>612</v>
      </c>
      <c r="V26" s="270">
        <v>612</v>
      </c>
      <c r="W26" s="270"/>
      <c r="X26" s="270"/>
    </row>
    <row r="27" spans="1:24" ht="45.75" customHeight="1" x14ac:dyDescent="0.2">
      <c r="A27" s="375" t="s">
        <v>179</v>
      </c>
      <c r="B27" s="275" t="s">
        <v>20</v>
      </c>
      <c r="C27" s="274" t="s">
        <v>63</v>
      </c>
      <c r="D27" s="28">
        <v>2016</v>
      </c>
      <c r="E27" s="28" t="s">
        <v>26</v>
      </c>
      <c r="F27" s="343">
        <f t="shared" si="1"/>
        <v>1638.5</v>
      </c>
      <c r="G27" s="343">
        <f t="shared" si="1"/>
        <v>1638.5</v>
      </c>
      <c r="H27" s="344">
        <f t="shared" si="2"/>
        <v>0</v>
      </c>
      <c r="I27" s="272">
        <v>245.8</v>
      </c>
      <c r="J27" s="272">
        <v>245.8</v>
      </c>
      <c r="K27" s="272"/>
      <c r="L27" s="272">
        <v>1392.7</v>
      </c>
      <c r="M27" s="272">
        <v>1392.7</v>
      </c>
      <c r="N27" s="272"/>
      <c r="O27" s="270"/>
      <c r="P27" s="270"/>
      <c r="Q27" s="270"/>
      <c r="R27" s="270"/>
      <c r="S27" s="270"/>
      <c r="T27" s="270"/>
      <c r="U27" s="270"/>
      <c r="V27" s="270"/>
      <c r="W27" s="270"/>
      <c r="X27" s="270"/>
    </row>
    <row r="28" spans="1:24" ht="57" customHeight="1" x14ac:dyDescent="0.2">
      <c r="A28" s="375" t="s">
        <v>180</v>
      </c>
      <c r="B28" s="275" t="s">
        <v>330</v>
      </c>
      <c r="C28" s="274"/>
      <c r="D28" s="28" t="s">
        <v>26</v>
      </c>
      <c r="E28" s="28" t="s">
        <v>68</v>
      </c>
      <c r="F28" s="433">
        <f t="shared" si="1"/>
        <v>471.8</v>
      </c>
      <c r="G28" s="433">
        <f t="shared" si="1"/>
        <v>471.8</v>
      </c>
      <c r="H28" s="345">
        <f t="shared" si="2"/>
        <v>0</v>
      </c>
      <c r="I28" s="272">
        <v>471.8</v>
      </c>
      <c r="J28" s="272">
        <v>471.8</v>
      </c>
      <c r="K28" s="272"/>
      <c r="L28" s="272"/>
      <c r="M28" s="272"/>
      <c r="N28" s="272"/>
      <c r="O28" s="270"/>
      <c r="P28" s="270"/>
      <c r="Q28" s="270"/>
      <c r="R28" s="270"/>
      <c r="S28" s="270"/>
      <c r="T28" s="270"/>
      <c r="U28" s="270"/>
      <c r="V28" s="270"/>
      <c r="W28" s="270"/>
      <c r="X28" s="270"/>
    </row>
    <row r="29" spans="1:24" ht="14.25" customHeight="1" x14ac:dyDescent="0.2">
      <c r="A29" s="353" t="s">
        <v>180</v>
      </c>
      <c r="B29" s="434" t="s">
        <v>323</v>
      </c>
      <c r="C29" s="329"/>
      <c r="D29" s="330"/>
      <c r="E29" s="331" t="s">
        <v>17</v>
      </c>
      <c r="F29" s="332">
        <f>SUM(F15:F28)</f>
        <v>16933.3</v>
      </c>
      <c r="G29" s="332">
        <f>SUM(G15:G28)</f>
        <v>16933.3</v>
      </c>
      <c r="H29" s="332">
        <f>SUM(H15:H28)</f>
        <v>0</v>
      </c>
      <c r="I29" s="332">
        <f>SUM(I15:I28)</f>
        <v>10239.599999999999</v>
      </c>
      <c r="J29" s="332">
        <f>SUM(J15:J28)</f>
        <v>10321.599999999999</v>
      </c>
      <c r="K29" s="332">
        <f t="shared" ref="K29:W29" si="3">SUM(K15:K28)</f>
        <v>82</v>
      </c>
      <c r="L29" s="332">
        <f t="shared" si="3"/>
        <v>4623</v>
      </c>
      <c r="M29" s="332">
        <f t="shared" si="3"/>
        <v>4547.6000000000004</v>
      </c>
      <c r="N29" s="332">
        <f t="shared" si="3"/>
        <v>-75.400000000000091</v>
      </c>
      <c r="O29" s="332">
        <f t="shared" si="3"/>
        <v>261</v>
      </c>
      <c r="P29" s="332">
        <f t="shared" si="3"/>
        <v>254.4</v>
      </c>
      <c r="Q29" s="332">
        <f t="shared" si="3"/>
        <v>-6.5999999999999943</v>
      </c>
      <c r="R29" s="332">
        <f t="shared" si="3"/>
        <v>0</v>
      </c>
      <c r="S29" s="332">
        <f t="shared" si="3"/>
        <v>0</v>
      </c>
      <c r="T29" s="332">
        <f t="shared" si="3"/>
        <v>0</v>
      </c>
      <c r="U29" s="332">
        <f t="shared" si="3"/>
        <v>1809.7</v>
      </c>
      <c r="V29" s="332">
        <f t="shared" si="3"/>
        <v>1809.7</v>
      </c>
      <c r="W29" s="332">
        <f t="shared" si="3"/>
        <v>0</v>
      </c>
      <c r="X29" s="332"/>
    </row>
    <row r="30" spans="1:24" ht="14.25" customHeight="1" x14ac:dyDescent="0.2">
      <c r="A30" s="758" t="s">
        <v>10</v>
      </c>
      <c r="B30" s="759"/>
      <c r="C30" s="759"/>
      <c r="D30" s="759"/>
      <c r="E30" s="759"/>
      <c r="F30" s="759"/>
      <c r="G30" s="759"/>
      <c r="H30" s="759"/>
      <c r="I30" s="759"/>
      <c r="J30" s="759"/>
      <c r="K30" s="759"/>
      <c r="L30" s="759"/>
      <c r="M30" s="759"/>
      <c r="N30" s="759"/>
      <c r="O30" s="759"/>
      <c r="P30" s="759"/>
      <c r="Q30" s="759"/>
      <c r="R30" s="759"/>
      <c r="S30" s="759"/>
      <c r="T30" s="759"/>
      <c r="U30" s="760"/>
      <c r="V30" s="384"/>
      <c r="W30" s="384"/>
      <c r="X30" s="384"/>
    </row>
    <row r="31" spans="1:24" ht="30" customHeight="1" x14ac:dyDescent="0.2">
      <c r="A31" s="408" t="s">
        <v>140</v>
      </c>
      <c r="B31" s="451" t="s">
        <v>313</v>
      </c>
      <c r="C31" s="278" t="s">
        <v>69</v>
      </c>
      <c r="D31" s="308" t="s">
        <v>37</v>
      </c>
      <c r="E31" s="308" t="s">
        <v>75</v>
      </c>
      <c r="F31" s="346">
        <f>I31+L31+O31+R31+U31</f>
        <v>39000</v>
      </c>
      <c r="G31" s="346">
        <f>J31+M31+P31+S31+V31</f>
        <v>39000</v>
      </c>
      <c r="H31" s="346">
        <f>G31-F31</f>
        <v>0</v>
      </c>
      <c r="I31" s="429">
        <v>2408.8000000000002</v>
      </c>
      <c r="J31" s="429">
        <v>4077.7</v>
      </c>
      <c r="K31" s="429">
        <f>+J31-I31</f>
        <v>1668.8999999999996</v>
      </c>
      <c r="L31" s="429"/>
      <c r="M31" s="429"/>
      <c r="N31" s="429"/>
      <c r="O31" s="429">
        <v>21056.799999999999</v>
      </c>
      <c r="P31" s="429">
        <v>19650</v>
      </c>
      <c r="Q31" s="429">
        <f>+P31-O31</f>
        <v>-1406.7999999999993</v>
      </c>
      <c r="R31" s="429">
        <f>10000+4992.4</f>
        <v>14992.4</v>
      </c>
      <c r="S31" s="429">
        <v>12272.3</v>
      </c>
      <c r="T31" s="429">
        <f>+S31-R31</f>
        <v>-2720.1000000000004</v>
      </c>
      <c r="U31" s="429">
        <v>542</v>
      </c>
      <c r="V31" s="429">
        <v>3000</v>
      </c>
      <c r="W31" s="429">
        <f>+V31-U31</f>
        <v>2458</v>
      </c>
      <c r="X31" s="291" t="s">
        <v>353</v>
      </c>
    </row>
    <row r="32" spans="1:24" ht="54.75" customHeight="1" x14ac:dyDescent="0.2">
      <c r="A32" s="408" t="s">
        <v>105</v>
      </c>
      <c r="B32" s="451" t="s">
        <v>338</v>
      </c>
      <c r="C32" s="470" t="s">
        <v>65</v>
      </c>
      <c r="D32" s="471" t="s">
        <v>25</v>
      </c>
      <c r="E32" s="471" t="s">
        <v>68</v>
      </c>
      <c r="F32" s="428">
        <f t="shared" ref="F32:G58" si="4">I32+L32+O32+R32+U32</f>
        <v>6656.5</v>
      </c>
      <c r="G32" s="428">
        <f t="shared" si="4"/>
        <v>6656.5</v>
      </c>
      <c r="H32" s="428">
        <f>G32-F32</f>
        <v>0</v>
      </c>
      <c r="I32" s="442">
        <v>2062.3000000000002</v>
      </c>
      <c r="J32" s="442">
        <v>1483.5</v>
      </c>
      <c r="K32" s="429">
        <f t="shared" ref="K32:K39" si="5">+J32-I32</f>
        <v>-578.80000000000018</v>
      </c>
      <c r="L32" s="442">
        <v>1980.6</v>
      </c>
      <c r="M32" s="442">
        <v>1980.7</v>
      </c>
      <c r="N32" s="442">
        <f>+M32-L32</f>
        <v>0.10000000000013642</v>
      </c>
      <c r="O32" s="442"/>
      <c r="P32" s="442"/>
      <c r="Q32" s="429">
        <f>+P32-O32</f>
        <v>0</v>
      </c>
      <c r="R32" s="442">
        <v>1798.3</v>
      </c>
      <c r="S32" s="442">
        <v>1836</v>
      </c>
      <c r="T32" s="429">
        <f>+S32-R32</f>
        <v>37.700000000000045</v>
      </c>
      <c r="U32" s="442">
        <v>815.3</v>
      </c>
      <c r="V32" s="442">
        <v>1356.3</v>
      </c>
      <c r="W32" s="429">
        <f>+V32-U32</f>
        <v>541</v>
      </c>
      <c r="X32" s="291" t="s">
        <v>371</v>
      </c>
    </row>
    <row r="33" spans="1:25" ht="43.5" customHeight="1" x14ac:dyDescent="0.2">
      <c r="A33" s="349" t="s">
        <v>161</v>
      </c>
      <c r="B33" s="407" t="s">
        <v>12</v>
      </c>
      <c r="C33" s="271" t="s">
        <v>71</v>
      </c>
      <c r="D33" s="460" t="s">
        <v>23</v>
      </c>
      <c r="E33" s="460" t="s">
        <v>68</v>
      </c>
      <c r="F33" s="428">
        <f t="shared" si="4"/>
        <v>2500</v>
      </c>
      <c r="G33" s="428">
        <f t="shared" si="4"/>
        <v>2428.2999999999997</v>
      </c>
      <c r="H33" s="406">
        <f>G33-F33</f>
        <v>-71.700000000000273</v>
      </c>
      <c r="I33" s="277">
        <v>657.8</v>
      </c>
      <c r="J33" s="277">
        <v>166.7</v>
      </c>
      <c r="K33" s="429">
        <f t="shared" si="5"/>
        <v>-491.09999999999997</v>
      </c>
      <c r="L33" s="277"/>
      <c r="M33" s="277"/>
      <c r="N33" s="277"/>
      <c r="O33" s="277"/>
      <c r="P33" s="277"/>
      <c r="Q33" s="429"/>
      <c r="R33" s="277">
        <v>1842.2</v>
      </c>
      <c r="S33" s="277">
        <v>2261.6</v>
      </c>
      <c r="T33" s="429">
        <f>+S33-R33</f>
        <v>419.39999999999986</v>
      </c>
      <c r="U33" s="277"/>
      <c r="V33" s="277"/>
      <c r="W33" s="429"/>
      <c r="X33" s="291" t="s">
        <v>360</v>
      </c>
    </row>
    <row r="34" spans="1:25" ht="39.75" customHeight="1" x14ac:dyDescent="0.2">
      <c r="A34" s="408" t="s">
        <v>162</v>
      </c>
      <c r="B34" s="407" t="s">
        <v>86</v>
      </c>
      <c r="C34" s="281" t="s">
        <v>71</v>
      </c>
      <c r="D34" s="28" t="s">
        <v>38</v>
      </c>
      <c r="E34" s="28" t="s">
        <v>26</v>
      </c>
      <c r="F34" s="428">
        <f t="shared" si="4"/>
        <v>2954.1</v>
      </c>
      <c r="G34" s="428">
        <f t="shared" si="4"/>
        <v>2936.1</v>
      </c>
      <c r="H34" s="396">
        <f>+G34-F34</f>
        <v>-18</v>
      </c>
      <c r="I34" s="271">
        <f>1373.7-25.8</f>
        <v>1347.9</v>
      </c>
      <c r="J34" s="271">
        <f>1347.9-18</f>
        <v>1329.9</v>
      </c>
      <c r="K34" s="429">
        <f>+J34-I34</f>
        <v>-18</v>
      </c>
      <c r="L34" s="270"/>
      <c r="M34" s="270"/>
      <c r="N34" s="270"/>
      <c r="O34" s="270"/>
      <c r="P34" s="270"/>
      <c r="Q34" s="270"/>
      <c r="R34" s="270">
        <v>1443.8</v>
      </c>
      <c r="S34" s="270">
        <v>1443.8</v>
      </c>
      <c r="T34" s="271"/>
      <c r="U34" s="270">
        <v>162.4</v>
      </c>
      <c r="V34" s="270">
        <v>162.4</v>
      </c>
      <c r="W34" s="270"/>
      <c r="X34" s="291" t="s">
        <v>370</v>
      </c>
    </row>
    <row r="35" spans="1:25" ht="45.75" customHeight="1" x14ac:dyDescent="0.2">
      <c r="A35" s="349" t="s">
        <v>24</v>
      </c>
      <c r="B35" s="407" t="s">
        <v>127</v>
      </c>
      <c r="C35" s="281" t="s">
        <v>70</v>
      </c>
      <c r="D35" s="28" t="s">
        <v>37</v>
      </c>
      <c r="E35" s="28" t="s">
        <v>73</v>
      </c>
      <c r="F35" s="428">
        <f t="shared" si="4"/>
        <v>2713.4</v>
      </c>
      <c r="G35" s="428">
        <f t="shared" si="4"/>
        <v>3531</v>
      </c>
      <c r="H35" s="406">
        <f>+G35-F35</f>
        <v>817.59999999999991</v>
      </c>
      <c r="I35" s="271">
        <v>584.6</v>
      </c>
      <c r="J35" s="271">
        <v>1402.2</v>
      </c>
      <c r="K35" s="429">
        <f t="shared" si="5"/>
        <v>817.6</v>
      </c>
      <c r="L35" s="270">
        <v>2128.8000000000002</v>
      </c>
      <c r="M35" s="270">
        <v>2128.8000000000002</v>
      </c>
      <c r="N35" s="270"/>
      <c r="O35" s="270"/>
      <c r="P35" s="270"/>
      <c r="Q35" s="270"/>
      <c r="R35" s="270"/>
      <c r="S35" s="270"/>
      <c r="T35" s="270"/>
      <c r="U35" s="270"/>
      <c r="V35" s="270"/>
      <c r="W35" s="270"/>
      <c r="X35" s="291" t="s">
        <v>346</v>
      </c>
    </row>
    <row r="36" spans="1:25" ht="16.350000000000001" customHeight="1" x14ac:dyDescent="0.2">
      <c r="A36" s="352" t="s">
        <v>31</v>
      </c>
      <c r="B36" s="283" t="s">
        <v>288</v>
      </c>
      <c r="C36" s="339"/>
      <c r="D36" s="323">
        <v>2019</v>
      </c>
      <c r="E36" s="323" t="s">
        <v>73</v>
      </c>
      <c r="F36" s="346">
        <f t="shared" si="4"/>
        <v>1364</v>
      </c>
      <c r="G36" s="346">
        <f t="shared" si="4"/>
        <v>1364</v>
      </c>
      <c r="H36" s="345">
        <f>+G36-F36</f>
        <v>0</v>
      </c>
      <c r="I36" s="279">
        <v>864</v>
      </c>
      <c r="J36" s="279">
        <v>864</v>
      </c>
      <c r="K36" s="298"/>
      <c r="L36" s="279">
        <v>500</v>
      </c>
      <c r="M36" s="279">
        <v>500</v>
      </c>
      <c r="N36" s="279"/>
      <c r="O36" s="279"/>
      <c r="P36" s="279"/>
      <c r="Q36" s="279"/>
      <c r="R36" s="279"/>
      <c r="S36" s="279"/>
      <c r="T36" s="279"/>
      <c r="U36" s="279"/>
      <c r="V36" s="279"/>
      <c r="W36" s="279"/>
      <c r="X36" s="430"/>
      <c r="Y36" s="322"/>
    </row>
    <row r="37" spans="1:25" ht="45.75" customHeight="1" x14ac:dyDescent="0.2">
      <c r="A37" s="408" t="s">
        <v>163</v>
      </c>
      <c r="B37" s="407" t="s">
        <v>28</v>
      </c>
      <c r="C37" s="281" t="s">
        <v>72</v>
      </c>
      <c r="D37" s="28" t="s">
        <v>60</v>
      </c>
      <c r="E37" s="28">
        <v>2022</v>
      </c>
      <c r="F37" s="428">
        <f t="shared" si="4"/>
        <v>3800</v>
      </c>
      <c r="G37" s="428">
        <f t="shared" si="4"/>
        <v>3400</v>
      </c>
      <c r="H37" s="406">
        <f>+G37-F37</f>
        <v>-400</v>
      </c>
      <c r="I37" s="271">
        <v>3372.6</v>
      </c>
      <c r="J37" s="271">
        <f>3492.6-400</f>
        <v>3092.6</v>
      </c>
      <c r="K37" s="429">
        <f t="shared" si="5"/>
        <v>-280</v>
      </c>
      <c r="L37" s="271"/>
      <c r="M37" s="271"/>
      <c r="N37" s="271"/>
      <c r="O37" s="271"/>
      <c r="P37" s="271"/>
      <c r="Q37" s="271"/>
      <c r="R37" s="271">
        <v>427.4</v>
      </c>
      <c r="S37" s="271">
        <v>307.39999999999998</v>
      </c>
      <c r="T37" s="271">
        <f>+S37-R37</f>
        <v>-120</v>
      </c>
      <c r="U37" s="270"/>
      <c r="V37" s="270"/>
      <c r="W37" s="270"/>
      <c r="X37" s="291" t="s">
        <v>357</v>
      </c>
    </row>
    <row r="38" spans="1:25" ht="29.25" customHeight="1" x14ac:dyDescent="0.2">
      <c r="A38" s="349" t="s">
        <v>174</v>
      </c>
      <c r="B38" s="407" t="s">
        <v>96</v>
      </c>
      <c r="C38" s="281" t="s">
        <v>72</v>
      </c>
      <c r="D38" s="28" t="s">
        <v>67</v>
      </c>
      <c r="E38" s="28" t="s">
        <v>156</v>
      </c>
      <c r="F38" s="346">
        <f t="shared" si="4"/>
        <v>7692.2999999999993</v>
      </c>
      <c r="G38" s="346">
        <f t="shared" si="4"/>
        <v>7692.3</v>
      </c>
      <c r="H38" s="464">
        <f>G38-F38</f>
        <v>0</v>
      </c>
      <c r="I38" s="289">
        <v>4959.2</v>
      </c>
      <c r="J38" s="289">
        <v>5022.8</v>
      </c>
      <c r="K38" s="429">
        <f t="shared" si="5"/>
        <v>63.600000000000364</v>
      </c>
      <c r="L38" s="271"/>
      <c r="M38" s="271"/>
      <c r="N38" s="271"/>
      <c r="O38" s="271"/>
      <c r="P38" s="271"/>
      <c r="Q38" s="271"/>
      <c r="R38" s="271">
        <v>2733.1</v>
      </c>
      <c r="S38" s="271">
        <v>2669.5</v>
      </c>
      <c r="T38" s="271">
        <f>+S38-R38</f>
        <v>-63.599999999999909</v>
      </c>
      <c r="U38" s="271"/>
      <c r="V38" s="271"/>
      <c r="W38" s="271"/>
      <c r="X38" s="291" t="s">
        <v>353</v>
      </c>
    </row>
    <row r="39" spans="1:25" ht="55.5" customHeight="1" x14ac:dyDescent="0.2">
      <c r="A39" s="408" t="s">
        <v>175</v>
      </c>
      <c r="B39" s="465" t="s">
        <v>335</v>
      </c>
      <c r="C39" s="272" t="s">
        <v>70</v>
      </c>
      <c r="D39" s="13" t="s">
        <v>37</v>
      </c>
      <c r="E39" s="13" t="s">
        <v>73</v>
      </c>
      <c r="F39" s="346">
        <f t="shared" si="4"/>
        <v>2832.5</v>
      </c>
      <c r="G39" s="346">
        <f t="shared" si="4"/>
        <v>2832.5</v>
      </c>
      <c r="H39" s="344">
        <f>G39-F39</f>
        <v>0</v>
      </c>
      <c r="I39" s="356">
        <v>291</v>
      </c>
      <c r="J39" s="356">
        <v>342.1</v>
      </c>
      <c r="K39" s="429">
        <f t="shared" si="5"/>
        <v>51.100000000000023</v>
      </c>
      <c r="L39" s="356">
        <v>1505.2</v>
      </c>
      <c r="M39" s="356">
        <v>1537.7</v>
      </c>
      <c r="N39" s="356">
        <f>+M39-L39</f>
        <v>32.5</v>
      </c>
      <c r="O39" s="356"/>
      <c r="P39" s="356"/>
      <c r="Q39" s="356"/>
      <c r="R39" s="356">
        <v>496.3</v>
      </c>
      <c r="S39" s="356">
        <v>412.7</v>
      </c>
      <c r="T39" s="356">
        <f>+S39-R39</f>
        <v>-83.600000000000023</v>
      </c>
      <c r="U39" s="356">
        <v>540</v>
      </c>
      <c r="V39" s="356">
        <v>540</v>
      </c>
      <c r="W39" s="356"/>
      <c r="X39" s="291" t="s">
        <v>353</v>
      </c>
    </row>
    <row r="40" spans="1:25" ht="41.25" customHeight="1" x14ac:dyDescent="0.2">
      <c r="A40" s="349" t="s">
        <v>176</v>
      </c>
      <c r="B40" s="291" t="s">
        <v>347</v>
      </c>
      <c r="C40" s="281" t="s">
        <v>70</v>
      </c>
      <c r="D40" s="28" t="s">
        <v>25</v>
      </c>
      <c r="E40" s="28" t="s">
        <v>298</v>
      </c>
      <c r="F40" s="346">
        <f t="shared" si="4"/>
        <v>2930</v>
      </c>
      <c r="G40" s="346">
        <f t="shared" si="4"/>
        <v>2930</v>
      </c>
      <c r="H40" s="433">
        <f t="shared" ref="H40:H59" si="6">+G40-F40</f>
        <v>0</v>
      </c>
      <c r="I40" s="270">
        <v>1880</v>
      </c>
      <c r="J40" s="270">
        <v>1880</v>
      </c>
      <c r="K40" s="270"/>
      <c r="L40" s="270"/>
      <c r="M40" s="270"/>
      <c r="N40" s="270"/>
      <c r="O40" s="270"/>
      <c r="P40" s="270"/>
      <c r="Q40" s="270"/>
      <c r="R40" s="270">
        <v>1050</v>
      </c>
      <c r="S40" s="270">
        <v>1050</v>
      </c>
      <c r="T40" s="270"/>
      <c r="U40" s="270"/>
      <c r="V40" s="270"/>
      <c r="W40" s="270"/>
      <c r="X40" s="270"/>
    </row>
    <row r="41" spans="1:25" ht="80.25" customHeight="1" x14ac:dyDescent="0.2">
      <c r="A41" s="349" t="s">
        <v>177</v>
      </c>
      <c r="B41" s="407" t="s">
        <v>299</v>
      </c>
      <c r="C41" s="466"/>
      <c r="D41" s="10" t="s">
        <v>26</v>
      </c>
      <c r="E41" s="10" t="s">
        <v>73</v>
      </c>
      <c r="F41" s="428">
        <f t="shared" si="4"/>
        <v>475</v>
      </c>
      <c r="G41" s="428">
        <f t="shared" si="4"/>
        <v>420</v>
      </c>
      <c r="H41" s="406">
        <f t="shared" si="6"/>
        <v>-55</v>
      </c>
      <c r="I41" s="277">
        <v>175</v>
      </c>
      <c r="J41" s="277">
        <v>175</v>
      </c>
      <c r="K41" s="277"/>
      <c r="L41" s="277"/>
      <c r="M41" s="277"/>
      <c r="N41" s="277"/>
      <c r="O41" s="277"/>
      <c r="P41" s="277"/>
      <c r="Q41" s="277"/>
      <c r="R41" s="277">
        <v>300</v>
      </c>
      <c r="S41" s="277">
        <v>245</v>
      </c>
      <c r="T41" s="277">
        <f>+S41-R41</f>
        <v>-55</v>
      </c>
      <c r="U41" s="277"/>
      <c r="V41" s="277"/>
      <c r="W41" s="277"/>
      <c r="X41" s="311" t="s">
        <v>361</v>
      </c>
    </row>
    <row r="42" spans="1:25" ht="42" customHeight="1" x14ac:dyDescent="0.2">
      <c r="A42" s="408" t="s">
        <v>178</v>
      </c>
      <c r="B42" s="291" t="s">
        <v>334</v>
      </c>
      <c r="C42" s="285"/>
      <c r="D42" s="10" t="s">
        <v>26</v>
      </c>
      <c r="E42" s="10" t="s">
        <v>73</v>
      </c>
      <c r="F42" s="346">
        <f t="shared" si="4"/>
        <v>573</v>
      </c>
      <c r="G42" s="346">
        <f t="shared" si="4"/>
        <v>573</v>
      </c>
      <c r="H42" s="433">
        <f t="shared" si="6"/>
        <v>0</v>
      </c>
      <c r="I42" s="276">
        <v>440.5</v>
      </c>
      <c r="J42" s="276">
        <v>440.5</v>
      </c>
      <c r="K42" s="276"/>
      <c r="L42" s="276"/>
      <c r="M42" s="276"/>
      <c r="N42" s="276"/>
      <c r="O42" s="276"/>
      <c r="P42" s="276"/>
      <c r="Q42" s="276"/>
      <c r="R42" s="276"/>
      <c r="S42" s="276"/>
      <c r="T42" s="276"/>
      <c r="U42" s="276">
        <v>132.5</v>
      </c>
      <c r="V42" s="276">
        <v>132.5</v>
      </c>
      <c r="W42" s="276"/>
      <c r="X42" s="276"/>
    </row>
    <row r="43" spans="1:25" ht="39" customHeight="1" x14ac:dyDescent="0.2">
      <c r="A43" s="349" t="s">
        <v>179</v>
      </c>
      <c r="B43" s="407" t="s">
        <v>324</v>
      </c>
      <c r="C43" s="270" t="s">
        <v>69</v>
      </c>
      <c r="D43" s="10" t="s">
        <v>26</v>
      </c>
      <c r="E43" s="10" t="s">
        <v>156</v>
      </c>
      <c r="F43" s="428">
        <f t="shared" si="4"/>
        <v>1900</v>
      </c>
      <c r="G43" s="428">
        <f t="shared" si="4"/>
        <v>1910</v>
      </c>
      <c r="H43" s="406">
        <f t="shared" si="6"/>
        <v>10</v>
      </c>
      <c r="I43" s="277">
        <v>1900</v>
      </c>
      <c r="J43" s="277">
        <v>1910</v>
      </c>
      <c r="K43" s="277">
        <f>+J43-I43</f>
        <v>10</v>
      </c>
      <c r="L43" s="276"/>
      <c r="M43" s="276"/>
      <c r="N43" s="276"/>
      <c r="O43" s="276"/>
      <c r="P43" s="276"/>
      <c r="Q43" s="276"/>
      <c r="R43" s="276"/>
      <c r="S43" s="276"/>
      <c r="T43" s="276"/>
      <c r="U43" s="276"/>
      <c r="V43" s="276"/>
      <c r="W43" s="276"/>
      <c r="X43" s="311" t="s">
        <v>369</v>
      </c>
    </row>
    <row r="44" spans="1:25" ht="32.1" customHeight="1" x14ac:dyDescent="0.2">
      <c r="A44" s="408" t="s">
        <v>180</v>
      </c>
      <c r="B44" s="309" t="s">
        <v>331</v>
      </c>
      <c r="C44" s="453"/>
      <c r="D44" s="30" t="s">
        <v>26</v>
      </c>
      <c r="E44" s="28" t="s">
        <v>68</v>
      </c>
      <c r="F44" s="428">
        <f t="shared" si="4"/>
        <v>150</v>
      </c>
      <c r="G44" s="428">
        <f t="shared" si="4"/>
        <v>160</v>
      </c>
      <c r="H44" s="406">
        <f t="shared" si="6"/>
        <v>10</v>
      </c>
      <c r="I44" s="271">
        <v>150</v>
      </c>
      <c r="J44" s="271">
        <v>160</v>
      </c>
      <c r="K44" s="277">
        <f>+J44-I44</f>
        <v>10</v>
      </c>
      <c r="L44" s="270"/>
      <c r="M44" s="270"/>
      <c r="N44" s="270"/>
      <c r="O44" s="270"/>
      <c r="P44" s="270"/>
      <c r="Q44" s="278"/>
      <c r="R44" s="278"/>
      <c r="S44" s="278"/>
      <c r="T44" s="278"/>
      <c r="U44" s="278"/>
      <c r="V44" s="278"/>
      <c r="W44" s="278"/>
      <c r="X44" s="311" t="s">
        <v>368</v>
      </c>
    </row>
    <row r="45" spans="1:25" ht="40.5" customHeight="1" x14ac:dyDescent="0.2">
      <c r="A45" s="349" t="s">
        <v>181</v>
      </c>
      <c r="B45" s="291" t="s">
        <v>307</v>
      </c>
      <c r="C45" s="270" t="s">
        <v>45</v>
      </c>
      <c r="D45" s="28" t="s">
        <v>67</v>
      </c>
      <c r="E45" s="28" t="s">
        <v>26</v>
      </c>
      <c r="F45" s="346">
        <f t="shared" si="4"/>
        <v>789.3</v>
      </c>
      <c r="G45" s="346">
        <f t="shared" si="4"/>
        <v>789.3</v>
      </c>
      <c r="H45" s="380">
        <f t="shared" si="6"/>
        <v>0</v>
      </c>
      <c r="I45" s="297">
        <v>595.79999999999995</v>
      </c>
      <c r="J45" s="297">
        <v>595.79999999999995</v>
      </c>
      <c r="K45" s="297"/>
      <c r="L45" s="270"/>
      <c r="M45" s="270"/>
      <c r="N45" s="270"/>
      <c r="O45" s="270"/>
      <c r="P45" s="270"/>
      <c r="Q45" s="270"/>
      <c r="R45" s="270">
        <v>193.5</v>
      </c>
      <c r="S45" s="270">
        <v>193.5</v>
      </c>
      <c r="T45" s="270"/>
      <c r="U45" s="270"/>
      <c r="V45" s="270"/>
      <c r="W45" s="270"/>
      <c r="X45" s="270"/>
    </row>
    <row r="46" spans="1:25" ht="44.25" customHeight="1" x14ac:dyDescent="0.2">
      <c r="A46" s="349" t="s">
        <v>182</v>
      </c>
      <c r="B46" s="291" t="s">
        <v>32</v>
      </c>
      <c r="C46" s="285"/>
      <c r="D46" s="10" t="s">
        <v>38</v>
      </c>
      <c r="E46" s="10" t="s">
        <v>155</v>
      </c>
      <c r="F46" s="346">
        <f t="shared" si="4"/>
        <v>1700</v>
      </c>
      <c r="G46" s="346">
        <f t="shared" si="4"/>
        <v>1700</v>
      </c>
      <c r="H46" s="433">
        <f t="shared" si="6"/>
        <v>0</v>
      </c>
      <c r="I46" s="276">
        <v>1700</v>
      </c>
      <c r="J46" s="276">
        <v>1700</v>
      </c>
      <c r="K46" s="276"/>
      <c r="L46" s="276"/>
      <c r="M46" s="276"/>
      <c r="N46" s="276"/>
      <c r="O46" s="276"/>
      <c r="P46" s="276"/>
      <c r="Q46" s="276"/>
      <c r="R46" s="276"/>
      <c r="S46" s="276"/>
      <c r="T46" s="276"/>
      <c r="U46" s="276"/>
      <c r="V46" s="276"/>
      <c r="W46" s="276"/>
      <c r="X46" s="276"/>
    </row>
    <row r="47" spans="1:25" ht="40.5" customHeight="1" x14ac:dyDescent="0.2">
      <c r="A47" s="408" t="s">
        <v>183</v>
      </c>
      <c r="B47" s="310" t="s">
        <v>152</v>
      </c>
      <c r="C47" s="272" t="s">
        <v>71</v>
      </c>
      <c r="D47" s="13" t="s">
        <v>23</v>
      </c>
      <c r="E47" s="13" t="s">
        <v>73</v>
      </c>
      <c r="F47" s="346">
        <f t="shared" si="4"/>
        <v>140.1</v>
      </c>
      <c r="G47" s="346">
        <f t="shared" si="4"/>
        <v>140.1</v>
      </c>
      <c r="H47" s="345">
        <f t="shared" si="6"/>
        <v>0</v>
      </c>
      <c r="I47" s="272">
        <v>19.7</v>
      </c>
      <c r="J47" s="272">
        <v>19.7</v>
      </c>
      <c r="K47" s="272"/>
      <c r="L47" s="272">
        <v>90.3</v>
      </c>
      <c r="M47" s="272">
        <v>90.3</v>
      </c>
      <c r="N47" s="272"/>
      <c r="O47" s="272">
        <v>30.1</v>
      </c>
      <c r="P47" s="272">
        <v>30.1</v>
      </c>
      <c r="Q47" s="272"/>
      <c r="R47" s="272"/>
      <c r="S47" s="272"/>
      <c r="T47" s="272"/>
      <c r="U47" s="272"/>
      <c r="V47" s="272"/>
      <c r="W47" s="272"/>
      <c r="X47" s="272"/>
    </row>
    <row r="48" spans="1:25" ht="54" customHeight="1" x14ac:dyDescent="0.2">
      <c r="A48" s="349" t="s">
        <v>184</v>
      </c>
      <c r="B48" s="291" t="s">
        <v>317</v>
      </c>
      <c r="C48" s="270"/>
      <c r="D48" s="10" t="s">
        <v>23</v>
      </c>
      <c r="E48" s="10" t="s">
        <v>26</v>
      </c>
      <c r="F48" s="346">
        <f t="shared" si="4"/>
        <v>33</v>
      </c>
      <c r="G48" s="346">
        <f t="shared" si="4"/>
        <v>33</v>
      </c>
      <c r="H48" s="343">
        <f t="shared" si="6"/>
        <v>0</v>
      </c>
      <c r="I48" s="276"/>
      <c r="J48" s="276"/>
      <c r="K48" s="276"/>
      <c r="L48" s="276"/>
      <c r="M48" s="276"/>
      <c r="N48" s="276"/>
      <c r="O48" s="276"/>
      <c r="P48" s="276"/>
      <c r="Q48" s="276"/>
      <c r="R48" s="276">
        <v>33</v>
      </c>
      <c r="S48" s="276">
        <v>33</v>
      </c>
      <c r="T48" s="276"/>
      <c r="U48" s="276"/>
      <c r="V48" s="276"/>
      <c r="W48" s="276"/>
      <c r="X48" s="276"/>
    </row>
    <row r="49" spans="1:25" ht="30" customHeight="1" x14ac:dyDescent="0.2">
      <c r="A49" s="349" t="s">
        <v>185</v>
      </c>
      <c r="B49" s="291" t="s">
        <v>309</v>
      </c>
      <c r="C49" s="271"/>
      <c r="D49" s="10" t="s">
        <v>26</v>
      </c>
      <c r="E49" s="10" t="s">
        <v>68</v>
      </c>
      <c r="F49" s="346">
        <f t="shared" si="4"/>
        <v>310</v>
      </c>
      <c r="G49" s="346">
        <f t="shared" si="4"/>
        <v>310</v>
      </c>
      <c r="H49" s="346">
        <f t="shared" si="6"/>
        <v>0</v>
      </c>
      <c r="I49" s="298">
        <v>310</v>
      </c>
      <c r="J49" s="298">
        <v>310</v>
      </c>
      <c r="K49" s="298"/>
      <c r="L49" s="298"/>
      <c r="M49" s="298"/>
      <c r="N49" s="298"/>
      <c r="O49" s="298"/>
      <c r="P49" s="298"/>
      <c r="Q49" s="298"/>
      <c r="R49" s="298"/>
      <c r="S49" s="298"/>
      <c r="T49" s="298"/>
      <c r="U49" s="298"/>
      <c r="V49" s="298"/>
      <c r="W49" s="298"/>
      <c r="X49" s="298"/>
    </row>
    <row r="50" spans="1:25" ht="68.25" customHeight="1" x14ac:dyDescent="0.2">
      <c r="A50" s="354">
        <v>20</v>
      </c>
      <c r="B50" s="371" t="s">
        <v>339</v>
      </c>
      <c r="C50" s="286"/>
      <c r="D50" s="52" t="s">
        <v>26</v>
      </c>
      <c r="E50" s="52" t="s">
        <v>73</v>
      </c>
      <c r="F50" s="346">
        <f t="shared" si="4"/>
        <v>533.19999999999993</v>
      </c>
      <c r="G50" s="346">
        <f t="shared" si="4"/>
        <v>533.19999999999993</v>
      </c>
      <c r="H50" s="346">
        <f t="shared" si="6"/>
        <v>0</v>
      </c>
      <c r="I50" s="298"/>
      <c r="J50" s="298"/>
      <c r="K50" s="298"/>
      <c r="L50" s="298"/>
      <c r="M50" s="298"/>
      <c r="N50" s="298"/>
      <c r="O50" s="298"/>
      <c r="P50" s="298"/>
      <c r="Q50" s="298"/>
      <c r="R50" s="298">
        <f>520.3+12.9</f>
        <v>533.19999999999993</v>
      </c>
      <c r="S50" s="298">
        <f>520.3+12.9</f>
        <v>533.19999999999993</v>
      </c>
      <c r="T50" s="298"/>
      <c r="U50" s="298"/>
      <c r="V50" s="298"/>
      <c r="W50" s="298"/>
      <c r="X50" s="298"/>
    </row>
    <row r="51" spans="1:25" ht="33" customHeight="1" x14ac:dyDescent="0.2">
      <c r="A51" s="355">
        <v>21</v>
      </c>
      <c r="B51" s="291" t="s">
        <v>308</v>
      </c>
      <c r="C51" s="270"/>
      <c r="D51" s="10" t="s">
        <v>26</v>
      </c>
      <c r="E51" s="10" t="s">
        <v>73</v>
      </c>
      <c r="F51" s="346">
        <f t="shared" si="4"/>
        <v>517.6</v>
      </c>
      <c r="G51" s="346">
        <f t="shared" si="4"/>
        <v>517.6</v>
      </c>
      <c r="H51" s="343">
        <f t="shared" si="6"/>
        <v>0</v>
      </c>
      <c r="I51" s="276"/>
      <c r="J51" s="276"/>
      <c r="K51" s="276"/>
      <c r="L51" s="276"/>
      <c r="M51" s="276"/>
      <c r="N51" s="276"/>
      <c r="O51" s="276"/>
      <c r="P51" s="276"/>
      <c r="Q51" s="276"/>
      <c r="R51" s="276">
        <v>517.6</v>
      </c>
      <c r="S51" s="276">
        <v>517.6</v>
      </c>
      <c r="T51" s="276"/>
      <c r="U51" s="276"/>
      <c r="V51" s="276"/>
      <c r="W51" s="276"/>
      <c r="X51" s="276"/>
    </row>
    <row r="52" spans="1:25" ht="44.25" customHeight="1" x14ac:dyDescent="0.2">
      <c r="A52" s="355">
        <v>22</v>
      </c>
      <c r="B52" s="291" t="s">
        <v>112</v>
      </c>
      <c r="C52" s="270" t="s">
        <v>120</v>
      </c>
      <c r="D52" s="10" t="s">
        <v>37</v>
      </c>
      <c r="E52" s="10" t="s">
        <v>26</v>
      </c>
      <c r="F52" s="346">
        <f t="shared" si="4"/>
        <v>1063.5</v>
      </c>
      <c r="G52" s="346">
        <f t="shared" si="4"/>
        <v>1063.5</v>
      </c>
      <c r="H52" s="343">
        <f t="shared" si="6"/>
        <v>0</v>
      </c>
      <c r="I52" s="276">
        <v>1063.5</v>
      </c>
      <c r="J52" s="276">
        <v>1063.5</v>
      </c>
      <c r="K52" s="276"/>
      <c r="L52" s="276"/>
      <c r="M52" s="276"/>
      <c r="N52" s="276"/>
      <c r="O52" s="276"/>
      <c r="P52" s="276"/>
      <c r="Q52" s="276"/>
      <c r="R52" s="276"/>
      <c r="S52" s="276"/>
      <c r="T52" s="276"/>
      <c r="U52" s="276"/>
      <c r="V52" s="276"/>
      <c r="W52" s="276"/>
      <c r="X52" s="276"/>
    </row>
    <row r="53" spans="1:25" ht="41.25" customHeight="1" x14ac:dyDescent="0.2">
      <c r="A53" s="355">
        <v>23</v>
      </c>
      <c r="B53" s="291" t="s">
        <v>153</v>
      </c>
      <c r="C53" s="270" t="s">
        <v>64</v>
      </c>
      <c r="D53" s="10" t="s">
        <v>37</v>
      </c>
      <c r="E53" s="10" t="s">
        <v>73</v>
      </c>
      <c r="F53" s="346">
        <f t="shared" si="4"/>
        <v>280.2</v>
      </c>
      <c r="G53" s="346">
        <f t="shared" si="4"/>
        <v>280.2</v>
      </c>
      <c r="H53" s="343">
        <f t="shared" si="6"/>
        <v>0</v>
      </c>
      <c r="I53" s="276">
        <f>180.2+100</f>
        <v>280.2</v>
      </c>
      <c r="J53" s="276">
        <f>180.2+100</f>
        <v>280.2</v>
      </c>
      <c r="K53" s="276"/>
      <c r="L53" s="276"/>
      <c r="M53" s="276"/>
      <c r="N53" s="276"/>
      <c r="O53" s="276"/>
      <c r="P53" s="276"/>
      <c r="Q53" s="276"/>
      <c r="R53" s="276"/>
      <c r="S53" s="276"/>
      <c r="T53" s="276"/>
      <c r="U53" s="276"/>
      <c r="V53" s="276"/>
      <c r="W53" s="276"/>
      <c r="X53" s="276"/>
    </row>
    <row r="54" spans="1:25" ht="57" customHeight="1" x14ac:dyDescent="0.2">
      <c r="A54" s="355">
        <v>24</v>
      </c>
      <c r="B54" s="407" t="s">
        <v>348</v>
      </c>
      <c r="C54" s="270" t="s">
        <v>64</v>
      </c>
      <c r="D54" s="10" t="s">
        <v>38</v>
      </c>
      <c r="E54" s="10" t="s">
        <v>73</v>
      </c>
      <c r="F54" s="428">
        <f t="shared" si="4"/>
        <v>1081</v>
      </c>
      <c r="G54" s="428">
        <f t="shared" si="4"/>
        <v>1530.1</v>
      </c>
      <c r="H54" s="406">
        <f t="shared" si="6"/>
        <v>449.09999999999991</v>
      </c>
      <c r="I54" s="277">
        <v>1081</v>
      </c>
      <c r="J54" s="277">
        <v>1530.1</v>
      </c>
      <c r="K54" s="277">
        <f>+J54-I54</f>
        <v>449.09999999999991</v>
      </c>
      <c r="L54" s="276"/>
      <c r="M54" s="276"/>
      <c r="N54" s="276"/>
      <c r="O54" s="276"/>
      <c r="P54" s="276"/>
      <c r="Q54" s="276"/>
      <c r="R54" s="276"/>
      <c r="S54" s="276"/>
      <c r="T54" s="276"/>
      <c r="U54" s="276"/>
      <c r="V54" s="276"/>
      <c r="W54" s="276"/>
      <c r="X54" s="311" t="s">
        <v>367</v>
      </c>
    </row>
    <row r="55" spans="1:25" ht="29.45" customHeight="1" x14ac:dyDescent="0.2">
      <c r="A55" s="355">
        <v>25</v>
      </c>
      <c r="B55" s="291" t="s">
        <v>122</v>
      </c>
      <c r="C55" s="270"/>
      <c r="D55" s="10" t="s">
        <v>23</v>
      </c>
      <c r="E55" s="28" t="s">
        <v>73</v>
      </c>
      <c r="F55" s="346">
        <f t="shared" si="4"/>
        <v>255.4</v>
      </c>
      <c r="G55" s="346">
        <f t="shared" si="4"/>
        <v>255.4</v>
      </c>
      <c r="H55" s="343">
        <f t="shared" si="6"/>
        <v>0</v>
      </c>
      <c r="I55" s="276">
        <v>255.4</v>
      </c>
      <c r="J55" s="276">
        <v>255.4</v>
      </c>
      <c r="K55" s="276"/>
      <c r="L55" s="276"/>
      <c r="M55" s="276"/>
      <c r="N55" s="276"/>
      <c r="O55" s="276"/>
      <c r="P55" s="276"/>
      <c r="Q55" s="276"/>
      <c r="R55" s="276"/>
      <c r="S55" s="276"/>
      <c r="T55" s="276"/>
      <c r="U55" s="276"/>
      <c r="V55" s="276"/>
      <c r="W55" s="276"/>
      <c r="X55" s="276"/>
    </row>
    <row r="56" spans="1:25" s="265" customFormat="1" ht="44.25" customHeight="1" x14ac:dyDescent="0.2">
      <c r="A56" s="408">
        <v>26</v>
      </c>
      <c r="B56" s="426" t="s">
        <v>349</v>
      </c>
      <c r="C56" s="306" t="s">
        <v>74</v>
      </c>
      <c r="D56" s="61" t="s">
        <v>38</v>
      </c>
      <c r="E56" s="61" t="s">
        <v>26</v>
      </c>
      <c r="F56" s="458">
        <f>I56+L56+O56+R56+U56</f>
        <v>1996.3000000000002</v>
      </c>
      <c r="G56" s="458">
        <f t="shared" si="4"/>
        <v>1513.3000000000002</v>
      </c>
      <c r="H56" s="458">
        <f t="shared" si="6"/>
        <v>-483</v>
      </c>
      <c r="I56" s="467">
        <v>1127.4000000000001</v>
      </c>
      <c r="J56" s="467">
        <v>643.1</v>
      </c>
      <c r="K56" s="467">
        <f>+J56-I56</f>
        <v>-484.30000000000007</v>
      </c>
      <c r="L56" s="467">
        <v>868.9</v>
      </c>
      <c r="M56" s="467">
        <v>870.2</v>
      </c>
      <c r="N56" s="467">
        <f>+M56-L56</f>
        <v>1.3000000000000682</v>
      </c>
      <c r="O56" s="307"/>
      <c r="P56" s="307"/>
      <c r="Q56" s="307"/>
      <c r="R56" s="307"/>
      <c r="S56" s="307"/>
      <c r="T56" s="307"/>
      <c r="U56" s="307"/>
      <c r="V56" s="307"/>
      <c r="W56" s="307"/>
      <c r="X56" s="756" t="s">
        <v>359</v>
      </c>
    </row>
    <row r="57" spans="1:25" s="265" customFormat="1" ht="28.5" customHeight="1" x14ac:dyDescent="0.2">
      <c r="A57" s="375"/>
      <c r="B57" s="452" t="s">
        <v>310</v>
      </c>
      <c r="C57" s="305"/>
      <c r="D57" s="24" t="s">
        <v>73</v>
      </c>
      <c r="E57" s="24" t="s">
        <v>75</v>
      </c>
      <c r="F57" s="469">
        <f t="shared" si="4"/>
        <v>2553.4</v>
      </c>
      <c r="G57" s="469">
        <f t="shared" si="4"/>
        <v>3036.4</v>
      </c>
      <c r="H57" s="469">
        <f t="shared" si="6"/>
        <v>483</v>
      </c>
      <c r="I57" s="468">
        <v>2553.4</v>
      </c>
      <c r="J57" s="468">
        <v>3036.4</v>
      </c>
      <c r="K57" s="468">
        <f>+J57-I57</f>
        <v>483</v>
      </c>
      <c r="L57" s="284"/>
      <c r="M57" s="284"/>
      <c r="N57" s="284"/>
      <c r="O57" s="284"/>
      <c r="P57" s="284"/>
      <c r="Q57" s="284"/>
      <c r="R57" s="284"/>
      <c r="S57" s="284"/>
      <c r="T57" s="284"/>
      <c r="U57" s="284"/>
      <c r="V57" s="284"/>
      <c r="W57" s="284"/>
      <c r="X57" s="757"/>
    </row>
    <row r="58" spans="1:25" ht="41.25" customHeight="1" x14ac:dyDescent="0.2">
      <c r="A58" s="349">
        <v>27</v>
      </c>
      <c r="B58" s="407" t="s">
        <v>350</v>
      </c>
      <c r="C58" s="281" t="s">
        <v>63</v>
      </c>
      <c r="D58" s="10" t="s">
        <v>38</v>
      </c>
      <c r="E58" s="10" t="s">
        <v>68</v>
      </c>
      <c r="F58" s="346">
        <f t="shared" si="4"/>
        <v>642.20000000000005</v>
      </c>
      <c r="G58" s="346">
        <f t="shared" si="4"/>
        <v>642.20000000000005</v>
      </c>
      <c r="H58" s="343">
        <f t="shared" si="6"/>
        <v>0</v>
      </c>
      <c r="I58" s="277">
        <v>216.2</v>
      </c>
      <c r="J58" s="277">
        <v>217</v>
      </c>
      <c r="K58" s="468">
        <f>+J58-I58</f>
        <v>0.80000000000001137</v>
      </c>
      <c r="L58" s="277">
        <v>426</v>
      </c>
      <c r="M58" s="277">
        <v>425.2</v>
      </c>
      <c r="N58" s="277">
        <f>+M58-L58</f>
        <v>-0.80000000000001137</v>
      </c>
      <c r="O58" s="276"/>
      <c r="P58" s="276"/>
      <c r="Q58" s="276"/>
      <c r="R58" s="276"/>
      <c r="S58" s="276"/>
      <c r="T58" s="276"/>
      <c r="U58" s="276"/>
      <c r="V58" s="276"/>
      <c r="W58" s="276"/>
      <c r="X58" s="276" t="s">
        <v>353</v>
      </c>
    </row>
    <row r="59" spans="1:25" ht="82.5" customHeight="1" x14ac:dyDescent="0.2">
      <c r="A59" s="349">
        <v>28</v>
      </c>
      <c r="B59" s="407" t="s">
        <v>351</v>
      </c>
      <c r="C59" s="281"/>
      <c r="D59" s="460" t="s">
        <v>25</v>
      </c>
      <c r="E59" s="460"/>
      <c r="F59" s="428">
        <f>I59+L59+O59+R59+U59</f>
        <v>0</v>
      </c>
      <c r="G59" s="428">
        <f>J59+M59+P59+S59+V59</f>
        <v>31063.3</v>
      </c>
      <c r="H59" s="406">
        <f t="shared" si="6"/>
        <v>31063.3</v>
      </c>
      <c r="I59" s="277">
        <v>0</v>
      </c>
      <c r="J59" s="277">
        <v>2994.3</v>
      </c>
      <c r="K59" s="277">
        <f>+J59-I59</f>
        <v>2994.3</v>
      </c>
      <c r="L59" s="277">
        <v>0</v>
      </c>
      <c r="M59" s="277">
        <v>0</v>
      </c>
      <c r="N59" s="277"/>
      <c r="O59" s="277"/>
      <c r="P59" s="277">
        <v>28000</v>
      </c>
      <c r="Q59" s="277">
        <f>+P59-O59</f>
        <v>28000</v>
      </c>
      <c r="R59" s="277"/>
      <c r="S59" s="277">
        <v>69</v>
      </c>
      <c r="T59" s="277">
        <f>+S59-R59</f>
        <v>69</v>
      </c>
      <c r="U59" s="277"/>
      <c r="V59" s="277"/>
      <c r="W59" s="277"/>
      <c r="X59" s="311" t="s">
        <v>366</v>
      </c>
    </row>
    <row r="60" spans="1:25" ht="15" customHeight="1" x14ac:dyDescent="0.2">
      <c r="A60" s="353">
        <v>28</v>
      </c>
      <c r="B60" s="455" t="s">
        <v>322</v>
      </c>
      <c r="C60" s="329"/>
      <c r="D60" s="330"/>
      <c r="E60" s="331" t="s">
        <v>17</v>
      </c>
      <c r="F60" s="332">
        <f>SUM(F31:F59)</f>
        <v>87436</v>
      </c>
      <c r="G60" s="332">
        <f t="shared" ref="G60:W60" si="7">SUM(G31:G59)</f>
        <v>119241.3</v>
      </c>
      <c r="H60" s="332">
        <f t="shared" si="7"/>
        <v>31805.3</v>
      </c>
      <c r="I60" s="332">
        <f t="shared" si="7"/>
        <v>30296.300000000007</v>
      </c>
      <c r="J60" s="332">
        <f t="shared" si="7"/>
        <v>34992.5</v>
      </c>
      <c r="K60" s="332">
        <f t="shared" si="7"/>
        <v>4696.2</v>
      </c>
      <c r="L60" s="332">
        <f t="shared" si="7"/>
        <v>7499.7999999999993</v>
      </c>
      <c r="M60" s="332">
        <f t="shared" si="7"/>
        <v>7532.9</v>
      </c>
      <c r="N60" s="332">
        <f t="shared" si="7"/>
        <v>33.100000000000193</v>
      </c>
      <c r="O60" s="332">
        <f t="shared" si="7"/>
        <v>21086.899999999998</v>
      </c>
      <c r="P60" s="332">
        <f t="shared" si="7"/>
        <v>47680.1</v>
      </c>
      <c r="Q60" s="332">
        <f t="shared" si="7"/>
        <v>26593.200000000001</v>
      </c>
      <c r="R60" s="332">
        <f t="shared" si="7"/>
        <v>26360.799999999999</v>
      </c>
      <c r="S60" s="332">
        <f t="shared" si="7"/>
        <v>23844.600000000002</v>
      </c>
      <c r="T60" s="332">
        <f t="shared" si="7"/>
        <v>-2516.2000000000007</v>
      </c>
      <c r="U60" s="332">
        <f t="shared" si="7"/>
        <v>2192.1999999999998</v>
      </c>
      <c r="V60" s="332">
        <f t="shared" si="7"/>
        <v>5191.2</v>
      </c>
      <c r="W60" s="332">
        <f t="shared" si="7"/>
        <v>2999</v>
      </c>
      <c r="X60" s="332"/>
    </row>
    <row r="61" spans="1:25" ht="18" customHeight="1" x14ac:dyDescent="0.2">
      <c r="A61" s="741" t="s">
        <v>55</v>
      </c>
      <c r="B61" s="742"/>
      <c r="C61" s="742"/>
      <c r="D61" s="742"/>
      <c r="E61" s="742"/>
      <c r="F61" s="742"/>
      <c r="G61" s="742"/>
      <c r="H61" s="742"/>
      <c r="I61" s="742"/>
      <c r="J61" s="742"/>
      <c r="K61" s="742"/>
      <c r="L61" s="742"/>
      <c r="M61" s="742"/>
      <c r="N61" s="742"/>
      <c r="O61" s="742"/>
      <c r="P61" s="742"/>
      <c r="Q61" s="742"/>
      <c r="R61" s="742"/>
      <c r="S61" s="742"/>
      <c r="T61" s="742"/>
      <c r="U61" s="743"/>
      <c r="V61" s="385"/>
      <c r="W61" s="385"/>
      <c r="X61" s="385"/>
      <c r="Y61" s="463"/>
    </row>
    <row r="62" spans="1:25" ht="40.5" customHeight="1" x14ac:dyDescent="0.2">
      <c r="A62" s="408" t="s">
        <v>140</v>
      </c>
      <c r="B62" s="311" t="s">
        <v>99</v>
      </c>
      <c r="C62" s="340" t="s">
        <v>119</v>
      </c>
      <c r="D62" s="302" t="s">
        <v>38</v>
      </c>
      <c r="E62" s="10" t="s">
        <v>75</v>
      </c>
      <c r="F62" s="433">
        <f>I62+L62+O62+R62+U62</f>
        <v>16532.5</v>
      </c>
      <c r="G62" s="433">
        <f>J62+M62+P62+S62+V62</f>
        <v>16532.5</v>
      </c>
      <c r="H62" s="421">
        <f>G62-F62</f>
        <v>0</v>
      </c>
      <c r="I62" s="290">
        <f>16314.9+200+17.6</f>
        <v>16532.5</v>
      </c>
      <c r="J62" s="290">
        <f>16314.9+200+17.6</f>
        <v>16532.5</v>
      </c>
      <c r="K62" s="290"/>
      <c r="L62" s="276">
        <v>0</v>
      </c>
      <c r="M62" s="276">
        <v>0</v>
      </c>
      <c r="N62" s="276"/>
      <c r="O62" s="276">
        <v>0</v>
      </c>
      <c r="P62" s="276">
        <v>0</v>
      </c>
      <c r="Q62" s="276"/>
      <c r="R62" s="276"/>
      <c r="S62" s="276"/>
      <c r="T62" s="276"/>
      <c r="U62" s="276"/>
      <c r="V62" s="276"/>
      <c r="W62" s="276"/>
      <c r="X62" s="291"/>
    </row>
    <row r="63" spans="1:25" ht="42.75" customHeight="1" x14ac:dyDescent="0.2">
      <c r="A63" s="408" t="s">
        <v>105</v>
      </c>
      <c r="B63" s="311" t="s">
        <v>100</v>
      </c>
      <c r="C63" s="340" t="s">
        <v>119</v>
      </c>
      <c r="D63" s="302" t="s">
        <v>37</v>
      </c>
      <c r="E63" s="10" t="s">
        <v>68</v>
      </c>
      <c r="F63" s="433">
        <f t="shared" ref="F63:G80" si="8">I63+L63+O63+R63+U63</f>
        <v>11483.5</v>
      </c>
      <c r="G63" s="433">
        <f t="shared" si="8"/>
        <v>11483.5</v>
      </c>
      <c r="H63" s="421">
        <f>G63-F63</f>
        <v>0</v>
      </c>
      <c r="I63" s="276">
        <v>4662.8999999999996</v>
      </c>
      <c r="J63" s="276">
        <v>4662.8999999999996</v>
      </c>
      <c r="K63" s="290"/>
      <c r="L63" s="276">
        <v>6267.5</v>
      </c>
      <c r="M63" s="276">
        <v>6267.5</v>
      </c>
      <c r="N63" s="276"/>
      <c r="O63" s="276">
        <v>553.1</v>
      </c>
      <c r="P63" s="276">
        <v>553.1</v>
      </c>
      <c r="Q63" s="277"/>
      <c r="R63" s="284"/>
      <c r="S63" s="284"/>
      <c r="T63" s="284"/>
      <c r="U63" s="284"/>
      <c r="V63" s="284"/>
      <c r="W63" s="284"/>
      <c r="X63" s="291"/>
    </row>
    <row r="64" spans="1:25" ht="66.599999999999994" customHeight="1" x14ac:dyDescent="0.2">
      <c r="A64" s="408" t="s">
        <v>161</v>
      </c>
      <c r="B64" s="379" t="s">
        <v>101</v>
      </c>
      <c r="C64" s="279" t="s">
        <v>118</v>
      </c>
      <c r="D64" s="302" t="s">
        <v>38</v>
      </c>
      <c r="E64" s="10" t="s">
        <v>68</v>
      </c>
      <c r="F64" s="406">
        <f t="shared" si="8"/>
        <v>3403.3</v>
      </c>
      <c r="G64" s="406">
        <f t="shared" si="8"/>
        <v>3440.3</v>
      </c>
      <c r="H64" s="406">
        <f>+G64-F64</f>
        <v>37</v>
      </c>
      <c r="I64" s="277">
        <v>786.7</v>
      </c>
      <c r="J64" s="277">
        <v>823.7</v>
      </c>
      <c r="K64" s="277">
        <f>+J64-I64</f>
        <v>37</v>
      </c>
      <c r="L64" s="277">
        <v>2404.4</v>
      </c>
      <c r="M64" s="277">
        <v>2404.4</v>
      </c>
      <c r="N64" s="277"/>
      <c r="O64" s="277">
        <v>212.2</v>
      </c>
      <c r="P64" s="277">
        <v>212.2</v>
      </c>
      <c r="Q64" s="276"/>
      <c r="R64" s="276"/>
      <c r="S64" s="276"/>
      <c r="T64" s="276"/>
      <c r="U64" s="276"/>
      <c r="V64" s="276"/>
      <c r="W64" s="276"/>
      <c r="X64" s="291" t="s">
        <v>358</v>
      </c>
    </row>
    <row r="65" spans="1:25" ht="46.5" customHeight="1" x14ac:dyDescent="0.2">
      <c r="A65" s="408" t="s">
        <v>162</v>
      </c>
      <c r="B65" s="440" t="s">
        <v>316</v>
      </c>
      <c r="C65" s="279" t="s">
        <v>118</v>
      </c>
      <c r="D65" s="303" t="s">
        <v>38</v>
      </c>
      <c r="E65" s="24" t="s">
        <v>73</v>
      </c>
      <c r="F65" s="433">
        <f>I65+L65+O65+R65+U65</f>
        <v>3107.4</v>
      </c>
      <c r="G65" s="433">
        <f>J65+M65+P65+S65+V65</f>
        <v>3107.4</v>
      </c>
      <c r="H65" s="344">
        <f>G65-F65</f>
        <v>0</v>
      </c>
      <c r="I65" s="284">
        <f>1594.4+144.6-924.9+2107.3+186</f>
        <v>3107.4</v>
      </c>
      <c r="J65" s="284">
        <f>1594.4+144.6-924.9+2107.3+186</f>
        <v>3107.4</v>
      </c>
      <c r="K65" s="284"/>
      <c r="L65" s="284">
        <v>0</v>
      </c>
      <c r="M65" s="284">
        <v>0</v>
      </c>
      <c r="N65" s="284"/>
      <c r="O65" s="284">
        <v>0</v>
      </c>
      <c r="P65" s="284">
        <v>0</v>
      </c>
      <c r="Q65" s="284"/>
      <c r="R65" s="276"/>
      <c r="S65" s="276"/>
      <c r="T65" s="276"/>
      <c r="U65" s="276"/>
      <c r="V65" s="276"/>
      <c r="W65" s="276"/>
      <c r="X65" s="310"/>
    </row>
    <row r="66" spans="1:25" ht="40.5" customHeight="1" x14ac:dyDescent="0.2">
      <c r="A66" s="408" t="s">
        <v>24</v>
      </c>
      <c r="B66" s="379" t="s">
        <v>103</v>
      </c>
      <c r="C66" s="279" t="s">
        <v>287</v>
      </c>
      <c r="D66" s="302" t="s">
        <v>38</v>
      </c>
      <c r="E66" s="10" t="s">
        <v>68</v>
      </c>
      <c r="F66" s="406">
        <f t="shared" si="8"/>
        <v>1803.0000000000002</v>
      </c>
      <c r="G66" s="406">
        <f t="shared" si="8"/>
        <v>1826.0000000000002</v>
      </c>
      <c r="H66" s="406">
        <f>+G66-F66</f>
        <v>23</v>
      </c>
      <c r="I66" s="277">
        <v>380.7</v>
      </c>
      <c r="J66" s="277">
        <v>405.4</v>
      </c>
      <c r="K66" s="277">
        <f>+J66-I66</f>
        <v>24.699999999999989</v>
      </c>
      <c r="L66" s="277">
        <v>1306.9000000000001</v>
      </c>
      <c r="M66" s="277">
        <v>1305.4000000000001</v>
      </c>
      <c r="N66" s="277">
        <f>+M66-L66</f>
        <v>-1.5</v>
      </c>
      <c r="O66" s="277">
        <v>115.4</v>
      </c>
      <c r="P66" s="277">
        <v>115.2</v>
      </c>
      <c r="Q66" s="277">
        <f>+P66-O66</f>
        <v>-0.20000000000000284</v>
      </c>
      <c r="R66" s="276"/>
      <c r="S66" s="276"/>
      <c r="T66" s="276"/>
      <c r="U66" s="276"/>
      <c r="V66" s="276"/>
      <c r="W66" s="276"/>
      <c r="X66" s="311" t="s">
        <v>356</v>
      </c>
    </row>
    <row r="67" spans="1:25" ht="41.25" customHeight="1" x14ac:dyDescent="0.2">
      <c r="A67" s="408" t="s">
        <v>31</v>
      </c>
      <c r="B67" s="311" t="s">
        <v>263</v>
      </c>
      <c r="C67" s="340" t="s">
        <v>121</v>
      </c>
      <c r="D67" s="302" t="s">
        <v>23</v>
      </c>
      <c r="E67" s="10" t="s">
        <v>68</v>
      </c>
      <c r="F67" s="433">
        <f t="shared" si="8"/>
        <v>94</v>
      </c>
      <c r="G67" s="433">
        <f t="shared" si="8"/>
        <v>94</v>
      </c>
      <c r="H67" s="433">
        <f>+G67-F67</f>
        <v>0</v>
      </c>
      <c r="I67" s="270">
        <v>94</v>
      </c>
      <c r="J67" s="270">
        <v>94</v>
      </c>
      <c r="K67" s="270"/>
      <c r="L67" s="276"/>
      <c r="M67" s="276"/>
      <c r="N67" s="276"/>
      <c r="O67" s="276"/>
      <c r="P67" s="276"/>
      <c r="Q67" s="276"/>
      <c r="R67" s="276"/>
      <c r="S67" s="276"/>
      <c r="T67" s="276"/>
      <c r="U67" s="276"/>
      <c r="V67" s="276"/>
      <c r="W67" s="276"/>
      <c r="X67" s="276"/>
    </row>
    <row r="68" spans="1:25" ht="31.5" customHeight="1" x14ac:dyDescent="0.2">
      <c r="A68" s="408" t="s">
        <v>163</v>
      </c>
      <c r="B68" s="311" t="s">
        <v>39</v>
      </c>
      <c r="C68" s="291" t="s">
        <v>76</v>
      </c>
      <c r="D68" s="10" t="s">
        <v>37</v>
      </c>
      <c r="E68" s="10" t="s">
        <v>155</v>
      </c>
      <c r="F68" s="433">
        <f t="shared" si="8"/>
        <v>1458.8</v>
      </c>
      <c r="G68" s="433">
        <f t="shared" si="8"/>
        <v>1458.8</v>
      </c>
      <c r="H68" s="433">
        <f>+G68-F68</f>
        <v>0</v>
      </c>
      <c r="I68" s="276">
        <v>1458.8</v>
      </c>
      <c r="J68" s="276">
        <v>1458.8</v>
      </c>
      <c r="K68" s="276"/>
      <c r="L68" s="276"/>
      <c r="M68" s="276"/>
      <c r="N68" s="276"/>
      <c r="O68" s="276"/>
      <c r="P68" s="276"/>
      <c r="Q68" s="276"/>
      <c r="R68" s="276"/>
      <c r="S68" s="276"/>
      <c r="T68" s="276"/>
      <c r="U68" s="276"/>
      <c r="V68" s="276"/>
      <c r="W68" s="276"/>
      <c r="X68" s="276"/>
    </row>
    <row r="69" spans="1:25" ht="39.75" customHeight="1" x14ac:dyDescent="0.2">
      <c r="A69" s="408" t="s">
        <v>174</v>
      </c>
      <c r="B69" s="311" t="s">
        <v>300</v>
      </c>
      <c r="C69" s="291"/>
      <c r="D69" s="10" t="s">
        <v>26</v>
      </c>
      <c r="E69" s="10" t="s">
        <v>75</v>
      </c>
      <c r="F69" s="433">
        <f t="shared" si="8"/>
        <v>314.8</v>
      </c>
      <c r="G69" s="433">
        <f t="shared" si="8"/>
        <v>314.8</v>
      </c>
      <c r="H69" s="433">
        <f>+G69-F69</f>
        <v>0</v>
      </c>
      <c r="I69" s="276">
        <v>314.8</v>
      </c>
      <c r="J69" s="276">
        <v>314.8</v>
      </c>
      <c r="K69" s="276"/>
      <c r="L69" s="276"/>
      <c r="M69" s="276"/>
      <c r="N69" s="276"/>
      <c r="O69" s="276"/>
      <c r="P69" s="276"/>
      <c r="Q69" s="276"/>
      <c r="R69" s="276"/>
      <c r="S69" s="276"/>
      <c r="T69" s="276"/>
      <c r="U69" s="276"/>
      <c r="V69" s="276"/>
      <c r="W69" s="276"/>
      <c r="X69" s="276"/>
    </row>
    <row r="70" spans="1:25" ht="22.5" customHeight="1" x14ac:dyDescent="0.2">
      <c r="A70" s="408" t="s">
        <v>175</v>
      </c>
      <c r="B70" s="439" t="s">
        <v>35</v>
      </c>
      <c r="C70" s="282" t="s">
        <v>61</v>
      </c>
      <c r="D70" s="52" t="s">
        <v>37</v>
      </c>
      <c r="E70" s="52" t="s">
        <v>68</v>
      </c>
      <c r="F70" s="433">
        <f t="shared" si="8"/>
        <v>890</v>
      </c>
      <c r="G70" s="433">
        <f t="shared" si="8"/>
        <v>890</v>
      </c>
      <c r="H70" s="417">
        <f>G70-F70</f>
        <v>0</v>
      </c>
      <c r="I70" s="304">
        <f>791+99</f>
        <v>890</v>
      </c>
      <c r="J70" s="304">
        <f>791+99</f>
        <v>890</v>
      </c>
      <c r="K70" s="304"/>
      <c r="L70" s="304"/>
      <c r="M70" s="304"/>
      <c r="N70" s="304"/>
      <c r="O70" s="304"/>
      <c r="P70" s="304"/>
      <c r="Q70" s="304"/>
      <c r="R70" s="304"/>
      <c r="S70" s="304"/>
      <c r="T70" s="304"/>
      <c r="U70" s="284"/>
      <c r="V70" s="284"/>
      <c r="W70" s="284"/>
      <c r="X70" s="440"/>
    </row>
    <row r="71" spans="1:25" ht="16.350000000000001" customHeight="1" x14ac:dyDescent="0.2">
      <c r="A71" s="408" t="s">
        <v>176</v>
      </c>
      <c r="B71" s="311" t="s">
        <v>170</v>
      </c>
      <c r="C71" s="276" t="s">
        <v>61</v>
      </c>
      <c r="D71" s="10" t="s">
        <v>37</v>
      </c>
      <c r="E71" s="10" t="s">
        <v>75</v>
      </c>
      <c r="F71" s="433">
        <f t="shared" si="8"/>
        <v>1473</v>
      </c>
      <c r="G71" s="433">
        <f t="shared" si="8"/>
        <v>1473</v>
      </c>
      <c r="H71" s="343">
        <f t="shared" ref="H71:H78" si="9">+G71-F71</f>
        <v>0</v>
      </c>
      <c r="I71" s="276">
        <v>1473</v>
      </c>
      <c r="J71" s="276">
        <v>1473</v>
      </c>
      <c r="K71" s="276"/>
      <c r="L71" s="277"/>
      <c r="M71" s="277"/>
      <c r="N71" s="277"/>
      <c r="O71" s="277"/>
      <c r="P71" s="277"/>
      <c r="Q71" s="414"/>
      <c r="R71" s="277"/>
      <c r="S71" s="277"/>
      <c r="T71" s="289"/>
      <c r="U71" s="277"/>
      <c r="V71" s="277"/>
      <c r="W71" s="277"/>
      <c r="X71" s="277"/>
    </row>
    <row r="72" spans="1:25" ht="39.75" customHeight="1" x14ac:dyDescent="0.2">
      <c r="A72" s="408" t="s">
        <v>177</v>
      </c>
      <c r="B72" s="311" t="s">
        <v>314</v>
      </c>
      <c r="C72" s="312"/>
      <c r="D72" s="10" t="s">
        <v>68</v>
      </c>
      <c r="E72" s="6" t="s">
        <v>73</v>
      </c>
      <c r="F72" s="433">
        <f t="shared" si="8"/>
        <v>400</v>
      </c>
      <c r="G72" s="433">
        <f t="shared" si="8"/>
        <v>400</v>
      </c>
      <c r="H72" s="381">
        <f t="shared" si="9"/>
        <v>0</v>
      </c>
      <c r="I72" s="276">
        <v>400</v>
      </c>
      <c r="J72" s="276">
        <v>400</v>
      </c>
      <c r="K72" s="313"/>
      <c r="L72" s="277"/>
      <c r="M72" s="277"/>
      <c r="N72" s="277"/>
      <c r="O72" s="277"/>
      <c r="P72" s="277"/>
      <c r="Q72" s="287"/>
      <c r="R72" s="277"/>
      <c r="S72" s="277"/>
      <c r="T72" s="287"/>
      <c r="U72" s="277"/>
      <c r="V72" s="277"/>
      <c r="W72" s="277"/>
      <c r="X72" s="277"/>
    </row>
    <row r="73" spans="1:25" ht="30" customHeight="1" x14ac:dyDescent="0.2">
      <c r="A73" s="408" t="s">
        <v>178</v>
      </c>
      <c r="B73" s="311" t="s">
        <v>154</v>
      </c>
      <c r="C73" s="312"/>
      <c r="D73" s="10" t="s">
        <v>37</v>
      </c>
      <c r="E73" s="6" t="s">
        <v>26</v>
      </c>
      <c r="F73" s="433">
        <f t="shared" si="8"/>
        <v>400</v>
      </c>
      <c r="G73" s="433">
        <f t="shared" si="8"/>
        <v>400</v>
      </c>
      <c r="H73" s="381">
        <f t="shared" si="9"/>
        <v>0</v>
      </c>
      <c r="I73" s="276">
        <v>400</v>
      </c>
      <c r="J73" s="276">
        <v>400</v>
      </c>
      <c r="K73" s="313"/>
      <c r="L73" s="277"/>
      <c r="M73" s="277"/>
      <c r="N73" s="277"/>
      <c r="O73" s="277"/>
      <c r="P73" s="277"/>
      <c r="Q73" s="287"/>
      <c r="R73" s="277"/>
      <c r="S73" s="277"/>
      <c r="T73" s="287"/>
      <c r="U73" s="277"/>
      <c r="V73" s="277"/>
      <c r="W73" s="277"/>
      <c r="X73" s="277"/>
    </row>
    <row r="74" spans="1:25" ht="17.45" customHeight="1" x14ac:dyDescent="0.2">
      <c r="A74" s="408" t="s">
        <v>179</v>
      </c>
      <c r="B74" s="311" t="s">
        <v>321</v>
      </c>
      <c r="C74" s="314"/>
      <c r="D74" s="50" t="s">
        <v>68</v>
      </c>
      <c r="E74" s="71" t="s">
        <v>73</v>
      </c>
      <c r="F74" s="433">
        <f t="shared" si="8"/>
        <v>3178.3</v>
      </c>
      <c r="G74" s="433">
        <f t="shared" si="8"/>
        <v>3178.3</v>
      </c>
      <c r="H74" s="382">
        <f t="shared" si="9"/>
        <v>0</v>
      </c>
      <c r="I74" s="270">
        <v>3178.3</v>
      </c>
      <c r="J74" s="270">
        <v>3178.3</v>
      </c>
      <c r="K74" s="314"/>
      <c r="L74" s="282"/>
      <c r="M74" s="282"/>
      <c r="N74" s="282"/>
      <c r="O74" s="286"/>
      <c r="P74" s="286"/>
      <c r="Q74" s="288"/>
      <c r="R74" s="271"/>
      <c r="S74" s="271"/>
      <c r="T74" s="288"/>
      <c r="U74" s="356"/>
      <c r="V74" s="356"/>
      <c r="W74" s="356"/>
      <c r="X74" s="356"/>
    </row>
    <row r="75" spans="1:25" ht="28.5" customHeight="1" x14ac:dyDescent="0.2">
      <c r="A75" s="408" t="s">
        <v>180</v>
      </c>
      <c r="B75" s="311" t="s">
        <v>171</v>
      </c>
      <c r="C75" s="270" t="s">
        <v>61</v>
      </c>
      <c r="D75" s="28" t="s">
        <v>23</v>
      </c>
      <c r="E75" s="28" t="s">
        <v>156</v>
      </c>
      <c r="F75" s="433">
        <f t="shared" si="8"/>
        <v>597</v>
      </c>
      <c r="G75" s="433">
        <f t="shared" si="8"/>
        <v>597</v>
      </c>
      <c r="H75" s="343">
        <f t="shared" si="9"/>
        <v>0</v>
      </c>
      <c r="I75" s="276">
        <v>597</v>
      </c>
      <c r="J75" s="276">
        <v>597</v>
      </c>
      <c r="K75" s="276"/>
      <c r="L75" s="271"/>
      <c r="M75" s="271"/>
      <c r="N75" s="271"/>
      <c r="O75" s="271"/>
      <c r="P75" s="271"/>
      <c r="Q75" s="415"/>
      <c r="R75" s="271"/>
      <c r="S75" s="271"/>
      <c r="T75" s="416"/>
      <c r="U75" s="271"/>
      <c r="V75" s="271"/>
      <c r="W75" s="271"/>
      <c r="X75" s="271"/>
    </row>
    <row r="76" spans="1:25" ht="41.45" customHeight="1" x14ac:dyDescent="0.2">
      <c r="A76" s="408" t="s">
        <v>181</v>
      </c>
      <c r="B76" s="311" t="s">
        <v>315</v>
      </c>
      <c r="C76" s="315" t="s">
        <v>115</v>
      </c>
      <c r="D76" s="10" t="s">
        <v>68</v>
      </c>
      <c r="E76" s="73" t="s">
        <v>73</v>
      </c>
      <c r="F76" s="433">
        <f t="shared" si="8"/>
        <v>918.4</v>
      </c>
      <c r="G76" s="433">
        <f t="shared" si="8"/>
        <v>918.4</v>
      </c>
      <c r="H76" s="383">
        <f t="shared" si="9"/>
        <v>0</v>
      </c>
      <c r="I76" s="316">
        <v>918.4</v>
      </c>
      <c r="J76" s="316">
        <v>918.4</v>
      </c>
      <c r="K76" s="316"/>
      <c r="L76" s="277"/>
      <c r="M76" s="277"/>
      <c r="N76" s="277"/>
      <c r="O76" s="277"/>
      <c r="P76" s="277"/>
      <c r="Q76" s="287"/>
      <c r="R76" s="277"/>
      <c r="S76" s="277"/>
      <c r="T76" s="289"/>
      <c r="U76" s="277"/>
      <c r="V76" s="277"/>
      <c r="W76" s="277"/>
      <c r="X76" s="277"/>
    </row>
    <row r="77" spans="1:25" ht="43.35" customHeight="1" x14ac:dyDescent="0.2">
      <c r="A77" s="408" t="s">
        <v>182</v>
      </c>
      <c r="B77" s="311" t="s">
        <v>141</v>
      </c>
      <c r="C77" s="270" t="s">
        <v>173</v>
      </c>
      <c r="D77" s="10" t="s">
        <v>23</v>
      </c>
      <c r="E77" s="10" t="s">
        <v>73</v>
      </c>
      <c r="F77" s="433">
        <f t="shared" si="8"/>
        <v>416.7</v>
      </c>
      <c r="G77" s="433">
        <f t="shared" si="8"/>
        <v>416.7</v>
      </c>
      <c r="H77" s="343">
        <f t="shared" si="9"/>
        <v>0</v>
      </c>
      <c r="I77" s="276">
        <v>416.7</v>
      </c>
      <c r="J77" s="276">
        <v>416.7</v>
      </c>
      <c r="K77" s="276"/>
      <c r="L77" s="276"/>
      <c r="M77" s="276"/>
      <c r="N77" s="276"/>
      <c r="O77" s="277"/>
      <c r="P77" s="277"/>
      <c r="Q77" s="277"/>
      <c r="R77" s="277"/>
      <c r="S77" s="277"/>
      <c r="T77" s="277"/>
      <c r="U77" s="277"/>
      <c r="V77" s="277"/>
      <c r="W77" s="277"/>
      <c r="X77" s="277"/>
    </row>
    <row r="78" spans="1:25" ht="33" customHeight="1" x14ac:dyDescent="0.2">
      <c r="A78" s="408" t="s">
        <v>183</v>
      </c>
      <c r="B78" s="357" t="s">
        <v>159</v>
      </c>
      <c r="C78" s="358" t="s">
        <v>142</v>
      </c>
      <c r="D78" s="359" t="s">
        <v>25</v>
      </c>
      <c r="E78" s="359" t="s">
        <v>73</v>
      </c>
      <c r="F78" s="433">
        <f t="shared" si="8"/>
        <v>7051.6</v>
      </c>
      <c r="G78" s="433">
        <f t="shared" si="8"/>
        <v>7051.6</v>
      </c>
      <c r="H78" s="348">
        <f t="shared" si="9"/>
        <v>0</v>
      </c>
      <c r="I78" s="304">
        <f>3600+3451.6</f>
        <v>7051.6</v>
      </c>
      <c r="J78" s="304">
        <f>3600+3451.6</f>
        <v>7051.6</v>
      </c>
      <c r="K78" s="304"/>
      <c r="L78" s="307"/>
      <c r="M78" s="307"/>
      <c r="N78" s="307"/>
      <c r="O78" s="307"/>
      <c r="P78" s="307"/>
      <c r="Q78" s="307"/>
      <c r="R78" s="360"/>
      <c r="S78" s="360"/>
      <c r="T78" s="360"/>
      <c r="U78" s="360"/>
      <c r="V78" s="360"/>
      <c r="W78" s="360"/>
      <c r="X78" s="360"/>
      <c r="Y78" s="322"/>
    </row>
    <row r="79" spans="1:25" ht="41.25" customHeight="1" x14ac:dyDescent="0.2">
      <c r="A79" s="408" t="s">
        <v>184</v>
      </c>
      <c r="B79" s="379" t="s">
        <v>104</v>
      </c>
      <c r="C79" s="340" t="s">
        <v>119</v>
      </c>
      <c r="D79" s="302" t="s">
        <v>38</v>
      </c>
      <c r="E79" s="10" t="s">
        <v>73</v>
      </c>
      <c r="F79" s="343">
        <f t="shared" si="8"/>
        <v>6307.8</v>
      </c>
      <c r="G79" s="343">
        <f t="shared" si="8"/>
        <v>6307.8</v>
      </c>
      <c r="H79" s="406">
        <f>G79-F79</f>
        <v>0</v>
      </c>
      <c r="I79" s="277">
        <v>1488.3</v>
      </c>
      <c r="J79" s="277">
        <v>1220.3</v>
      </c>
      <c r="K79" s="277">
        <f>+J79-I79</f>
        <v>-268</v>
      </c>
      <c r="L79" s="277">
        <v>4428.7</v>
      </c>
      <c r="M79" s="277">
        <v>4675</v>
      </c>
      <c r="N79" s="277">
        <f>+M79-L79</f>
        <v>246.30000000000018</v>
      </c>
      <c r="O79" s="277">
        <v>390.8</v>
      </c>
      <c r="P79" s="277">
        <v>412.5</v>
      </c>
      <c r="Q79" s="277">
        <f>+P79-O79</f>
        <v>21.699999999999989</v>
      </c>
      <c r="R79" s="276"/>
      <c r="S79" s="276"/>
      <c r="T79" s="276"/>
      <c r="U79" s="276"/>
      <c r="V79" s="276"/>
      <c r="W79" s="276"/>
      <c r="X79" s="311" t="s">
        <v>355</v>
      </c>
    </row>
    <row r="80" spans="1:25" ht="41.1" customHeight="1" x14ac:dyDescent="0.2">
      <c r="A80" s="408" t="s">
        <v>185</v>
      </c>
      <c r="B80" s="311" t="s">
        <v>143</v>
      </c>
      <c r="C80" s="270" t="s">
        <v>144</v>
      </c>
      <c r="D80" s="10" t="s">
        <v>26</v>
      </c>
      <c r="E80" s="10" t="s">
        <v>73</v>
      </c>
      <c r="F80" s="433">
        <f t="shared" si="8"/>
        <v>749.8</v>
      </c>
      <c r="G80" s="433">
        <f>J80+M80+P80+S80+V80</f>
        <v>749.8</v>
      </c>
      <c r="H80" s="343">
        <f>+G80-F80</f>
        <v>0</v>
      </c>
      <c r="I80" s="270">
        <v>749.8</v>
      </c>
      <c r="J80" s="270">
        <v>749.8</v>
      </c>
      <c r="K80" s="270"/>
      <c r="L80" s="276"/>
      <c r="M80" s="276"/>
      <c r="N80" s="276"/>
      <c r="O80" s="276"/>
      <c r="P80" s="276"/>
      <c r="Q80" s="276"/>
      <c r="R80" s="276"/>
      <c r="S80" s="276"/>
      <c r="T80" s="276"/>
      <c r="U80" s="276"/>
      <c r="V80" s="276"/>
      <c r="W80" s="276"/>
      <c r="X80" s="276"/>
    </row>
    <row r="81" spans="1:24" ht="15" customHeight="1" x14ac:dyDescent="0.2">
      <c r="A81" s="353" t="s">
        <v>185</v>
      </c>
      <c r="B81" s="434" t="s">
        <v>323</v>
      </c>
      <c r="C81" s="329"/>
      <c r="D81" s="330"/>
      <c r="E81" s="331" t="s">
        <v>17</v>
      </c>
      <c r="F81" s="332">
        <f>SUM(F62:F80)</f>
        <v>60579.900000000009</v>
      </c>
      <c r="G81" s="332">
        <f>SUM(G62:G80)</f>
        <v>60639.900000000009</v>
      </c>
      <c r="H81" s="332">
        <f>SUM(H62:H80)</f>
        <v>60</v>
      </c>
      <c r="I81" s="332">
        <f>SUM(I62:I80)</f>
        <v>44900.900000000009</v>
      </c>
      <c r="J81" s="332">
        <f>SUM(J62:J80)</f>
        <v>44694.600000000006</v>
      </c>
      <c r="K81" s="332">
        <f t="shared" ref="K81:W81" si="10">SUM(K62:K80)</f>
        <v>-206.3</v>
      </c>
      <c r="L81" s="332">
        <f t="shared" si="10"/>
        <v>14407.5</v>
      </c>
      <c r="M81" s="332">
        <f t="shared" si="10"/>
        <v>14652.3</v>
      </c>
      <c r="N81" s="332">
        <f t="shared" si="10"/>
        <v>244.80000000000018</v>
      </c>
      <c r="O81" s="332">
        <f t="shared" si="10"/>
        <v>1271.5</v>
      </c>
      <c r="P81" s="332">
        <f t="shared" si="10"/>
        <v>1293</v>
      </c>
      <c r="Q81" s="332">
        <f t="shared" si="10"/>
        <v>21.499999999999986</v>
      </c>
      <c r="R81" s="332">
        <f t="shared" si="10"/>
        <v>0</v>
      </c>
      <c r="S81" s="332">
        <f t="shared" si="10"/>
        <v>0</v>
      </c>
      <c r="T81" s="332">
        <f t="shared" si="10"/>
        <v>0</v>
      </c>
      <c r="U81" s="332">
        <f t="shared" si="10"/>
        <v>0</v>
      </c>
      <c r="V81" s="332">
        <f t="shared" si="10"/>
        <v>0</v>
      </c>
      <c r="W81" s="332">
        <f t="shared" si="10"/>
        <v>0</v>
      </c>
      <c r="X81" s="332">
        <f>SUM(X62:X80)</f>
        <v>0</v>
      </c>
    </row>
    <row r="82" spans="1:24" s="292" customFormat="1" ht="15" customHeight="1" x14ac:dyDescent="0.25">
      <c r="A82" s="744" t="s">
        <v>53</v>
      </c>
      <c r="B82" s="745"/>
      <c r="C82" s="745"/>
      <c r="D82" s="745"/>
      <c r="E82" s="745"/>
      <c r="F82" s="745"/>
      <c r="G82" s="745"/>
      <c r="H82" s="745"/>
      <c r="I82" s="745"/>
      <c r="J82" s="745"/>
      <c r="K82" s="745"/>
      <c r="L82" s="745"/>
      <c r="M82" s="745"/>
      <c r="N82" s="745"/>
      <c r="O82" s="745"/>
      <c r="P82" s="745"/>
      <c r="Q82" s="745"/>
      <c r="R82" s="745"/>
      <c r="S82" s="745"/>
      <c r="T82" s="745"/>
      <c r="U82" s="746"/>
      <c r="V82" s="386"/>
      <c r="W82" s="386"/>
      <c r="X82" s="386"/>
    </row>
    <row r="83" spans="1:24" s="292" customFormat="1" ht="65.25" customHeight="1" x14ac:dyDescent="0.25">
      <c r="A83" s="349" t="s">
        <v>140</v>
      </c>
      <c r="B83" s="275" t="s">
        <v>91</v>
      </c>
      <c r="C83" s="293" t="s">
        <v>166</v>
      </c>
      <c r="D83" s="33" t="s">
        <v>25</v>
      </c>
      <c r="E83" s="33" t="s">
        <v>26</v>
      </c>
      <c r="F83" s="433">
        <f>+I83+L83</f>
        <v>2081.3000000000002</v>
      </c>
      <c r="G83" s="433">
        <f>+J83+L83</f>
        <v>2081.3000000000002</v>
      </c>
      <c r="H83" s="433"/>
      <c r="I83" s="270">
        <v>882.8</v>
      </c>
      <c r="J83" s="270">
        <v>882.8</v>
      </c>
      <c r="K83" s="270"/>
      <c r="L83" s="270">
        <v>1198.5</v>
      </c>
      <c r="M83" s="270">
        <v>1198.5</v>
      </c>
      <c r="N83" s="270"/>
      <c r="O83" s="270"/>
      <c r="P83" s="270"/>
      <c r="Q83" s="270"/>
      <c r="R83" s="432"/>
      <c r="S83" s="432"/>
      <c r="T83" s="432"/>
      <c r="U83" s="432"/>
      <c r="V83" s="432"/>
      <c r="W83" s="432"/>
      <c r="X83" s="432"/>
    </row>
    <row r="84" spans="1:24" s="292" customFormat="1" ht="29.45" customHeight="1" x14ac:dyDescent="0.25">
      <c r="A84" s="349" t="s">
        <v>105</v>
      </c>
      <c r="B84" s="275" t="s">
        <v>95</v>
      </c>
      <c r="C84" s="293" t="s">
        <v>167</v>
      </c>
      <c r="D84" s="33" t="s">
        <v>38</v>
      </c>
      <c r="E84" s="33" t="s">
        <v>68</v>
      </c>
      <c r="F84" s="433">
        <f>+I84+L84</f>
        <v>900</v>
      </c>
      <c r="G84" s="433">
        <f>+J84+L84</f>
        <v>900</v>
      </c>
      <c r="H84" s="433"/>
      <c r="I84" s="270">
        <v>900</v>
      </c>
      <c r="J84" s="270">
        <v>900</v>
      </c>
      <c r="K84" s="270"/>
      <c r="L84" s="270"/>
      <c r="M84" s="270"/>
      <c r="N84" s="270"/>
      <c r="O84" s="270"/>
      <c r="P84" s="270"/>
      <c r="Q84" s="270"/>
      <c r="R84" s="432"/>
      <c r="S84" s="432"/>
      <c r="T84" s="432"/>
      <c r="U84" s="432"/>
      <c r="V84" s="432"/>
      <c r="W84" s="432"/>
      <c r="X84" s="432"/>
    </row>
    <row r="85" spans="1:24" s="292" customFormat="1" ht="30" customHeight="1" x14ac:dyDescent="0.25">
      <c r="A85" s="349" t="s">
        <v>161</v>
      </c>
      <c r="B85" s="294" t="s">
        <v>134</v>
      </c>
      <c r="C85" s="295" t="s">
        <v>168</v>
      </c>
      <c r="D85" s="33" t="s">
        <v>37</v>
      </c>
      <c r="E85" s="35" t="s">
        <v>73</v>
      </c>
      <c r="F85" s="433">
        <f>+I85+L85</f>
        <v>1000</v>
      </c>
      <c r="G85" s="433">
        <f>+J85+L85</f>
        <v>1000</v>
      </c>
      <c r="H85" s="433"/>
      <c r="I85" s="270">
        <v>1000</v>
      </c>
      <c r="J85" s="270">
        <v>1000</v>
      </c>
      <c r="K85" s="270"/>
      <c r="L85" s="270"/>
      <c r="M85" s="270"/>
      <c r="N85" s="270"/>
      <c r="O85" s="270"/>
      <c r="P85" s="270"/>
      <c r="Q85" s="270"/>
      <c r="R85" s="432"/>
      <c r="S85" s="432"/>
      <c r="T85" s="432"/>
      <c r="U85" s="432"/>
      <c r="V85" s="432"/>
      <c r="W85" s="432"/>
      <c r="X85" s="432"/>
    </row>
    <row r="86" spans="1:24" s="292" customFormat="1" ht="43.5" customHeight="1" x14ac:dyDescent="0.25">
      <c r="A86" s="349" t="s">
        <v>162</v>
      </c>
      <c r="B86" s="294" t="s">
        <v>125</v>
      </c>
      <c r="C86" s="295" t="s">
        <v>126</v>
      </c>
      <c r="D86" s="33" t="s">
        <v>37</v>
      </c>
      <c r="E86" s="35" t="s">
        <v>298</v>
      </c>
      <c r="F86" s="433">
        <f>+I86+L86</f>
        <v>3900</v>
      </c>
      <c r="G86" s="433">
        <f>+J86+L86</f>
        <v>3900</v>
      </c>
      <c r="H86" s="433"/>
      <c r="I86" s="270">
        <v>3900</v>
      </c>
      <c r="J86" s="270">
        <v>3900</v>
      </c>
      <c r="K86" s="270"/>
      <c r="L86" s="270"/>
      <c r="M86" s="270"/>
      <c r="N86" s="270"/>
      <c r="O86" s="270"/>
      <c r="P86" s="270"/>
      <c r="Q86" s="270"/>
      <c r="R86" s="432"/>
      <c r="S86" s="432"/>
      <c r="T86" s="432"/>
      <c r="U86" s="432"/>
      <c r="V86" s="432"/>
      <c r="W86" s="432"/>
      <c r="X86" s="432"/>
    </row>
    <row r="87" spans="1:24" s="292" customFormat="1" ht="30.6" customHeight="1" x14ac:dyDescent="0.25">
      <c r="A87" s="349" t="s">
        <v>24</v>
      </c>
      <c r="B87" s="275" t="s">
        <v>301</v>
      </c>
      <c r="C87" s="295" t="s">
        <v>70</v>
      </c>
      <c r="D87" s="33" t="s">
        <v>73</v>
      </c>
      <c r="E87" s="35" t="s">
        <v>75</v>
      </c>
      <c r="F87" s="377">
        <f>+I87+L87</f>
        <v>120</v>
      </c>
      <c r="G87" s="377">
        <f>+J87+L87</f>
        <v>120</v>
      </c>
      <c r="H87" s="377"/>
      <c r="I87" s="270">
        <v>120</v>
      </c>
      <c r="J87" s="270">
        <v>120</v>
      </c>
      <c r="K87" s="270"/>
      <c r="L87" s="270"/>
      <c r="M87" s="270"/>
      <c r="N87" s="270"/>
      <c r="O87" s="270"/>
      <c r="P87" s="270"/>
      <c r="Q87" s="270"/>
      <c r="R87" s="376"/>
      <c r="S87" s="399"/>
      <c r="T87" s="399"/>
      <c r="U87" s="376"/>
      <c r="V87" s="404"/>
      <c r="W87" s="404"/>
      <c r="X87" s="376"/>
    </row>
    <row r="88" spans="1:24" s="292" customFormat="1" ht="15.75" customHeight="1" x14ac:dyDescent="0.25">
      <c r="A88" s="351">
        <v>5</v>
      </c>
      <c r="B88" s="374" t="s">
        <v>322</v>
      </c>
      <c r="C88" s="325"/>
      <c r="D88" s="326"/>
      <c r="E88" s="333" t="s">
        <v>17</v>
      </c>
      <c r="F88" s="334">
        <f>SUM(F83:F87)</f>
        <v>8001.3</v>
      </c>
      <c r="G88" s="334">
        <f>SUM(G83:G87)</f>
        <v>8001.3</v>
      </c>
      <c r="H88" s="334"/>
      <c r="I88" s="334">
        <f>SUM(I83:I87)</f>
        <v>6802.8</v>
      </c>
      <c r="J88" s="334">
        <f>SUM(J83:J87)</f>
        <v>6802.8</v>
      </c>
      <c r="K88" s="334">
        <f t="shared" ref="K88:W88" si="11">SUM(K83:K87)</f>
        <v>0</v>
      </c>
      <c r="L88" s="334">
        <f t="shared" si="11"/>
        <v>1198.5</v>
      </c>
      <c r="M88" s="334">
        <f t="shared" si="11"/>
        <v>1198.5</v>
      </c>
      <c r="N88" s="334">
        <f t="shared" si="11"/>
        <v>0</v>
      </c>
      <c r="O88" s="334">
        <f t="shared" si="11"/>
        <v>0</v>
      </c>
      <c r="P88" s="334">
        <f t="shared" si="11"/>
        <v>0</v>
      </c>
      <c r="Q88" s="334">
        <f t="shared" si="11"/>
        <v>0</v>
      </c>
      <c r="R88" s="334">
        <f t="shared" si="11"/>
        <v>0</v>
      </c>
      <c r="S88" s="334">
        <f t="shared" si="11"/>
        <v>0</v>
      </c>
      <c r="T88" s="334">
        <f t="shared" si="11"/>
        <v>0</v>
      </c>
      <c r="U88" s="334">
        <f t="shared" si="11"/>
        <v>0</v>
      </c>
      <c r="V88" s="334">
        <f t="shared" si="11"/>
        <v>0</v>
      </c>
      <c r="W88" s="334">
        <f t="shared" si="11"/>
        <v>0</v>
      </c>
      <c r="X88" s="334">
        <f>SUM(X83:X87)</f>
        <v>0</v>
      </c>
    </row>
    <row r="89" spans="1:24" s="292" customFormat="1" ht="18" customHeight="1" x14ac:dyDescent="0.25">
      <c r="A89" s="747" t="s">
        <v>54</v>
      </c>
      <c r="B89" s="748"/>
      <c r="C89" s="748"/>
      <c r="D89" s="748"/>
      <c r="E89" s="748"/>
      <c r="F89" s="748"/>
      <c r="G89" s="748"/>
      <c r="H89" s="748"/>
      <c r="I89" s="748"/>
      <c r="J89" s="748"/>
      <c r="K89" s="748"/>
      <c r="L89" s="748"/>
      <c r="M89" s="748"/>
      <c r="N89" s="748"/>
      <c r="O89" s="748"/>
      <c r="P89" s="748"/>
      <c r="Q89" s="748"/>
      <c r="R89" s="748"/>
      <c r="S89" s="748"/>
      <c r="T89" s="748"/>
      <c r="U89" s="749"/>
      <c r="V89" s="387"/>
      <c r="W89" s="387"/>
      <c r="X89" s="387"/>
    </row>
    <row r="90" spans="1:24" s="292" customFormat="1" ht="81.599999999999994" customHeight="1" x14ac:dyDescent="0.25">
      <c r="A90" s="349" t="s">
        <v>140</v>
      </c>
      <c r="B90" s="275" t="s">
        <v>123</v>
      </c>
      <c r="C90" s="293" t="s">
        <v>77</v>
      </c>
      <c r="D90" s="28">
        <v>2017</v>
      </c>
      <c r="E90" s="28">
        <v>2020</v>
      </c>
      <c r="F90" s="377">
        <f>I90+L90+O90+R90+U90</f>
        <v>1376.1999999999998</v>
      </c>
      <c r="G90" s="377">
        <f>J90+M90+P90+S90+V90</f>
        <v>1376.1999999999998</v>
      </c>
      <c r="H90" s="377"/>
      <c r="I90" s="270">
        <v>257.8</v>
      </c>
      <c r="J90" s="270">
        <v>257.8</v>
      </c>
      <c r="K90" s="270"/>
      <c r="L90" s="270">
        <v>1027.8</v>
      </c>
      <c r="M90" s="270">
        <v>1027.8</v>
      </c>
      <c r="N90" s="270"/>
      <c r="O90" s="270">
        <v>90.6</v>
      </c>
      <c r="P90" s="270">
        <v>90.6</v>
      </c>
      <c r="Q90" s="270"/>
      <c r="R90" s="376"/>
      <c r="S90" s="399"/>
      <c r="T90" s="399"/>
      <c r="U90" s="376"/>
      <c r="V90" s="404"/>
      <c r="W90" s="404"/>
      <c r="X90" s="376"/>
    </row>
    <row r="91" spans="1:24" s="292" customFormat="1" ht="60" customHeight="1" x14ac:dyDescent="0.25">
      <c r="A91" s="349" t="s">
        <v>105</v>
      </c>
      <c r="B91" s="311" t="s">
        <v>40</v>
      </c>
      <c r="C91" s="270" t="s">
        <v>69</v>
      </c>
      <c r="D91" s="30">
        <v>2017</v>
      </c>
      <c r="E91" s="30">
        <v>2021</v>
      </c>
      <c r="F91" s="343">
        <f t="shared" ref="F91:F102" si="12">I91+L91+O91+R91+U91</f>
        <v>12200</v>
      </c>
      <c r="G91" s="343">
        <f t="shared" ref="G91:G102" si="13">J91+M91+P91+S91+V91</f>
        <v>12200</v>
      </c>
      <c r="H91" s="346">
        <f>+G91-F91</f>
        <v>0</v>
      </c>
      <c r="I91" s="278">
        <v>12200</v>
      </c>
      <c r="J91" s="278">
        <f>12200</f>
        <v>12200</v>
      </c>
      <c r="K91" s="278">
        <f>+J91-I91</f>
        <v>0</v>
      </c>
      <c r="L91" s="270"/>
      <c r="M91" s="270"/>
      <c r="N91" s="270"/>
      <c r="O91" s="270"/>
      <c r="P91" s="270"/>
      <c r="Q91" s="270"/>
      <c r="R91" s="270"/>
      <c r="S91" s="270"/>
      <c r="T91" s="270"/>
      <c r="U91" s="270"/>
      <c r="V91" s="270"/>
      <c r="W91" s="270"/>
      <c r="X91" s="311"/>
    </row>
    <row r="92" spans="1:24" s="292" customFormat="1" ht="27" customHeight="1" x14ac:dyDescent="0.25">
      <c r="A92" s="349" t="s">
        <v>161</v>
      </c>
      <c r="B92" s="275" t="s">
        <v>128</v>
      </c>
      <c r="C92" s="270" t="s">
        <v>129</v>
      </c>
      <c r="D92" s="21" t="s">
        <v>26</v>
      </c>
      <c r="E92" s="28" t="s">
        <v>298</v>
      </c>
      <c r="F92" s="405">
        <f t="shared" si="12"/>
        <v>8125</v>
      </c>
      <c r="G92" s="413">
        <f t="shared" si="13"/>
        <v>8125</v>
      </c>
      <c r="H92" s="347"/>
      <c r="I92" s="278">
        <v>8125</v>
      </c>
      <c r="J92" s="278">
        <v>8125</v>
      </c>
      <c r="K92" s="378"/>
      <c r="L92" s="296"/>
      <c r="M92" s="296"/>
      <c r="N92" s="296"/>
      <c r="O92" s="270"/>
      <c r="P92" s="270"/>
      <c r="Q92" s="270"/>
      <c r="R92" s="270"/>
      <c r="S92" s="270"/>
      <c r="T92" s="270"/>
      <c r="U92" s="270"/>
      <c r="V92" s="270"/>
      <c r="W92" s="270"/>
      <c r="X92" s="270"/>
    </row>
    <row r="93" spans="1:24" s="292" customFormat="1" ht="71.45" customHeight="1" x14ac:dyDescent="0.25">
      <c r="A93" s="349" t="s">
        <v>162</v>
      </c>
      <c r="B93" s="311" t="s">
        <v>146</v>
      </c>
      <c r="C93" s="270"/>
      <c r="D93" s="13">
        <v>2018</v>
      </c>
      <c r="E93" s="13" t="s">
        <v>337</v>
      </c>
      <c r="F93" s="423">
        <f t="shared" si="12"/>
        <v>1321.4</v>
      </c>
      <c r="G93" s="423">
        <f t="shared" si="13"/>
        <v>1321.4</v>
      </c>
      <c r="H93" s="343">
        <f>K93+R93+U93+Z93</f>
        <v>0</v>
      </c>
      <c r="I93" s="270">
        <f>1261.4+60</f>
        <v>1321.4</v>
      </c>
      <c r="J93" s="270">
        <f>1261.4+60</f>
        <v>1321.4</v>
      </c>
      <c r="K93" s="270">
        <f>+J93-I93</f>
        <v>0</v>
      </c>
      <c r="L93" s="270"/>
      <c r="M93" s="270"/>
      <c r="N93" s="270"/>
      <c r="O93" s="270"/>
      <c r="P93" s="270"/>
      <c r="Q93" s="270"/>
      <c r="R93" s="376"/>
      <c r="S93" s="399"/>
      <c r="T93" s="399"/>
      <c r="U93" s="376"/>
      <c r="V93" s="404"/>
      <c r="W93" s="404"/>
      <c r="X93" s="311"/>
    </row>
    <row r="94" spans="1:24" s="292" customFormat="1" ht="29.45" customHeight="1" x14ac:dyDescent="0.25">
      <c r="A94" s="349" t="s">
        <v>24</v>
      </c>
      <c r="B94" s="275" t="s">
        <v>135</v>
      </c>
      <c r="C94" s="270" t="s">
        <v>77</v>
      </c>
      <c r="D94" s="28">
        <v>2018</v>
      </c>
      <c r="E94" s="28" t="s">
        <v>75</v>
      </c>
      <c r="F94" s="405">
        <f t="shared" si="12"/>
        <v>2063.6</v>
      </c>
      <c r="G94" s="413">
        <f t="shared" si="13"/>
        <v>2063.6</v>
      </c>
      <c r="H94" s="377"/>
      <c r="I94" s="270">
        <v>309.60000000000002</v>
      </c>
      <c r="J94" s="270">
        <v>309.60000000000002</v>
      </c>
      <c r="K94" s="270"/>
      <c r="L94" s="270"/>
      <c r="M94" s="270"/>
      <c r="N94" s="270"/>
      <c r="O94" s="270">
        <v>1754</v>
      </c>
      <c r="P94" s="270">
        <v>1754</v>
      </c>
      <c r="Q94" s="270"/>
      <c r="R94" s="376"/>
      <c r="S94" s="399"/>
      <c r="T94" s="399"/>
      <c r="U94" s="376"/>
      <c r="V94" s="404"/>
      <c r="W94" s="404"/>
      <c r="X94" s="376"/>
    </row>
    <row r="95" spans="1:24" s="292" customFormat="1" ht="30" customHeight="1" x14ac:dyDescent="0.25">
      <c r="A95" s="349" t="s">
        <v>31</v>
      </c>
      <c r="B95" s="275" t="s">
        <v>137</v>
      </c>
      <c r="C95" s="270" t="s">
        <v>77</v>
      </c>
      <c r="D95" s="28">
        <v>2019</v>
      </c>
      <c r="E95" s="28" t="s">
        <v>75</v>
      </c>
      <c r="F95" s="405">
        <f t="shared" si="12"/>
        <v>2502.3000000000002</v>
      </c>
      <c r="G95" s="413">
        <f t="shared" si="13"/>
        <v>2502.3000000000002</v>
      </c>
      <c r="H95" s="377"/>
      <c r="I95" s="270">
        <v>2.2999999999999998</v>
      </c>
      <c r="J95" s="270">
        <v>2.2999999999999998</v>
      </c>
      <c r="K95" s="270"/>
      <c r="L95" s="270"/>
      <c r="M95" s="270"/>
      <c r="N95" s="270"/>
      <c r="O95" s="270"/>
      <c r="P95" s="270"/>
      <c r="Q95" s="270"/>
      <c r="R95" s="376"/>
      <c r="S95" s="399"/>
      <c r="T95" s="399"/>
      <c r="U95" s="376">
        <v>2500</v>
      </c>
      <c r="V95" s="404">
        <v>2500</v>
      </c>
      <c r="W95" s="404"/>
      <c r="X95" s="376"/>
    </row>
    <row r="96" spans="1:24" s="292" customFormat="1" ht="58.35" customHeight="1" x14ac:dyDescent="0.25">
      <c r="A96" s="349" t="s">
        <v>163</v>
      </c>
      <c r="B96" s="441" t="s">
        <v>164</v>
      </c>
      <c r="C96" s="293" t="s">
        <v>116</v>
      </c>
      <c r="D96" s="28">
        <v>2017</v>
      </c>
      <c r="E96" s="28" t="s">
        <v>156</v>
      </c>
      <c r="F96" s="405">
        <f t="shared" si="12"/>
        <v>4859.8</v>
      </c>
      <c r="G96" s="396">
        <f t="shared" si="13"/>
        <v>4867.2</v>
      </c>
      <c r="H96" s="396">
        <f>+G96-F96</f>
        <v>7.3999999999996362</v>
      </c>
      <c r="I96" s="270">
        <v>4859.8</v>
      </c>
      <c r="J96" s="271">
        <f>4859.8+7.4</f>
        <v>4867.2</v>
      </c>
      <c r="K96" s="271">
        <f>+J96-I96</f>
        <v>7.3999999999996362</v>
      </c>
      <c r="L96" s="270"/>
      <c r="M96" s="270"/>
      <c r="N96" s="270"/>
      <c r="O96" s="270"/>
      <c r="P96" s="270"/>
      <c r="Q96" s="270"/>
      <c r="R96" s="376"/>
      <c r="S96" s="399"/>
      <c r="T96" s="399"/>
      <c r="U96" s="376"/>
      <c r="V96" s="404"/>
      <c r="W96" s="404"/>
      <c r="X96" s="444" t="s">
        <v>341</v>
      </c>
    </row>
    <row r="97" spans="1:25" s="292" customFormat="1" ht="55.35" customHeight="1" x14ac:dyDescent="0.25">
      <c r="A97" s="349" t="s">
        <v>174</v>
      </c>
      <c r="B97" s="311" t="s">
        <v>165</v>
      </c>
      <c r="C97" s="270" t="s">
        <v>116</v>
      </c>
      <c r="D97" s="28">
        <v>2017</v>
      </c>
      <c r="E97" s="28" t="s">
        <v>68</v>
      </c>
      <c r="F97" s="405">
        <f t="shared" si="12"/>
        <v>2617.4</v>
      </c>
      <c r="G97" s="413">
        <f t="shared" si="13"/>
        <v>2617.4</v>
      </c>
      <c r="H97" s="270">
        <f>G97-F97</f>
        <v>0</v>
      </c>
      <c r="I97" s="392">
        <v>1738.3</v>
      </c>
      <c r="J97" s="270">
        <f>1382.3+356</f>
        <v>1738.3</v>
      </c>
      <c r="K97" s="270">
        <f>J97-I97</f>
        <v>0</v>
      </c>
      <c r="L97" s="270">
        <v>879.1</v>
      </c>
      <c r="M97" s="270">
        <v>879.1</v>
      </c>
      <c r="N97" s="270"/>
      <c r="O97" s="270"/>
      <c r="P97" s="270"/>
      <c r="Q97" s="270"/>
      <c r="R97" s="388"/>
      <c r="S97" s="399"/>
      <c r="T97" s="399"/>
      <c r="U97" s="388"/>
      <c r="V97" s="404"/>
      <c r="W97" s="404"/>
      <c r="X97" s="379"/>
    </row>
    <row r="98" spans="1:25" s="292" customFormat="1" ht="27.75" customHeight="1" x14ac:dyDescent="0.25">
      <c r="A98" s="349" t="s">
        <v>175</v>
      </c>
      <c r="B98" s="280" t="s">
        <v>136</v>
      </c>
      <c r="C98" s="270" t="s">
        <v>77</v>
      </c>
      <c r="D98" s="28">
        <v>2018</v>
      </c>
      <c r="E98" s="28" t="s">
        <v>73</v>
      </c>
      <c r="F98" s="405">
        <f t="shared" si="12"/>
        <v>696.3</v>
      </c>
      <c r="G98" s="413">
        <f t="shared" si="13"/>
        <v>696.3</v>
      </c>
      <c r="H98" s="377"/>
      <c r="I98" s="270">
        <v>696.3</v>
      </c>
      <c r="J98" s="270">
        <v>696.3</v>
      </c>
      <c r="K98" s="270"/>
      <c r="L98" s="376"/>
      <c r="M98" s="399"/>
      <c r="N98" s="399"/>
      <c r="O98" s="393"/>
      <c r="P98" s="376"/>
      <c r="Q98" s="393"/>
      <c r="R98" s="376"/>
      <c r="S98" s="399"/>
      <c r="T98" s="399"/>
      <c r="U98" s="376"/>
      <c r="V98" s="404"/>
      <c r="W98" s="404"/>
      <c r="X98" s="376"/>
    </row>
    <row r="99" spans="1:25" s="292" customFormat="1" ht="56.1" customHeight="1" x14ac:dyDescent="0.25">
      <c r="A99" s="349" t="s">
        <v>176</v>
      </c>
      <c r="B99" s="445" t="s">
        <v>43</v>
      </c>
      <c r="C99" s="270" t="s">
        <v>77</v>
      </c>
      <c r="D99" s="28">
        <v>2016</v>
      </c>
      <c r="E99" s="28" t="s">
        <v>68</v>
      </c>
      <c r="F99" s="405">
        <f>I99+L99+O99+R99+U99</f>
        <v>780.5</v>
      </c>
      <c r="G99" s="396">
        <f t="shared" si="13"/>
        <v>780.09999999999991</v>
      </c>
      <c r="H99" s="396">
        <f>+G99-F99</f>
        <v>-0.40000000000009095</v>
      </c>
      <c r="I99" s="270">
        <v>232.7</v>
      </c>
      <c r="J99" s="271">
        <f>232.7-0.4</f>
        <v>232.29999999999998</v>
      </c>
      <c r="K99" s="271">
        <f>+J99-I99</f>
        <v>-0.40000000000000568</v>
      </c>
      <c r="L99" s="270">
        <v>547.79999999999995</v>
      </c>
      <c r="M99" s="270">
        <v>547.79999999999995</v>
      </c>
      <c r="N99" s="270"/>
      <c r="O99" s="394"/>
      <c r="P99" s="394"/>
      <c r="Q99" s="394"/>
      <c r="R99" s="394"/>
      <c r="S99" s="399"/>
      <c r="T99" s="399"/>
      <c r="U99" s="394"/>
      <c r="V99" s="404"/>
      <c r="W99" s="404"/>
      <c r="X99" s="394"/>
    </row>
    <row r="100" spans="1:25" s="292" customFormat="1" ht="43.35" customHeight="1" x14ac:dyDescent="0.25">
      <c r="A100" s="349" t="s">
        <v>177</v>
      </c>
      <c r="B100" s="280" t="s">
        <v>279</v>
      </c>
      <c r="C100" s="270" t="s">
        <v>116</v>
      </c>
      <c r="D100" s="28">
        <v>2016</v>
      </c>
      <c r="E100" s="28" t="s">
        <v>156</v>
      </c>
      <c r="F100" s="405">
        <f t="shared" si="12"/>
        <v>1984.1</v>
      </c>
      <c r="G100" s="413">
        <f t="shared" si="13"/>
        <v>1984.1</v>
      </c>
      <c r="H100" s="395"/>
      <c r="I100" s="270">
        <v>1984.1</v>
      </c>
      <c r="J100" s="270">
        <v>1984.1</v>
      </c>
      <c r="K100" s="270"/>
      <c r="L100" s="270"/>
      <c r="M100" s="270"/>
      <c r="N100" s="270"/>
      <c r="O100" s="270"/>
      <c r="P100" s="270"/>
      <c r="Q100" s="270"/>
      <c r="R100" s="270"/>
      <c r="S100" s="270"/>
      <c r="T100" s="270"/>
      <c r="U100" s="270"/>
      <c r="V100" s="270"/>
      <c r="W100" s="270"/>
      <c r="X100" s="270"/>
    </row>
    <row r="101" spans="1:25" s="292" customFormat="1" ht="101.1" customHeight="1" x14ac:dyDescent="0.25">
      <c r="A101" s="349" t="s">
        <v>178</v>
      </c>
      <c r="B101" s="407" t="s">
        <v>362</v>
      </c>
      <c r="C101" s="270"/>
      <c r="D101" s="28">
        <v>2019</v>
      </c>
      <c r="E101" s="28">
        <v>2020</v>
      </c>
      <c r="F101" s="423">
        <f t="shared" si="12"/>
        <v>942.3</v>
      </c>
      <c r="G101" s="457">
        <f t="shared" si="13"/>
        <v>942.3</v>
      </c>
      <c r="H101" s="406"/>
      <c r="I101" s="270">
        <v>399.2</v>
      </c>
      <c r="J101" s="270">
        <v>399.2</v>
      </c>
      <c r="K101" s="271"/>
      <c r="L101" s="270"/>
      <c r="M101" s="270"/>
      <c r="N101" s="270"/>
      <c r="O101" s="270">
        <v>543.1</v>
      </c>
      <c r="P101" s="270">
        <v>543.1</v>
      </c>
      <c r="Q101" s="271"/>
      <c r="R101" s="270"/>
      <c r="S101" s="270"/>
      <c r="T101" s="270"/>
      <c r="U101" s="270"/>
      <c r="V101" s="270"/>
      <c r="W101" s="270"/>
      <c r="X101" s="311" t="s">
        <v>365</v>
      </c>
    </row>
    <row r="102" spans="1:25" s="292" customFormat="1" ht="69.75" customHeight="1" x14ac:dyDescent="0.25">
      <c r="A102" s="349" t="s">
        <v>179</v>
      </c>
      <c r="B102" s="318" t="s">
        <v>320</v>
      </c>
      <c r="C102" s="319"/>
      <c r="D102" s="28" t="s">
        <v>37</v>
      </c>
      <c r="E102" s="320" t="s">
        <v>73</v>
      </c>
      <c r="F102" s="405">
        <f t="shared" si="12"/>
        <v>821.1</v>
      </c>
      <c r="G102" s="413">
        <f t="shared" si="13"/>
        <v>821.1</v>
      </c>
      <c r="H102" s="377"/>
      <c r="I102" s="270">
        <v>821.1</v>
      </c>
      <c r="J102" s="270">
        <v>821.1</v>
      </c>
      <c r="K102" s="270"/>
      <c r="L102" s="270"/>
      <c r="M102" s="270"/>
      <c r="N102" s="270"/>
      <c r="O102" s="270"/>
      <c r="P102" s="270"/>
      <c r="Q102" s="270"/>
      <c r="R102" s="270"/>
      <c r="S102" s="270"/>
      <c r="T102" s="270"/>
      <c r="U102" s="270"/>
      <c r="V102" s="270"/>
      <c r="W102" s="270"/>
      <c r="X102" s="270"/>
    </row>
    <row r="103" spans="1:25" s="292" customFormat="1" ht="18" customHeight="1" x14ac:dyDescent="0.25">
      <c r="A103" s="353">
        <v>13</v>
      </c>
      <c r="B103" s="373" t="s">
        <v>323</v>
      </c>
      <c r="C103" s="329"/>
      <c r="D103" s="330"/>
      <c r="E103" s="331" t="s">
        <v>17</v>
      </c>
      <c r="F103" s="335">
        <f t="shared" ref="F103:W103" si="14">SUM(F90:F102)</f>
        <v>40290</v>
      </c>
      <c r="G103" s="335">
        <f t="shared" si="14"/>
        <v>40297</v>
      </c>
      <c r="H103" s="335">
        <f t="shared" si="14"/>
        <v>6.9999999999995453</v>
      </c>
      <c r="I103" s="335">
        <f t="shared" si="14"/>
        <v>32947.599999999999</v>
      </c>
      <c r="J103" s="335">
        <f t="shared" si="14"/>
        <v>32954.6</v>
      </c>
      <c r="K103" s="335">
        <f t="shared" si="14"/>
        <v>6.9999999999996305</v>
      </c>
      <c r="L103" s="335">
        <f t="shared" si="14"/>
        <v>2454.6999999999998</v>
      </c>
      <c r="M103" s="335">
        <f t="shared" si="14"/>
        <v>2454.6999999999998</v>
      </c>
      <c r="N103" s="335">
        <f t="shared" si="14"/>
        <v>0</v>
      </c>
      <c r="O103" s="335">
        <f t="shared" si="14"/>
        <v>2387.6999999999998</v>
      </c>
      <c r="P103" s="335">
        <f t="shared" si="14"/>
        <v>2387.6999999999998</v>
      </c>
      <c r="Q103" s="335">
        <f t="shared" si="14"/>
        <v>0</v>
      </c>
      <c r="R103" s="335">
        <f t="shared" si="14"/>
        <v>0</v>
      </c>
      <c r="S103" s="335">
        <f t="shared" si="14"/>
        <v>0</v>
      </c>
      <c r="T103" s="335">
        <f t="shared" si="14"/>
        <v>0</v>
      </c>
      <c r="U103" s="335">
        <f t="shared" si="14"/>
        <v>2500</v>
      </c>
      <c r="V103" s="335">
        <f t="shared" si="14"/>
        <v>2500</v>
      </c>
      <c r="W103" s="335">
        <f t="shared" si="14"/>
        <v>0</v>
      </c>
      <c r="X103" s="335"/>
    </row>
    <row r="104" spans="1:25" s="292" customFormat="1" ht="16.5" customHeight="1" x14ac:dyDescent="0.25">
      <c r="A104" s="744" t="s">
        <v>56</v>
      </c>
      <c r="B104" s="745"/>
      <c r="C104" s="745"/>
      <c r="D104" s="745"/>
      <c r="E104" s="745"/>
      <c r="F104" s="745"/>
      <c r="G104" s="745"/>
      <c r="H104" s="745"/>
      <c r="I104" s="745"/>
      <c r="J104" s="745"/>
      <c r="K104" s="745"/>
      <c r="L104" s="745"/>
      <c r="M104" s="745"/>
      <c r="N104" s="745"/>
      <c r="O104" s="745"/>
      <c r="P104" s="745"/>
      <c r="Q104" s="745"/>
      <c r="R104" s="745"/>
      <c r="S104" s="745"/>
      <c r="T104" s="745"/>
      <c r="U104" s="746"/>
      <c r="V104" s="386"/>
      <c r="W104" s="386"/>
      <c r="X104" s="386"/>
    </row>
    <row r="105" spans="1:25" s="292" customFormat="1" ht="30.75" customHeight="1" x14ac:dyDescent="0.25">
      <c r="A105" s="349" t="s">
        <v>140</v>
      </c>
      <c r="B105" s="445" t="s">
        <v>106</v>
      </c>
      <c r="C105" s="276" t="s">
        <v>74</v>
      </c>
      <c r="D105" s="28">
        <v>2017</v>
      </c>
      <c r="E105" s="28" t="s">
        <v>342</v>
      </c>
      <c r="F105" s="377">
        <f t="shared" ref="F105:F110" si="15">I105+L105+P105+U105</f>
        <v>5359.6</v>
      </c>
      <c r="G105" s="396">
        <f>J105+P105+M105</f>
        <v>5527.7000000000007</v>
      </c>
      <c r="H105" s="396">
        <f>+G105-F105</f>
        <v>168.10000000000036</v>
      </c>
      <c r="I105" s="270">
        <v>4087.3</v>
      </c>
      <c r="J105" s="271">
        <f>4087.3+168.2</f>
        <v>4255.5</v>
      </c>
      <c r="K105" s="271">
        <f>+J105-I105</f>
        <v>168.19999999999982</v>
      </c>
      <c r="L105" s="270">
        <v>1169.2</v>
      </c>
      <c r="M105" s="271">
        <f>1169.2-0.1</f>
        <v>1169.1000000000001</v>
      </c>
      <c r="N105" s="271">
        <f>+M105-L105</f>
        <v>-9.9999999999909051E-2</v>
      </c>
      <c r="O105" s="270">
        <v>103.2</v>
      </c>
      <c r="P105" s="271">
        <f>103.2-0.1</f>
        <v>103.10000000000001</v>
      </c>
      <c r="Q105" s="271">
        <f>+P105-O105</f>
        <v>-9.9999999999994316E-2</v>
      </c>
      <c r="R105" s="270"/>
      <c r="S105" s="270"/>
      <c r="T105" s="270"/>
      <c r="U105" s="270"/>
      <c r="V105" s="270"/>
      <c r="W105" s="270"/>
      <c r="X105" s="695" t="s">
        <v>363</v>
      </c>
    </row>
    <row r="106" spans="1:25" s="292" customFormat="1" ht="30.75" customHeight="1" x14ac:dyDescent="0.25">
      <c r="A106" s="349" t="s">
        <v>105</v>
      </c>
      <c r="B106" s="445" t="s">
        <v>107</v>
      </c>
      <c r="C106" s="276" t="s">
        <v>74</v>
      </c>
      <c r="D106" s="28">
        <v>2017</v>
      </c>
      <c r="E106" s="28" t="s">
        <v>342</v>
      </c>
      <c r="F106" s="377">
        <f t="shared" si="15"/>
        <v>5386.2</v>
      </c>
      <c r="G106" s="396">
        <f>J106+P106+L106</f>
        <v>5206.8999999999996</v>
      </c>
      <c r="H106" s="396">
        <f>+G106-F106</f>
        <v>-179.30000000000018</v>
      </c>
      <c r="I106" s="270">
        <v>5386.2</v>
      </c>
      <c r="J106" s="271">
        <f>5386.2-179.3</f>
        <v>5206.8999999999996</v>
      </c>
      <c r="K106" s="271">
        <f>+J106-I106</f>
        <v>-179.30000000000018</v>
      </c>
      <c r="L106" s="270"/>
      <c r="M106" s="270"/>
      <c r="N106" s="270"/>
      <c r="O106" s="270"/>
      <c r="P106" s="270"/>
      <c r="Q106" s="270"/>
      <c r="R106" s="270"/>
      <c r="S106" s="270"/>
      <c r="T106" s="270"/>
      <c r="U106" s="270"/>
      <c r="V106" s="270"/>
      <c r="W106" s="270"/>
      <c r="X106" s="697"/>
    </row>
    <row r="107" spans="1:25" s="292" customFormat="1" ht="30" customHeight="1" x14ac:dyDescent="0.25">
      <c r="A107" s="349" t="s">
        <v>161</v>
      </c>
      <c r="B107" s="379" t="s">
        <v>345</v>
      </c>
      <c r="C107" s="276" t="s">
        <v>74</v>
      </c>
      <c r="D107" s="28">
        <v>2017</v>
      </c>
      <c r="E107" s="28" t="s">
        <v>155</v>
      </c>
      <c r="F107" s="377">
        <f t="shared" si="15"/>
        <v>6300</v>
      </c>
      <c r="G107" s="396">
        <f>J107+P107+L107</f>
        <v>6303</v>
      </c>
      <c r="H107" s="396">
        <f>+G107-F107</f>
        <v>3</v>
      </c>
      <c r="I107" s="270">
        <v>6300</v>
      </c>
      <c r="J107" s="271">
        <f>6300+3</f>
        <v>6303</v>
      </c>
      <c r="K107" s="271">
        <f>+J107-I107</f>
        <v>3</v>
      </c>
      <c r="L107" s="270"/>
      <c r="M107" s="270"/>
      <c r="N107" s="270"/>
      <c r="O107" s="270"/>
      <c r="P107" s="270"/>
      <c r="Q107" s="270"/>
      <c r="R107" s="270"/>
      <c r="S107" s="270"/>
      <c r="T107" s="270"/>
      <c r="U107" s="270"/>
      <c r="V107" s="270"/>
      <c r="W107" s="270"/>
      <c r="X107" s="311" t="s">
        <v>364</v>
      </c>
    </row>
    <row r="108" spans="1:25" s="292" customFormat="1" ht="25.5" x14ac:dyDescent="0.25">
      <c r="A108" s="349" t="s">
        <v>162</v>
      </c>
      <c r="B108" s="275" t="s">
        <v>108</v>
      </c>
      <c r="C108" s="276" t="s">
        <v>74</v>
      </c>
      <c r="D108" s="226">
        <v>2020</v>
      </c>
      <c r="E108" s="28">
        <v>2022</v>
      </c>
      <c r="F108" s="377">
        <f t="shared" si="15"/>
        <v>1833.6</v>
      </c>
      <c r="G108" s="377">
        <f>J108+P108+L108</f>
        <v>1833.6</v>
      </c>
      <c r="H108" s="377"/>
      <c r="I108" s="270"/>
      <c r="J108" s="270"/>
      <c r="K108" s="270"/>
      <c r="L108" s="270"/>
      <c r="M108" s="270"/>
      <c r="N108" s="270"/>
      <c r="O108" s="270">
        <v>1833.6</v>
      </c>
      <c r="P108" s="270">
        <v>1833.6</v>
      </c>
      <c r="Q108" s="270"/>
      <c r="R108" s="270"/>
      <c r="S108" s="270"/>
      <c r="T108" s="270"/>
      <c r="U108" s="270"/>
      <c r="V108" s="270"/>
      <c r="W108" s="270"/>
      <c r="X108" s="270"/>
    </row>
    <row r="109" spans="1:25" s="292" customFormat="1" ht="29.1" customHeight="1" x14ac:dyDescent="0.25">
      <c r="A109" s="349" t="s">
        <v>24</v>
      </c>
      <c r="B109" s="275" t="s">
        <v>303</v>
      </c>
      <c r="C109" s="276"/>
      <c r="D109" s="226" t="s">
        <v>75</v>
      </c>
      <c r="E109" s="28" t="s">
        <v>155</v>
      </c>
      <c r="F109" s="377">
        <f t="shared" si="15"/>
        <v>12883.5</v>
      </c>
      <c r="G109" s="377">
        <f>J109+P109+L109+U109</f>
        <v>12883.5</v>
      </c>
      <c r="H109" s="377"/>
      <c r="I109" s="270"/>
      <c r="J109" s="270"/>
      <c r="K109" s="270"/>
      <c r="L109" s="270"/>
      <c r="M109" s="270"/>
      <c r="N109" s="270"/>
      <c r="O109" s="270"/>
      <c r="P109" s="270"/>
      <c r="Q109" s="270"/>
      <c r="R109" s="270"/>
      <c r="S109" s="270"/>
      <c r="T109" s="270"/>
      <c r="U109" s="270">
        <v>12883.5</v>
      </c>
      <c r="V109" s="270">
        <v>12883.5</v>
      </c>
      <c r="W109" s="270"/>
      <c r="X109" s="270"/>
      <c r="Y109" s="317"/>
    </row>
    <row r="110" spans="1:25" s="292" customFormat="1" ht="32.25" customHeight="1" x14ac:dyDescent="0.25">
      <c r="A110" s="349" t="s">
        <v>31</v>
      </c>
      <c r="B110" s="372" t="s">
        <v>325</v>
      </c>
      <c r="C110" s="313"/>
      <c r="D110" s="226" t="s">
        <v>37</v>
      </c>
      <c r="E110" s="28" t="s">
        <v>26</v>
      </c>
      <c r="F110" s="377">
        <f t="shared" si="15"/>
        <v>321.7</v>
      </c>
      <c r="G110" s="377">
        <f>J110+P110+L110</f>
        <v>321.7</v>
      </c>
      <c r="H110" s="343"/>
      <c r="I110" s="270">
        <v>321.7</v>
      </c>
      <c r="J110" s="270">
        <v>321.7</v>
      </c>
      <c r="K110" s="270"/>
      <c r="L110" s="270"/>
      <c r="M110" s="270"/>
      <c r="N110" s="270"/>
      <c r="O110" s="270"/>
      <c r="P110" s="270"/>
      <c r="Q110" s="270"/>
      <c r="R110" s="270"/>
      <c r="S110" s="270"/>
      <c r="T110" s="270"/>
      <c r="U110" s="270"/>
      <c r="V110" s="270"/>
      <c r="W110" s="270"/>
      <c r="X110" s="270"/>
      <c r="Y110" s="317"/>
    </row>
    <row r="111" spans="1:25" s="292" customFormat="1" ht="17.25" customHeight="1" x14ac:dyDescent="0.25">
      <c r="A111" s="351">
        <v>5</v>
      </c>
      <c r="B111" s="374" t="s">
        <v>322</v>
      </c>
      <c r="C111" s="325"/>
      <c r="D111" s="326"/>
      <c r="E111" s="333" t="s">
        <v>17</v>
      </c>
      <c r="F111" s="334">
        <f>SUM(F105:F110)</f>
        <v>32084.6</v>
      </c>
      <c r="G111" s="334">
        <f>SUM(G105:G110)</f>
        <v>32076.399999999998</v>
      </c>
      <c r="H111" s="334"/>
      <c r="I111" s="334">
        <f>SUM(I105:I110)</f>
        <v>16095.2</v>
      </c>
      <c r="J111" s="334">
        <f>SUM(J105:J110)</f>
        <v>16087.1</v>
      </c>
      <c r="K111" s="334"/>
      <c r="L111" s="334">
        <f>SUM(L105:L110)</f>
        <v>1169.2</v>
      </c>
      <c r="M111" s="334">
        <f>SUM(M105:M110)</f>
        <v>1169.1000000000001</v>
      </c>
      <c r="N111" s="334"/>
      <c r="O111" s="334">
        <f>SUM(O105:O110)</f>
        <v>1936.8</v>
      </c>
      <c r="P111" s="334">
        <f>SUM(P105:P110)</f>
        <v>1936.6999999999998</v>
      </c>
      <c r="Q111" s="334"/>
      <c r="R111" s="334">
        <f>SUM(R105:R110)</f>
        <v>0</v>
      </c>
      <c r="S111" s="334">
        <f>SUM(S105:S110)</f>
        <v>0</v>
      </c>
      <c r="T111" s="334"/>
      <c r="U111" s="334">
        <f>SUM(U105:U110)</f>
        <v>12883.5</v>
      </c>
      <c r="V111" s="334">
        <f>SUM(V105:V110)</f>
        <v>12883.5</v>
      </c>
      <c r="W111" s="334"/>
      <c r="X111" s="334">
        <f>SUM(X105:X110)</f>
        <v>0</v>
      </c>
    </row>
    <row r="112" spans="1:25" s="292" customFormat="1" ht="17.25" customHeight="1" x14ac:dyDescent="0.25">
      <c r="A112" s="747" t="s">
        <v>57</v>
      </c>
      <c r="B112" s="748"/>
      <c r="C112" s="748"/>
      <c r="D112" s="748"/>
      <c r="E112" s="748"/>
      <c r="F112" s="748"/>
      <c r="G112" s="748"/>
      <c r="H112" s="748"/>
      <c r="I112" s="748"/>
      <c r="J112" s="748"/>
      <c r="K112" s="748"/>
      <c r="L112" s="748"/>
      <c r="M112" s="748"/>
      <c r="N112" s="748"/>
      <c r="O112" s="748"/>
      <c r="P112" s="748"/>
      <c r="Q112" s="748"/>
      <c r="R112" s="748"/>
      <c r="S112" s="748"/>
      <c r="T112" s="748"/>
      <c r="U112" s="749"/>
      <c r="V112" s="387"/>
      <c r="W112" s="387"/>
      <c r="X112" s="387"/>
    </row>
    <row r="113" spans="1:24" s="292" customFormat="1" ht="46.35" customHeight="1" x14ac:dyDescent="0.25">
      <c r="A113" s="349" t="s">
        <v>140</v>
      </c>
      <c r="B113" s="275" t="s">
        <v>50</v>
      </c>
      <c r="C113" s="422" t="s">
        <v>124</v>
      </c>
      <c r="D113" s="21">
        <v>2016</v>
      </c>
      <c r="E113" s="21">
        <v>2020</v>
      </c>
      <c r="F113" s="423">
        <f>+I113+L113</f>
        <v>390.49999999999994</v>
      </c>
      <c r="G113" s="423">
        <f>+J113+M113</f>
        <v>390.49999999999994</v>
      </c>
      <c r="H113" s="423">
        <f>+K113+N113</f>
        <v>0</v>
      </c>
      <c r="I113" s="422">
        <f>56.7+18.5</f>
        <v>75.2</v>
      </c>
      <c r="J113" s="456">
        <f>56.7+18.5</f>
        <v>75.2</v>
      </c>
      <c r="K113" s="446"/>
      <c r="L113" s="422">
        <f>235.7+79.6</f>
        <v>315.29999999999995</v>
      </c>
      <c r="M113" s="456">
        <f>235.7+79.6</f>
        <v>315.29999999999995</v>
      </c>
      <c r="N113" s="446"/>
      <c r="O113" s="422"/>
      <c r="P113" s="376"/>
      <c r="Q113" s="393"/>
      <c r="R113" s="376"/>
      <c r="S113" s="399"/>
      <c r="T113" s="399"/>
      <c r="U113" s="376"/>
      <c r="V113" s="404"/>
      <c r="W113" s="404"/>
      <c r="X113" s="311"/>
    </row>
    <row r="114" spans="1:24" s="292" customFormat="1" ht="53.25" customHeight="1" x14ac:dyDescent="0.25">
      <c r="A114" s="349" t="s">
        <v>105</v>
      </c>
      <c r="B114" s="275" t="s">
        <v>138</v>
      </c>
      <c r="C114" s="376" t="s">
        <v>126</v>
      </c>
      <c r="D114" s="28">
        <v>2017</v>
      </c>
      <c r="E114" s="28" t="s">
        <v>156</v>
      </c>
      <c r="F114" s="377">
        <f>+I114+L114+P114+R114+U114</f>
        <v>3457</v>
      </c>
      <c r="G114" s="377">
        <f>+J114+L114</f>
        <v>3457</v>
      </c>
      <c r="H114" s="377"/>
      <c r="I114" s="270">
        <v>3457</v>
      </c>
      <c r="J114" s="270">
        <v>3457</v>
      </c>
      <c r="K114" s="270"/>
      <c r="L114" s="376"/>
      <c r="M114" s="399"/>
      <c r="N114" s="399"/>
      <c r="O114" s="393"/>
      <c r="P114" s="376"/>
      <c r="Q114" s="393"/>
      <c r="R114" s="376"/>
      <c r="S114" s="399"/>
      <c r="T114" s="399"/>
      <c r="U114" s="376"/>
      <c r="V114" s="404"/>
      <c r="W114" s="404"/>
      <c r="X114" s="376"/>
    </row>
    <row r="115" spans="1:24" s="292" customFormat="1" ht="30" customHeight="1" x14ac:dyDescent="0.25">
      <c r="A115" s="349" t="s">
        <v>161</v>
      </c>
      <c r="B115" s="280" t="s">
        <v>326</v>
      </c>
      <c r="C115" s="376"/>
      <c r="D115" s="21" t="s">
        <v>26</v>
      </c>
      <c r="E115" s="21" t="s">
        <v>68</v>
      </c>
      <c r="F115" s="377">
        <f>+I115+L115</f>
        <v>95</v>
      </c>
      <c r="G115" s="377">
        <f>+J115+L115</f>
        <v>95</v>
      </c>
      <c r="H115" s="377"/>
      <c r="I115" s="376">
        <v>95</v>
      </c>
      <c r="J115" s="376">
        <v>95</v>
      </c>
      <c r="K115" s="376"/>
      <c r="L115" s="376"/>
      <c r="M115" s="399"/>
      <c r="N115" s="399"/>
      <c r="O115" s="393"/>
      <c r="P115" s="376"/>
      <c r="Q115" s="393"/>
      <c r="R115" s="376"/>
      <c r="S115" s="399"/>
      <c r="T115" s="399"/>
      <c r="U115" s="376"/>
      <c r="V115" s="404"/>
      <c r="W115" s="404"/>
      <c r="X115" s="376"/>
    </row>
    <row r="116" spans="1:24" s="292" customFormat="1" ht="44.45" customHeight="1" x14ac:dyDescent="0.25">
      <c r="A116" s="349" t="s">
        <v>162</v>
      </c>
      <c r="B116" s="445" t="s">
        <v>90</v>
      </c>
      <c r="C116" s="376" t="s">
        <v>118</v>
      </c>
      <c r="D116" s="21">
        <v>2016</v>
      </c>
      <c r="E116" s="21" t="s">
        <v>342</v>
      </c>
      <c r="F116" s="377">
        <f>+I116+L116</f>
        <v>4942.8999999999996</v>
      </c>
      <c r="G116" s="450">
        <f>+J116+M116</f>
        <v>4942.8999999999996</v>
      </c>
      <c r="H116" s="450"/>
      <c r="I116" s="449">
        <v>1174.4000000000001</v>
      </c>
      <c r="J116" s="449">
        <v>1174.4000000000001</v>
      </c>
      <c r="K116" s="449"/>
      <c r="L116" s="449">
        <v>3768.5</v>
      </c>
      <c r="M116" s="449">
        <f>3768.5</f>
        <v>3768.5</v>
      </c>
      <c r="N116" s="446"/>
      <c r="O116" s="393"/>
      <c r="P116" s="376"/>
      <c r="Q116" s="393"/>
      <c r="R116" s="376"/>
      <c r="S116" s="399"/>
      <c r="T116" s="399"/>
      <c r="U116" s="376"/>
      <c r="V116" s="404"/>
      <c r="W116" s="404"/>
      <c r="X116" s="444" t="s">
        <v>352</v>
      </c>
    </row>
    <row r="117" spans="1:24" s="292" customFormat="1" ht="42.75" customHeight="1" x14ac:dyDescent="0.25">
      <c r="A117" s="349" t="s">
        <v>24</v>
      </c>
      <c r="B117" s="280" t="s">
        <v>319</v>
      </c>
      <c r="C117" s="376" t="s">
        <v>118</v>
      </c>
      <c r="D117" s="21" t="s">
        <v>26</v>
      </c>
      <c r="E117" s="21" t="s">
        <v>155</v>
      </c>
      <c r="F117" s="377">
        <f>+I117+L117</f>
        <v>100</v>
      </c>
      <c r="G117" s="377">
        <f>+J117+L117</f>
        <v>100</v>
      </c>
      <c r="H117" s="377"/>
      <c r="I117" s="376">
        <v>100</v>
      </c>
      <c r="J117" s="376">
        <v>100</v>
      </c>
      <c r="K117" s="376"/>
      <c r="L117" s="376"/>
      <c r="M117" s="399"/>
      <c r="N117" s="399"/>
      <c r="O117" s="393"/>
      <c r="P117" s="376"/>
      <c r="Q117" s="393"/>
      <c r="R117" s="376"/>
      <c r="S117" s="399"/>
      <c r="T117" s="399"/>
      <c r="U117" s="376"/>
      <c r="V117" s="404"/>
      <c r="W117" s="404"/>
      <c r="X117" s="376"/>
    </row>
    <row r="118" spans="1:24" s="292" customFormat="1" ht="43.5" customHeight="1" x14ac:dyDescent="0.25">
      <c r="A118" s="349" t="s">
        <v>31</v>
      </c>
      <c r="B118" s="280" t="s">
        <v>327</v>
      </c>
      <c r="C118" s="376" t="s">
        <v>118</v>
      </c>
      <c r="D118" s="21" t="s">
        <v>26</v>
      </c>
      <c r="E118" s="21" t="s">
        <v>68</v>
      </c>
      <c r="F118" s="377">
        <f>+I118+L118</f>
        <v>363</v>
      </c>
      <c r="G118" s="377">
        <f>+J118+L118</f>
        <v>363</v>
      </c>
      <c r="H118" s="377"/>
      <c r="I118" s="376"/>
      <c r="J118" s="376"/>
      <c r="K118" s="376"/>
      <c r="L118" s="376">
        <v>363</v>
      </c>
      <c r="M118" s="399">
        <v>363</v>
      </c>
      <c r="N118" s="399"/>
      <c r="O118" s="393"/>
      <c r="P118" s="376"/>
      <c r="Q118" s="393"/>
      <c r="R118" s="376"/>
      <c r="S118" s="399"/>
      <c r="T118" s="399"/>
      <c r="U118" s="376"/>
      <c r="V118" s="404"/>
      <c r="W118" s="404"/>
      <c r="X118" s="376"/>
    </row>
    <row r="119" spans="1:24" s="292" customFormat="1" ht="18" customHeight="1" x14ac:dyDescent="0.25">
      <c r="A119" s="353" t="s">
        <v>31</v>
      </c>
      <c r="B119" s="373" t="s">
        <v>322</v>
      </c>
      <c r="C119" s="329"/>
      <c r="D119" s="330"/>
      <c r="E119" s="331" t="s">
        <v>17</v>
      </c>
      <c r="F119" s="335">
        <f>SUM(F113:F118)</f>
        <v>9348.4</v>
      </c>
      <c r="G119" s="335">
        <f>SUM(G113:G118)</f>
        <v>9348.4</v>
      </c>
      <c r="H119" s="335"/>
      <c r="I119" s="335">
        <f>SUM(I113:I118)</f>
        <v>4901.6000000000004</v>
      </c>
      <c r="J119" s="335">
        <f>SUM(J113:J118)</f>
        <v>4901.6000000000004</v>
      </c>
      <c r="K119" s="335"/>
      <c r="L119" s="335">
        <f>SUM(L113:L118)</f>
        <v>4446.8</v>
      </c>
      <c r="M119" s="335">
        <f>SUM(M113:M118)</f>
        <v>4446.8</v>
      </c>
      <c r="N119" s="335">
        <f>SUM(N113:N118)</f>
        <v>0</v>
      </c>
      <c r="O119" s="335">
        <f>SUM(O113:O118)</f>
        <v>0</v>
      </c>
      <c r="P119" s="335">
        <f>SUM(P113:P118)</f>
        <v>0</v>
      </c>
      <c r="Q119" s="335"/>
      <c r="R119" s="335">
        <f>SUM(R113:R118)</f>
        <v>0</v>
      </c>
      <c r="S119" s="335">
        <f>SUM(S113:S118)</f>
        <v>0</v>
      </c>
      <c r="T119" s="335"/>
      <c r="U119" s="335">
        <f>SUM(U113:U118)</f>
        <v>0</v>
      </c>
      <c r="V119" s="335">
        <f>SUM(V113:V118)</f>
        <v>0</v>
      </c>
      <c r="W119" s="335"/>
      <c r="X119" s="335"/>
    </row>
    <row r="120" spans="1:24" s="292" customFormat="1" ht="16.5" customHeight="1" x14ac:dyDescent="0.25">
      <c r="A120" s="744" t="s">
        <v>58</v>
      </c>
      <c r="B120" s="745"/>
      <c r="C120" s="745"/>
      <c r="D120" s="745"/>
      <c r="E120" s="745"/>
      <c r="F120" s="745"/>
      <c r="G120" s="745"/>
      <c r="H120" s="745"/>
      <c r="I120" s="745"/>
      <c r="J120" s="745"/>
      <c r="K120" s="745"/>
      <c r="L120" s="745"/>
      <c r="M120" s="745"/>
      <c r="N120" s="745"/>
      <c r="O120" s="745"/>
      <c r="P120" s="745"/>
      <c r="Q120" s="745"/>
      <c r="R120" s="745"/>
      <c r="S120" s="745"/>
      <c r="T120" s="745"/>
      <c r="U120" s="746"/>
      <c r="V120" s="386"/>
      <c r="W120" s="386"/>
      <c r="X120" s="386"/>
    </row>
    <row r="121" spans="1:24" s="292" customFormat="1" ht="41.25" customHeight="1" x14ac:dyDescent="0.25">
      <c r="A121" s="349" t="s">
        <v>140</v>
      </c>
      <c r="B121" s="275" t="s">
        <v>89</v>
      </c>
      <c r="C121" s="270" t="s">
        <v>77</v>
      </c>
      <c r="D121" s="28">
        <v>2017</v>
      </c>
      <c r="E121" s="28" t="s">
        <v>68</v>
      </c>
      <c r="F121" s="377">
        <f>+I121+U121</f>
        <v>2361.6999999999998</v>
      </c>
      <c r="G121" s="377">
        <f t="shared" ref="G121:G126" si="16">J121+M121+P121+S121+V121</f>
        <v>2361.6999999999998</v>
      </c>
      <c r="H121" s="377"/>
      <c r="I121" s="270">
        <v>776.7</v>
      </c>
      <c r="J121" s="270">
        <v>776.7</v>
      </c>
      <c r="K121" s="270"/>
      <c r="L121" s="270"/>
      <c r="M121" s="270"/>
      <c r="N121" s="270"/>
      <c r="O121" s="270"/>
      <c r="P121" s="270"/>
      <c r="Q121" s="270"/>
      <c r="R121" s="270"/>
      <c r="S121" s="270"/>
      <c r="T121" s="270"/>
      <c r="U121" s="270">
        <f>2361.7-I121</f>
        <v>1584.9999999999998</v>
      </c>
      <c r="V121" s="270">
        <f>2361.7-J121</f>
        <v>1584.9999999999998</v>
      </c>
      <c r="W121" s="270"/>
      <c r="X121" s="270"/>
    </row>
    <row r="122" spans="1:24" s="292" customFormat="1" ht="42" customHeight="1" x14ac:dyDescent="0.25">
      <c r="A122" s="349" t="s">
        <v>105</v>
      </c>
      <c r="B122" s="441" t="s">
        <v>84</v>
      </c>
      <c r="C122" s="270" t="s">
        <v>69</v>
      </c>
      <c r="D122" s="28">
        <v>2017</v>
      </c>
      <c r="E122" s="28" t="s">
        <v>26</v>
      </c>
      <c r="F122" s="377">
        <f>+I122+U122</f>
        <v>1000</v>
      </c>
      <c r="G122" s="396">
        <f t="shared" si="16"/>
        <v>1150</v>
      </c>
      <c r="H122" s="396">
        <f>+G122-F122</f>
        <v>150</v>
      </c>
      <c r="I122" s="270">
        <v>750</v>
      </c>
      <c r="J122" s="271">
        <f>750+400</f>
        <v>1150</v>
      </c>
      <c r="K122" s="271">
        <f>+J122-I122</f>
        <v>400</v>
      </c>
      <c r="L122" s="270"/>
      <c r="M122" s="270"/>
      <c r="N122" s="270"/>
      <c r="O122" s="270"/>
      <c r="P122" s="270"/>
      <c r="Q122" s="270"/>
      <c r="R122" s="270"/>
      <c r="S122" s="270"/>
      <c r="T122" s="270"/>
      <c r="U122" s="270">
        <v>250</v>
      </c>
      <c r="V122" s="271">
        <f>250-250</f>
        <v>0</v>
      </c>
      <c r="W122" s="271">
        <f>+V122-U122</f>
        <v>-250</v>
      </c>
      <c r="X122" s="270"/>
    </row>
    <row r="123" spans="1:24" s="292" customFormat="1" ht="42" customHeight="1" x14ac:dyDescent="0.25">
      <c r="A123" s="349" t="s">
        <v>161</v>
      </c>
      <c r="B123" s="275" t="s">
        <v>52</v>
      </c>
      <c r="C123" s="270" t="s">
        <v>42</v>
      </c>
      <c r="D123" s="28">
        <v>2017</v>
      </c>
      <c r="E123" s="28" t="s">
        <v>73</v>
      </c>
      <c r="F123" s="377">
        <f>+I123+U123</f>
        <v>595</v>
      </c>
      <c r="G123" s="413">
        <f t="shared" si="16"/>
        <v>595</v>
      </c>
      <c r="H123" s="377"/>
      <c r="I123" s="276"/>
      <c r="J123" s="276"/>
      <c r="K123" s="276"/>
      <c r="L123" s="276"/>
      <c r="M123" s="276"/>
      <c r="N123" s="276"/>
      <c r="O123" s="297"/>
      <c r="P123" s="297"/>
      <c r="Q123" s="297"/>
      <c r="R123" s="297"/>
      <c r="S123" s="297"/>
      <c r="T123" s="297"/>
      <c r="U123" s="297">
        <v>595</v>
      </c>
      <c r="V123" s="297">
        <v>595</v>
      </c>
      <c r="W123" s="297"/>
      <c r="X123" s="297"/>
    </row>
    <row r="124" spans="1:24" s="292" customFormat="1" ht="42" customHeight="1" x14ac:dyDescent="0.25">
      <c r="A124" s="349" t="s">
        <v>162</v>
      </c>
      <c r="B124" s="275" t="s">
        <v>149</v>
      </c>
      <c r="C124" s="270"/>
      <c r="D124" s="28" t="s">
        <v>37</v>
      </c>
      <c r="E124" s="28">
        <v>2025</v>
      </c>
      <c r="F124" s="377">
        <f>+I124+U124</f>
        <v>4401.7</v>
      </c>
      <c r="G124" s="413">
        <f t="shared" si="16"/>
        <v>4401.7</v>
      </c>
      <c r="H124" s="347"/>
      <c r="I124" s="298">
        <v>4401.7</v>
      </c>
      <c r="J124" s="298">
        <v>4401.7</v>
      </c>
      <c r="K124" s="298"/>
      <c r="L124" s="298"/>
      <c r="M124" s="298"/>
      <c r="N124" s="298"/>
      <c r="O124" s="299"/>
      <c r="P124" s="299"/>
      <c r="Q124" s="299"/>
      <c r="R124" s="299"/>
      <c r="S124" s="299"/>
      <c r="T124" s="299"/>
      <c r="U124" s="299"/>
      <c r="V124" s="299"/>
      <c r="W124" s="299"/>
      <c r="X124" s="299"/>
    </row>
    <row r="125" spans="1:24" s="292" customFormat="1" ht="71.099999999999994" customHeight="1" x14ac:dyDescent="0.25">
      <c r="A125" s="349" t="s">
        <v>24</v>
      </c>
      <c r="B125" s="275" t="s">
        <v>312</v>
      </c>
      <c r="C125" s="270"/>
      <c r="D125" s="28" t="s">
        <v>26</v>
      </c>
      <c r="E125" s="28" t="s">
        <v>68</v>
      </c>
      <c r="F125" s="423">
        <f>+I125+O125</f>
        <v>5299</v>
      </c>
      <c r="G125" s="423">
        <f t="shared" si="16"/>
        <v>5299</v>
      </c>
      <c r="H125" s="347">
        <f>+K125+N125+Q125</f>
        <v>0</v>
      </c>
      <c r="I125" s="298"/>
      <c r="J125" s="298"/>
      <c r="K125" s="298"/>
      <c r="L125" s="298"/>
      <c r="M125" s="298"/>
      <c r="N125" s="298"/>
      <c r="O125" s="299">
        <f>3999+1300</f>
        <v>5299</v>
      </c>
      <c r="P125" s="299">
        <f>3999+1300</f>
        <v>5299</v>
      </c>
      <c r="Q125" s="299">
        <f>+P125-O125</f>
        <v>0</v>
      </c>
      <c r="R125" s="299"/>
      <c r="S125" s="299"/>
      <c r="T125" s="299"/>
      <c r="U125" s="299"/>
      <c r="V125" s="299"/>
      <c r="W125" s="299"/>
      <c r="X125" s="418"/>
    </row>
    <row r="126" spans="1:24" s="292" customFormat="1" ht="71.099999999999994" customHeight="1" x14ac:dyDescent="0.25">
      <c r="A126" s="447">
        <v>6</v>
      </c>
      <c r="B126" s="441" t="s">
        <v>343</v>
      </c>
      <c r="C126" s="271"/>
      <c r="D126" s="431" t="s">
        <v>26</v>
      </c>
      <c r="E126" s="431" t="s">
        <v>26</v>
      </c>
      <c r="F126" s="396">
        <f>+I126+O126</f>
        <v>0</v>
      </c>
      <c r="G126" s="396">
        <f t="shared" si="16"/>
        <v>400</v>
      </c>
      <c r="H126" s="443">
        <f>+K126+N126+Q126</f>
        <v>400</v>
      </c>
      <c r="I126" s="429"/>
      <c r="J126" s="429"/>
      <c r="K126" s="429"/>
      <c r="L126" s="429"/>
      <c r="M126" s="429"/>
      <c r="N126" s="429"/>
      <c r="O126" s="448"/>
      <c r="P126" s="448">
        <v>400</v>
      </c>
      <c r="Q126" s="448">
        <f>+P126-O126</f>
        <v>400</v>
      </c>
      <c r="R126" s="448"/>
      <c r="S126" s="299"/>
      <c r="T126" s="299"/>
      <c r="U126" s="299"/>
      <c r="V126" s="299"/>
      <c r="W126" s="299"/>
      <c r="X126" s="418" t="s">
        <v>344</v>
      </c>
    </row>
    <row r="127" spans="1:24" s="292" customFormat="1" ht="18.75" customHeight="1" x14ac:dyDescent="0.25">
      <c r="A127" s="364">
        <v>5</v>
      </c>
      <c r="B127" s="374" t="s">
        <v>322</v>
      </c>
      <c r="C127" s="325"/>
      <c r="D127" s="326"/>
      <c r="E127" s="333" t="s">
        <v>17</v>
      </c>
      <c r="F127" s="334">
        <f>SUM(F121:F126)</f>
        <v>13657.4</v>
      </c>
      <c r="G127" s="334">
        <f t="shared" ref="G127:W127" si="17">SUM(G121:G126)</f>
        <v>14207.4</v>
      </c>
      <c r="H127" s="334">
        <f t="shared" si="17"/>
        <v>550</v>
      </c>
      <c r="I127" s="334">
        <f t="shared" si="17"/>
        <v>5928.4</v>
      </c>
      <c r="J127" s="334">
        <f t="shared" si="17"/>
        <v>6328.4</v>
      </c>
      <c r="K127" s="334">
        <f t="shared" si="17"/>
        <v>400</v>
      </c>
      <c r="L127" s="334">
        <f t="shared" si="17"/>
        <v>0</v>
      </c>
      <c r="M127" s="334">
        <f t="shared" si="17"/>
        <v>0</v>
      </c>
      <c r="N127" s="334">
        <f t="shared" si="17"/>
        <v>0</v>
      </c>
      <c r="O127" s="334">
        <f t="shared" si="17"/>
        <v>5299</v>
      </c>
      <c r="P127" s="334">
        <f t="shared" si="17"/>
        <v>5699</v>
      </c>
      <c r="Q127" s="334">
        <f t="shared" si="17"/>
        <v>400</v>
      </c>
      <c r="R127" s="334">
        <f t="shared" si="17"/>
        <v>0</v>
      </c>
      <c r="S127" s="334">
        <f t="shared" si="17"/>
        <v>0</v>
      </c>
      <c r="T127" s="334">
        <f t="shared" si="17"/>
        <v>0</v>
      </c>
      <c r="U127" s="334">
        <f t="shared" si="17"/>
        <v>2430</v>
      </c>
      <c r="V127" s="334">
        <f t="shared" si="17"/>
        <v>2180</v>
      </c>
      <c r="W127" s="334">
        <f t="shared" si="17"/>
        <v>-250</v>
      </c>
      <c r="X127" s="334"/>
    </row>
    <row r="128" spans="1:24" ht="21" customHeight="1" x14ac:dyDescent="0.2">
      <c r="A128" s="363">
        <f>A127+A119+A111+A103+A88+A81+A59+A29+A13</f>
        <v>99</v>
      </c>
      <c r="B128" s="740" t="s">
        <v>322</v>
      </c>
      <c r="C128" s="740"/>
      <c r="D128" s="740"/>
      <c r="E128" s="740"/>
      <c r="F128" s="409">
        <f>SUMIF(E8:E127,"Iš viso:",F8:F127)</f>
        <v>273613.2</v>
      </c>
      <c r="G128" s="409">
        <f>SUMIF(E8:E127,"Iš viso:",G8:G127)</f>
        <v>306029.70000000007</v>
      </c>
      <c r="H128" s="409">
        <f>SUMIF(E8:E127,"Iš viso:",H8:H127)</f>
        <v>32422.3</v>
      </c>
      <c r="I128" s="410">
        <f>SUMIF(E9:E127,"Iš viso:",I9:I127)</f>
        <v>154427.90000000002</v>
      </c>
      <c r="J128" s="410">
        <f>SUMIF(E9:E127,"Iš viso:",J9:J127)</f>
        <v>159411.5</v>
      </c>
      <c r="K128" s="411">
        <f>+J128-I128</f>
        <v>4983.5999999999767</v>
      </c>
      <c r="L128" s="409">
        <f>SUMIF(E8:E127,"Iš viso:",L8:L127)</f>
        <v>38035.800000000003</v>
      </c>
      <c r="M128" s="409">
        <f>SUMIF(E8:E127,"Iš viso:",M8:M127)</f>
        <v>38238.400000000001</v>
      </c>
      <c r="N128" s="412">
        <f>SUMIF(E8:E127,"Iš viso:",N8:N127)</f>
        <v>202.50000000000028</v>
      </c>
      <c r="O128" s="409">
        <f>SUMIF(E8:E127,"Iš viso:",O8:O127)</f>
        <v>32385.999999999996</v>
      </c>
      <c r="P128" s="409">
        <f>SUMIF(E8:E127,"Iš viso:",P8:P127)</f>
        <v>59393.999999999993</v>
      </c>
      <c r="Q128" s="412">
        <f>SUMIF(E8:E127,"Iš viso:",Q8:Q127)</f>
        <v>27008.100000000002</v>
      </c>
      <c r="R128" s="409">
        <f>SUMIF(E8:E127,"Iš viso:",R8:R127)</f>
        <v>26360.799999999999</v>
      </c>
      <c r="S128" s="409">
        <f>SUMIF(E8:E127,"Iš viso:",S8:S127)</f>
        <v>23844.600000000002</v>
      </c>
      <c r="T128" s="412">
        <f>SUMIF(E8:E127,"Iš viso:",T8:T127)</f>
        <v>-2516.2000000000007</v>
      </c>
      <c r="U128" s="409">
        <f>SUMIF(E8:E127,"Iš viso:",U8:U127)</f>
        <v>22402.799999999999</v>
      </c>
      <c r="V128" s="409">
        <f>SUMIF(E8:E127,"Iš viso:",V8:V127)</f>
        <v>25141.200000000001</v>
      </c>
      <c r="W128" s="412">
        <f>SUMIF(E8:E127,"Iš viso:",W8:W127)</f>
        <v>2749</v>
      </c>
      <c r="X128" s="398"/>
    </row>
    <row r="129" spans="1:24" x14ac:dyDescent="0.2">
      <c r="A129" s="336"/>
      <c r="F129" s="367"/>
      <c r="G129" s="367"/>
      <c r="H129" s="367"/>
      <c r="I129" s="368"/>
      <c r="J129" s="368"/>
      <c r="K129" s="368"/>
      <c r="L129" s="368"/>
      <c r="M129" s="368"/>
      <c r="N129" s="368"/>
      <c r="O129" s="368"/>
      <c r="P129" s="368"/>
      <c r="Q129" s="368"/>
      <c r="R129" s="368"/>
      <c r="S129" s="368"/>
      <c r="T129" s="368"/>
      <c r="U129" s="368"/>
      <c r="V129" s="368"/>
      <c r="W129" s="368"/>
      <c r="X129" s="368"/>
    </row>
    <row r="130" spans="1:24" ht="13.5" customHeight="1" x14ac:dyDescent="0.2">
      <c r="A130" s="336"/>
      <c r="E130" s="321"/>
      <c r="F130" s="369"/>
      <c r="G130" s="369"/>
      <c r="H130" s="369"/>
      <c r="I130" s="370"/>
      <c r="J130" s="370"/>
      <c r="K130" s="370"/>
      <c r="L130" s="370"/>
      <c r="M130" s="370"/>
      <c r="N130" s="370"/>
      <c r="O130" s="370"/>
      <c r="P130" s="370"/>
      <c r="Q130" s="370"/>
      <c r="R130" s="370"/>
      <c r="S130" s="370"/>
      <c r="T130" s="370"/>
      <c r="U130" s="370"/>
      <c r="V130" s="370"/>
      <c r="W130" s="370"/>
      <c r="X130" s="370"/>
    </row>
    <row r="131" spans="1:24" x14ac:dyDescent="0.2">
      <c r="A131" s="336"/>
      <c r="E131" s="338"/>
      <c r="F131" s="361"/>
      <c r="G131" s="361"/>
      <c r="H131" s="361"/>
      <c r="I131" s="362"/>
      <c r="J131" s="362"/>
      <c r="K131" s="362"/>
      <c r="L131" s="362"/>
      <c r="M131" s="362"/>
      <c r="N131" s="362"/>
      <c r="O131" s="362"/>
      <c r="P131" s="362"/>
      <c r="Q131" s="397"/>
      <c r="R131" s="324"/>
      <c r="S131" s="324"/>
      <c r="T131" s="324"/>
      <c r="U131" s="324"/>
      <c r="V131" s="324"/>
      <c r="W131" s="324"/>
      <c r="X131" s="324"/>
    </row>
  </sheetData>
  <mergeCells count="30">
    <mergeCell ref="F4:H5"/>
    <mergeCell ref="I4:K5"/>
    <mergeCell ref="X56:X57"/>
    <mergeCell ref="X105:X106"/>
    <mergeCell ref="A8:U8"/>
    <mergeCell ref="A14:U14"/>
    <mergeCell ref="A30:U30"/>
    <mergeCell ref="B128:E128"/>
    <mergeCell ref="A61:U61"/>
    <mergeCell ref="A82:U82"/>
    <mergeCell ref="A89:U89"/>
    <mergeCell ref="A104:U104"/>
    <mergeCell ref="A112:U112"/>
    <mergeCell ref="A120:U120"/>
    <mergeCell ref="L1:X1"/>
    <mergeCell ref="U3:X3"/>
    <mergeCell ref="X4:X6"/>
    <mergeCell ref="O6:Q6"/>
    <mergeCell ref="O4:Q5"/>
    <mergeCell ref="R4:T5"/>
    <mergeCell ref="A2:X2"/>
    <mergeCell ref="D4:E5"/>
    <mergeCell ref="F6:H6"/>
    <mergeCell ref="I6:K6"/>
    <mergeCell ref="L4:N5"/>
    <mergeCell ref="U4:W5"/>
    <mergeCell ref="U6:W6"/>
    <mergeCell ref="A4:A5"/>
    <mergeCell ref="B4:B5"/>
    <mergeCell ref="C4:C5"/>
  </mergeCells>
  <printOptions horizontalCentered="1"/>
  <pageMargins left="0" right="0" top="0.39370078740157483" bottom="0.19685039370078741" header="0.31496062992125984" footer="0.31496062992125984"/>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1"/>
  <sheetViews>
    <sheetView topLeftCell="I1" zoomScale="90" zoomScaleNormal="90" zoomScaleSheetLayoutView="90" workbookViewId="0">
      <pane ySplit="11" topLeftCell="A126" activePane="bottomLeft" state="frozen"/>
      <selection pane="bottomLeft" activeCell="Y23" sqref="Y23"/>
    </sheetView>
  </sheetViews>
  <sheetFormatPr defaultColWidth="9.140625" defaultRowHeight="12.75" x14ac:dyDescent="0.2"/>
  <cols>
    <col min="1" max="1" width="3.42578125" style="3" customWidth="1"/>
    <col min="2" max="2" width="28.5703125" style="3" customWidth="1"/>
    <col min="3" max="3" width="4.42578125" style="17" customWidth="1"/>
    <col min="4" max="4" width="7.5703125" style="3" hidden="1" customWidth="1"/>
    <col min="5" max="5" width="7.42578125" style="1" customWidth="1"/>
    <col min="6" max="6" width="7.140625" style="1" customWidth="1"/>
    <col min="7" max="7" width="13.5703125" style="3" customWidth="1"/>
    <col min="8" max="8" width="13.140625" style="121" customWidth="1"/>
    <col min="9" max="9" width="11.42578125" style="187" customWidth="1"/>
    <col min="10" max="10" width="13" style="3" customWidth="1"/>
    <col min="11" max="11" width="14.140625" style="3" customWidth="1"/>
    <col min="12" max="12" width="11.5703125" style="187" customWidth="1"/>
    <col min="13" max="13" width="12.5703125" style="3" customWidth="1"/>
    <col min="14" max="14" width="13.140625" style="3" customWidth="1"/>
    <col min="15" max="15" width="9.140625" style="187" customWidth="1"/>
    <col min="16" max="16" width="15.140625" style="3" customWidth="1"/>
    <col min="17" max="17" width="13.5703125" style="3" customWidth="1"/>
    <col min="18" max="18" width="11.5703125" style="187" customWidth="1"/>
    <col min="19" max="19" width="11.85546875" style="3" customWidth="1"/>
    <col min="20" max="20" width="14.42578125" style="3" customWidth="1"/>
    <col min="21" max="21" width="9.85546875" style="187" customWidth="1"/>
    <col min="22" max="22" width="11.5703125" style="3" customWidth="1"/>
    <col min="23" max="23" width="13.42578125" style="3" customWidth="1"/>
    <col min="24" max="24" width="10.85546875" style="187" customWidth="1"/>
    <col min="25" max="25" width="27.5703125" style="3" customWidth="1"/>
    <col min="26" max="16384" width="9.140625" style="3"/>
  </cols>
  <sheetData>
    <row r="1" spans="1:25" ht="16.5" customHeight="1" x14ac:dyDescent="0.2">
      <c r="A1" s="121"/>
      <c r="B1" s="121"/>
      <c r="C1" s="212"/>
      <c r="D1" s="121"/>
      <c r="E1" s="220"/>
      <c r="F1" s="220"/>
      <c r="G1" s="121"/>
      <c r="I1" s="127"/>
      <c r="J1" s="121"/>
      <c r="K1" s="121"/>
      <c r="L1" s="127"/>
      <c r="M1" s="122"/>
      <c r="N1" s="122"/>
      <c r="O1" s="194"/>
      <c r="P1" s="122"/>
      <c r="Q1" s="122"/>
      <c r="R1" s="194"/>
      <c r="S1" s="122"/>
      <c r="T1" s="790" t="s">
        <v>97</v>
      </c>
      <c r="U1" s="791"/>
      <c r="V1" s="791"/>
      <c r="W1" s="791"/>
      <c r="X1" s="791"/>
    </row>
    <row r="2" spans="1:25" ht="15.75" customHeight="1" x14ac:dyDescent="0.25">
      <c r="A2" s="121"/>
      <c r="B2" s="796" t="s">
        <v>260</v>
      </c>
      <c r="C2" s="796"/>
      <c r="D2" s="796"/>
      <c r="E2" s="796"/>
      <c r="F2" s="796"/>
      <c r="G2" s="796"/>
      <c r="H2" s="796"/>
      <c r="I2" s="796"/>
      <c r="J2" s="796"/>
      <c r="K2" s="796"/>
      <c r="L2" s="796"/>
      <c r="M2" s="796"/>
      <c r="N2" s="796"/>
      <c r="O2" s="796"/>
      <c r="P2" s="796"/>
      <c r="Q2" s="796"/>
      <c r="R2" s="796"/>
      <c r="S2" s="796"/>
      <c r="T2" s="796"/>
      <c r="U2" s="796"/>
      <c r="V2" s="796"/>
      <c r="W2" s="796"/>
      <c r="X2" s="796"/>
    </row>
    <row r="3" spans="1:25" ht="9" customHeight="1" x14ac:dyDescent="0.25">
      <c r="A3" s="121"/>
      <c r="B3" s="123"/>
      <c r="C3" s="213"/>
      <c r="D3" s="123"/>
      <c r="E3" s="221"/>
      <c r="F3" s="221"/>
      <c r="G3" s="123"/>
      <c r="H3" s="123"/>
      <c r="I3" s="179"/>
      <c r="J3" s="123"/>
      <c r="K3" s="123"/>
      <c r="L3" s="179"/>
      <c r="M3" s="123"/>
      <c r="N3" s="123"/>
      <c r="O3" s="179"/>
      <c r="P3" s="123"/>
      <c r="Q3" s="123"/>
      <c r="R3" s="179"/>
      <c r="S3" s="121"/>
      <c r="T3" s="121"/>
      <c r="U3" s="127"/>
      <c r="V3" s="121"/>
      <c r="W3" s="121"/>
      <c r="X3" s="127"/>
    </row>
    <row r="4" spans="1:25" ht="13.5" customHeight="1" x14ac:dyDescent="0.2">
      <c r="A4" s="121"/>
      <c r="B4" s="797" t="s">
        <v>92</v>
      </c>
      <c r="C4" s="797"/>
      <c r="D4" s="797"/>
      <c r="E4" s="797"/>
      <c r="F4" s="797"/>
      <c r="G4" s="797"/>
      <c r="H4" s="105"/>
      <c r="I4" s="180"/>
      <c r="J4" s="124"/>
      <c r="K4" s="124"/>
      <c r="L4" s="181"/>
      <c r="M4" s="124"/>
      <c r="N4" s="124"/>
      <c r="O4" s="181"/>
      <c r="P4" s="124"/>
      <c r="Q4" s="124"/>
      <c r="R4" s="181"/>
      <c r="S4" s="121"/>
      <c r="T4" s="121"/>
      <c r="U4" s="127"/>
      <c r="V4" s="121"/>
      <c r="W4" s="121"/>
      <c r="X4" s="127"/>
    </row>
    <row r="5" spans="1:25" ht="16.5" customHeight="1" x14ac:dyDescent="0.25">
      <c r="A5" s="125"/>
      <c r="B5" s="797" t="s">
        <v>93</v>
      </c>
      <c r="C5" s="797"/>
      <c r="D5" s="797"/>
      <c r="E5" s="798"/>
      <c r="F5" s="798"/>
      <c r="G5" s="798"/>
      <c r="H5" s="798"/>
      <c r="I5" s="798"/>
      <c r="J5" s="798"/>
      <c r="K5" s="126"/>
      <c r="L5" s="188"/>
      <c r="M5" s="124"/>
      <c r="N5" s="124"/>
      <c r="O5" s="181"/>
      <c r="P5" s="124"/>
      <c r="Q5" s="124"/>
      <c r="R5" s="181"/>
      <c r="S5" s="121"/>
      <c r="T5" s="121"/>
      <c r="U5" s="127"/>
      <c r="V5" s="121"/>
      <c r="W5" s="121"/>
      <c r="X5" s="127"/>
    </row>
    <row r="6" spans="1:25" ht="15" customHeight="1" x14ac:dyDescent="0.25">
      <c r="A6" s="125"/>
      <c r="B6" s="797" t="s">
        <v>94</v>
      </c>
      <c r="C6" s="799"/>
      <c r="D6" s="798"/>
      <c r="E6" s="798"/>
      <c r="F6" s="222"/>
      <c r="G6" s="124"/>
      <c r="H6" s="124"/>
      <c r="I6" s="181"/>
      <c r="J6" s="124"/>
      <c r="K6" s="124"/>
      <c r="L6" s="181"/>
      <c r="M6" s="124"/>
      <c r="N6" s="124"/>
      <c r="O6" s="181"/>
      <c r="P6" s="124"/>
      <c r="Q6" s="124"/>
      <c r="R6" s="181"/>
      <c r="S6" s="121"/>
      <c r="T6" s="121"/>
      <c r="U6" s="127"/>
      <c r="V6" s="121"/>
      <c r="W6" s="121"/>
      <c r="X6" s="127"/>
    </row>
    <row r="7" spans="1:25" ht="12" customHeight="1" thickBot="1" x14ac:dyDescent="0.25">
      <c r="A7" s="127"/>
      <c r="B7" s="121"/>
      <c r="C7" s="212"/>
      <c r="D7" s="121"/>
      <c r="E7" s="220"/>
      <c r="F7" s="220"/>
      <c r="G7" s="121"/>
      <c r="I7" s="127"/>
      <c r="J7" s="121"/>
      <c r="K7" s="121"/>
      <c r="L7" s="127"/>
      <c r="M7" s="121"/>
      <c r="N7" s="121"/>
      <c r="O7" s="127"/>
      <c r="P7" s="121"/>
      <c r="Q7" s="121"/>
      <c r="R7" s="127"/>
      <c r="S7" s="128"/>
      <c r="T7" s="128"/>
      <c r="U7" s="200"/>
      <c r="V7" s="128"/>
      <c r="W7" s="128"/>
      <c r="X7" s="230" t="s">
        <v>15</v>
      </c>
    </row>
    <row r="8" spans="1:25" ht="29.25" customHeight="1" x14ac:dyDescent="0.2">
      <c r="A8" s="777" t="s">
        <v>160</v>
      </c>
      <c r="B8" s="774" t="s">
        <v>0</v>
      </c>
      <c r="C8" s="787" t="s">
        <v>21</v>
      </c>
      <c r="D8" s="800" t="s">
        <v>27</v>
      </c>
      <c r="E8" s="785" t="s">
        <v>16</v>
      </c>
      <c r="F8" s="786"/>
      <c r="G8" s="765" t="s">
        <v>18</v>
      </c>
      <c r="H8" s="766"/>
      <c r="I8" s="767"/>
      <c r="J8" s="765" t="s">
        <v>1</v>
      </c>
      <c r="K8" s="766"/>
      <c r="L8" s="767"/>
      <c r="M8" s="765" t="s">
        <v>285</v>
      </c>
      <c r="N8" s="766"/>
      <c r="O8" s="767"/>
      <c r="P8" s="765" t="s">
        <v>286</v>
      </c>
      <c r="Q8" s="766"/>
      <c r="R8" s="767"/>
      <c r="S8" s="765" t="s">
        <v>3</v>
      </c>
      <c r="T8" s="766"/>
      <c r="U8" s="767"/>
      <c r="V8" s="765" t="s">
        <v>22</v>
      </c>
      <c r="W8" s="792"/>
      <c r="X8" s="793"/>
      <c r="Y8" s="240"/>
    </row>
    <row r="9" spans="1:25" ht="26.25" customHeight="1" x14ac:dyDescent="0.2">
      <c r="A9" s="778"/>
      <c r="B9" s="775"/>
      <c r="C9" s="788"/>
      <c r="D9" s="801"/>
      <c r="E9" s="803" t="s">
        <v>4</v>
      </c>
      <c r="F9" s="803" t="s">
        <v>5</v>
      </c>
      <c r="G9" s="753"/>
      <c r="H9" s="754"/>
      <c r="I9" s="755"/>
      <c r="J9" s="753"/>
      <c r="K9" s="754"/>
      <c r="L9" s="755"/>
      <c r="M9" s="753"/>
      <c r="N9" s="754"/>
      <c r="O9" s="755"/>
      <c r="P9" s="753"/>
      <c r="Q9" s="754"/>
      <c r="R9" s="755"/>
      <c r="S9" s="753"/>
      <c r="T9" s="754"/>
      <c r="U9" s="755"/>
      <c r="V9" s="753"/>
      <c r="W9" s="794"/>
      <c r="X9" s="795"/>
      <c r="Y9" s="249" t="s">
        <v>290</v>
      </c>
    </row>
    <row r="10" spans="1:25" ht="15.75" thickBot="1" x14ac:dyDescent="0.25">
      <c r="A10" s="129"/>
      <c r="B10" s="776"/>
      <c r="C10" s="789"/>
      <c r="D10" s="802"/>
      <c r="E10" s="789"/>
      <c r="F10" s="789"/>
      <c r="G10" s="727" t="s">
        <v>17</v>
      </c>
      <c r="H10" s="728"/>
      <c r="I10" s="729"/>
      <c r="J10" s="727" t="s">
        <v>6</v>
      </c>
      <c r="K10" s="728"/>
      <c r="L10" s="729"/>
      <c r="M10" s="727" t="s">
        <v>7</v>
      </c>
      <c r="N10" s="728"/>
      <c r="O10" s="729"/>
      <c r="P10" s="727" t="s">
        <v>8</v>
      </c>
      <c r="Q10" s="728"/>
      <c r="R10" s="729"/>
      <c r="S10" s="727" t="s">
        <v>9</v>
      </c>
      <c r="T10" s="728"/>
      <c r="U10" s="729"/>
      <c r="V10" s="771" t="s">
        <v>78</v>
      </c>
      <c r="W10" s="772"/>
      <c r="X10" s="773"/>
      <c r="Y10" s="241"/>
    </row>
    <row r="11" spans="1:25" s="79" customFormat="1" ht="27" customHeight="1" x14ac:dyDescent="0.2">
      <c r="A11" s="130"/>
      <c r="B11" s="131"/>
      <c r="C11" s="214"/>
      <c r="D11" s="132"/>
      <c r="E11" s="223"/>
      <c r="F11" s="223"/>
      <c r="G11" s="22" t="s">
        <v>283</v>
      </c>
      <c r="H11" s="100" t="s">
        <v>284</v>
      </c>
      <c r="I11" s="22" t="s">
        <v>282</v>
      </c>
      <c r="J11" s="22" t="s">
        <v>283</v>
      </c>
      <c r="K11" s="22" t="s">
        <v>284</v>
      </c>
      <c r="L11" s="22" t="s">
        <v>282</v>
      </c>
      <c r="M11" s="22" t="s">
        <v>283</v>
      </c>
      <c r="N11" s="22" t="s">
        <v>284</v>
      </c>
      <c r="O11" s="22" t="s">
        <v>282</v>
      </c>
      <c r="P11" s="22" t="s">
        <v>283</v>
      </c>
      <c r="Q11" s="22" t="s">
        <v>284</v>
      </c>
      <c r="R11" s="22" t="s">
        <v>282</v>
      </c>
      <c r="S11" s="22" t="s">
        <v>283</v>
      </c>
      <c r="T11" s="22" t="s">
        <v>284</v>
      </c>
      <c r="U11" s="22" t="s">
        <v>282</v>
      </c>
      <c r="V11" s="22" t="s">
        <v>283</v>
      </c>
      <c r="W11" s="22" t="s">
        <v>284</v>
      </c>
      <c r="X11" s="83" t="s">
        <v>282</v>
      </c>
      <c r="Y11" s="243"/>
    </row>
    <row r="12" spans="1:25" s="79" customFormat="1" ht="17.25" customHeight="1" x14ac:dyDescent="0.2">
      <c r="A12" s="779" t="s">
        <v>13</v>
      </c>
      <c r="B12" s="780"/>
      <c r="C12" s="780"/>
      <c r="D12" s="780"/>
      <c r="E12" s="780"/>
      <c r="F12" s="780"/>
      <c r="G12" s="780"/>
      <c r="H12" s="780"/>
      <c r="I12" s="780"/>
      <c r="J12" s="780"/>
      <c r="K12" s="780"/>
      <c r="L12" s="780"/>
      <c r="M12" s="780"/>
      <c r="N12" s="780"/>
      <c r="O12" s="780"/>
      <c r="P12" s="780"/>
      <c r="Q12" s="780"/>
      <c r="R12" s="780"/>
      <c r="S12" s="780"/>
      <c r="T12" s="780"/>
      <c r="U12" s="780"/>
      <c r="V12" s="780"/>
      <c r="W12" s="780"/>
      <c r="X12" s="780"/>
      <c r="Y12" s="244"/>
    </row>
    <row r="13" spans="1:25" s="79" customFormat="1" ht="46.5" customHeight="1" x14ac:dyDescent="0.2">
      <c r="A13" s="133" t="s">
        <v>140</v>
      </c>
      <c r="B13" s="134" t="s">
        <v>150</v>
      </c>
      <c r="C13" s="18">
        <v>5</v>
      </c>
      <c r="D13" s="135" t="s">
        <v>124</v>
      </c>
      <c r="E13" s="29" t="s">
        <v>37</v>
      </c>
      <c r="F13" s="29" t="s">
        <v>26</v>
      </c>
      <c r="G13" s="22">
        <f t="shared" ref="G13:H16" si="0">J13+M13+P13+S13+V13</f>
        <v>161137.18</v>
      </c>
      <c r="H13" s="100">
        <f t="shared" si="0"/>
        <v>161137.18</v>
      </c>
      <c r="I13" s="91"/>
      <c r="J13" s="8">
        <v>21437.18</v>
      </c>
      <c r="K13" s="8">
        <v>21437.18</v>
      </c>
      <c r="L13" s="91"/>
      <c r="M13" s="8">
        <v>139700</v>
      </c>
      <c r="N13" s="8">
        <v>139700</v>
      </c>
      <c r="O13" s="91"/>
      <c r="P13" s="22"/>
      <c r="Q13" s="22"/>
      <c r="R13" s="91"/>
      <c r="S13" s="22"/>
      <c r="T13" s="22"/>
      <c r="U13" s="201"/>
      <c r="V13" s="83"/>
      <c r="W13" s="83"/>
      <c r="X13" s="201"/>
      <c r="Y13" s="244"/>
    </row>
    <row r="14" spans="1:25" s="79" customFormat="1" ht="67.5" customHeight="1" x14ac:dyDescent="0.2">
      <c r="A14" s="136" t="s">
        <v>105</v>
      </c>
      <c r="B14" s="137" t="s">
        <v>131</v>
      </c>
      <c r="C14" s="56">
        <v>5</v>
      </c>
      <c r="D14" s="138" t="s">
        <v>124</v>
      </c>
      <c r="E14" s="28" t="s">
        <v>37</v>
      </c>
      <c r="F14" s="28" t="s">
        <v>23</v>
      </c>
      <c r="G14" s="22">
        <f t="shared" si="0"/>
        <v>69407.839999999997</v>
      </c>
      <c r="H14" s="100">
        <f t="shared" si="0"/>
        <v>69407.839999999997</v>
      </c>
      <c r="I14" s="91"/>
      <c r="J14" s="22">
        <v>10411.18</v>
      </c>
      <c r="K14" s="22">
        <v>10411.18</v>
      </c>
      <c r="L14" s="91"/>
      <c r="M14" s="22">
        <v>58996.66</v>
      </c>
      <c r="N14" s="22">
        <v>58996.66</v>
      </c>
      <c r="O14" s="91"/>
      <c r="P14" s="22"/>
      <c r="Q14" s="22"/>
      <c r="R14" s="91"/>
      <c r="S14" s="22"/>
      <c r="T14" s="22"/>
      <c r="U14" s="201"/>
      <c r="V14" s="83"/>
      <c r="W14" s="83"/>
      <c r="X14" s="201"/>
      <c r="Y14" s="244"/>
    </row>
    <row r="15" spans="1:25" s="79" customFormat="1" ht="54.75" customHeight="1" x14ac:dyDescent="0.2">
      <c r="A15" s="130" t="s">
        <v>161</v>
      </c>
      <c r="B15" s="139" t="s">
        <v>271</v>
      </c>
      <c r="C15" s="57" t="s">
        <v>24</v>
      </c>
      <c r="D15" s="140" t="s">
        <v>63</v>
      </c>
      <c r="E15" s="13" t="s">
        <v>23</v>
      </c>
      <c r="F15" s="13" t="s">
        <v>75</v>
      </c>
      <c r="G15" s="22">
        <f t="shared" si="0"/>
        <v>1523000</v>
      </c>
      <c r="H15" s="100">
        <f t="shared" si="0"/>
        <v>1523000</v>
      </c>
      <c r="I15" s="81"/>
      <c r="J15" s="9">
        <v>1023000</v>
      </c>
      <c r="K15" s="9">
        <v>1023000</v>
      </c>
      <c r="L15" s="9"/>
      <c r="M15" s="9"/>
      <c r="N15" s="9"/>
      <c r="O15" s="9"/>
      <c r="P15" s="9"/>
      <c r="Q15" s="9"/>
      <c r="R15" s="9"/>
      <c r="S15" s="9"/>
      <c r="T15" s="9"/>
      <c r="U15" s="43"/>
      <c r="V15" s="43">
        <v>500000</v>
      </c>
      <c r="W15" s="43">
        <v>500000</v>
      </c>
      <c r="X15" s="104"/>
      <c r="Y15" s="244"/>
    </row>
    <row r="16" spans="1:25" s="79" customFormat="1" ht="66" customHeight="1" x14ac:dyDescent="0.2">
      <c r="A16" s="136" t="s">
        <v>162</v>
      </c>
      <c r="B16" s="158" t="s">
        <v>14</v>
      </c>
      <c r="C16" s="56">
        <v>5</v>
      </c>
      <c r="D16" s="138" t="s">
        <v>116</v>
      </c>
      <c r="E16" s="28" t="s">
        <v>25</v>
      </c>
      <c r="F16" s="28" t="s">
        <v>26</v>
      </c>
      <c r="G16" s="9">
        <f t="shared" si="0"/>
        <v>3035809.78</v>
      </c>
      <c r="H16" s="157">
        <f t="shared" si="0"/>
        <v>3035809.78</v>
      </c>
      <c r="I16" s="9"/>
      <c r="J16" s="9">
        <f>1182500+78100</f>
        <v>1260600</v>
      </c>
      <c r="K16" s="9">
        <f>1182500+78100</f>
        <v>1260600</v>
      </c>
      <c r="L16" s="82"/>
      <c r="M16" s="209">
        <v>1621843.01</v>
      </c>
      <c r="N16" s="209">
        <v>1621843.01</v>
      </c>
      <c r="O16" s="209"/>
      <c r="P16" s="157">
        <v>143103.81</v>
      </c>
      <c r="Q16" s="157">
        <v>143103.81</v>
      </c>
      <c r="R16" s="157"/>
      <c r="S16" s="9"/>
      <c r="T16" s="9"/>
      <c r="U16" s="43"/>
      <c r="V16" s="43">
        <v>10262.959999999999</v>
      </c>
      <c r="W16" s="43">
        <v>10262.959999999999</v>
      </c>
      <c r="X16" s="104"/>
      <c r="Y16" s="244"/>
    </row>
    <row r="17" spans="1:25" s="79" customFormat="1" ht="18" customHeight="1" x14ac:dyDescent="0.2">
      <c r="A17" s="141"/>
      <c r="B17" s="142"/>
      <c r="C17" s="215"/>
      <c r="D17" s="142"/>
      <c r="E17" s="215"/>
      <c r="F17" s="58" t="s">
        <v>17</v>
      </c>
      <c r="G17" s="59">
        <f>SUM(G13:G16)</f>
        <v>4789354.8</v>
      </c>
      <c r="H17" s="59">
        <f>SUM(H13:H16)</f>
        <v>4789354.8</v>
      </c>
      <c r="I17" s="59">
        <f t="shared" ref="I17:U17" si="1">SUM(I13:I16)</f>
        <v>0</v>
      </c>
      <c r="J17" s="59">
        <f t="shared" si="1"/>
        <v>2315448.3600000003</v>
      </c>
      <c r="K17" s="59">
        <f t="shared" si="1"/>
        <v>2315448.3600000003</v>
      </c>
      <c r="L17" s="59">
        <f t="shared" si="1"/>
        <v>0</v>
      </c>
      <c r="M17" s="59">
        <f t="shared" si="1"/>
        <v>1820539.67</v>
      </c>
      <c r="N17" s="59">
        <f t="shared" si="1"/>
        <v>1820539.67</v>
      </c>
      <c r="O17" s="59">
        <f t="shared" si="1"/>
        <v>0</v>
      </c>
      <c r="P17" s="59">
        <f t="shared" si="1"/>
        <v>143103.81</v>
      </c>
      <c r="Q17" s="59">
        <f t="shared" si="1"/>
        <v>143103.81</v>
      </c>
      <c r="R17" s="59">
        <f t="shared" si="1"/>
        <v>0</v>
      </c>
      <c r="S17" s="59">
        <f t="shared" si="1"/>
        <v>0</v>
      </c>
      <c r="T17" s="59">
        <f t="shared" si="1"/>
        <v>0</v>
      </c>
      <c r="U17" s="59">
        <f t="shared" si="1"/>
        <v>0</v>
      </c>
      <c r="V17" s="84">
        <f>SUM(V13:V16)</f>
        <v>510262.96</v>
      </c>
      <c r="W17" s="84">
        <f>SUM(W13:W16)</f>
        <v>510262.96</v>
      </c>
      <c r="X17" s="84">
        <f>SUM(X13:X16)</f>
        <v>0</v>
      </c>
      <c r="Y17" s="244"/>
    </row>
    <row r="18" spans="1:25" s="79" customFormat="1" ht="15" customHeight="1" x14ac:dyDescent="0.2">
      <c r="A18" s="779" t="s">
        <v>19</v>
      </c>
      <c r="B18" s="780"/>
      <c r="C18" s="780"/>
      <c r="D18" s="780"/>
      <c r="E18" s="780"/>
      <c r="F18" s="780"/>
      <c r="G18" s="780"/>
      <c r="H18" s="780"/>
      <c r="I18" s="780"/>
      <c r="J18" s="780"/>
      <c r="K18" s="780"/>
      <c r="L18" s="780"/>
      <c r="M18" s="780"/>
      <c r="N18" s="780"/>
      <c r="O18" s="780"/>
      <c r="P18" s="780"/>
      <c r="Q18" s="780"/>
      <c r="R18" s="780"/>
      <c r="S18" s="780"/>
      <c r="T18" s="780"/>
      <c r="U18" s="780"/>
      <c r="V18" s="780"/>
      <c r="W18" s="780"/>
      <c r="X18" s="780"/>
      <c r="Y18" s="244"/>
    </row>
    <row r="19" spans="1:25" s="79" customFormat="1" ht="55.5" customHeight="1" x14ac:dyDescent="0.2">
      <c r="A19" s="143" t="s">
        <v>24</v>
      </c>
      <c r="B19" s="109" t="s">
        <v>261</v>
      </c>
      <c r="C19" s="18">
        <v>5</v>
      </c>
      <c r="D19" s="144" t="s">
        <v>63</v>
      </c>
      <c r="E19" s="28">
        <v>2016</v>
      </c>
      <c r="F19" s="28" t="s">
        <v>23</v>
      </c>
      <c r="G19" s="9">
        <f>J19+M19+P19+S19+V19</f>
        <v>720600</v>
      </c>
      <c r="H19" s="157">
        <f>K19+N19+Q19+T19+W19</f>
        <v>720600</v>
      </c>
      <c r="I19" s="94"/>
      <c r="J19" s="82">
        <v>720600</v>
      </c>
      <c r="K19" s="82">
        <v>720600</v>
      </c>
      <c r="L19" s="94"/>
      <c r="M19" s="82"/>
      <c r="N19" s="82"/>
      <c r="O19" s="94"/>
      <c r="P19" s="82"/>
      <c r="Q19" s="82"/>
      <c r="R19" s="94"/>
      <c r="S19" s="82"/>
      <c r="T19" s="82"/>
      <c r="U19" s="95"/>
      <c r="V19" s="41"/>
      <c r="W19" s="41"/>
      <c r="X19" s="104"/>
      <c r="Y19" s="244"/>
    </row>
    <row r="20" spans="1:25" s="79" customFormat="1" ht="18.75" customHeight="1" x14ac:dyDescent="0.2">
      <c r="A20" s="781" t="s">
        <v>31</v>
      </c>
      <c r="B20" s="783" t="s">
        <v>85</v>
      </c>
      <c r="C20" s="60">
        <v>4</v>
      </c>
      <c r="D20" s="145"/>
      <c r="E20" s="61" t="s">
        <v>37</v>
      </c>
      <c r="F20" s="61" t="s">
        <v>23</v>
      </c>
      <c r="G20" s="22">
        <f t="shared" ref="G20:G31" si="2">J20+M20+P20+S20+V20</f>
        <v>15000</v>
      </c>
      <c r="H20" s="100">
        <f t="shared" ref="H20:H31" si="3">K20+N20+Q20+T20+W20</f>
        <v>15000</v>
      </c>
      <c r="I20" s="91"/>
      <c r="J20" s="62">
        <v>15000</v>
      </c>
      <c r="K20" s="62">
        <v>15000</v>
      </c>
      <c r="L20" s="189"/>
      <c r="M20" s="62"/>
      <c r="N20" s="62"/>
      <c r="O20" s="189"/>
      <c r="P20" s="62"/>
      <c r="Q20" s="62"/>
      <c r="R20" s="189"/>
      <c r="S20" s="62"/>
      <c r="T20" s="62"/>
      <c r="U20" s="202"/>
      <c r="V20" s="85"/>
      <c r="W20" s="85"/>
      <c r="X20" s="202"/>
      <c r="Y20" s="244"/>
    </row>
    <row r="21" spans="1:25" s="79" customFormat="1" ht="34.5" customHeight="1" x14ac:dyDescent="0.2">
      <c r="A21" s="782"/>
      <c r="B21" s="784"/>
      <c r="C21" s="63">
        <v>6</v>
      </c>
      <c r="D21" s="146" t="s">
        <v>62</v>
      </c>
      <c r="E21" s="24" t="s">
        <v>38</v>
      </c>
      <c r="F21" s="24" t="s">
        <v>26</v>
      </c>
      <c r="G21" s="82">
        <f t="shared" si="2"/>
        <v>500000</v>
      </c>
      <c r="H21" s="209">
        <f t="shared" si="3"/>
        <v>500000</v>
      </c>
      <c r="I21" s="94"/>
      <c r="J21" s="31">
        <v>389300</v>
      </c>
      <c r="K21" s="31">
        <v>389300</v>
      </c>
      <c r="L21" s="99"/>
      <c r="M21" s="31"/>
      <c r="N21" s="31"/>
      <c r="O21" s="99"/>
      <c r="P21" s="31"/>
      <c r="Q21" s="31"/>
      <c r="R21" s="99"/>
      <c r="S21" s="31"/>
      <c r="T21" s="31"/>
      <c r="U21" s="103"/>
      <c r="V21" s="51">
        <v>110700</v>
      </c>
      <c r="W21" s="51">
        <v>110700</v>
      </c>
      <c r="X21" s="103"/>
      <c r="Y21" s="244"/>
    </row>
    <row r="22" spans="1:25" s="79" customFormat="1" ht="45" customHeight="1" x14ac:dyDescent="0.2">
      <c r="A22" s="143" t="s">
        <v>163</v>
      </c>
      <c r="B22" s="109" t="s">
        <v>132</v>
      </c>
      <c r="C22" s="18">
        <v>5</v>
      </c>
      <c r="D22" s="144" t="s">
        <v>63</v>
      </c>
      <c r="E22" s="28">
        <v>2016</v>
      </c>
      <c r="F22" s="28" t="s">
        <v>26</v>
      </c>
      <c r="G22" s="9">
        <f t="shared" si="2"/>
        <v>647646</v>
      </c>
      <c r="H22" s="157">
        <f t="shared" si="3"/>
        <v>647646</v>
      </c>
      <c r="I22" s="94"/>
      <c r="J22" s="82">
        <v>374320</v>
      </c>
      <c r="K22" s="82">
        <v>374320</v>
      </c>
      <c r="L22" s="94"/>
      <c r="M22" s="82">
        <v>273326</v>
      </c>
      <c r="N22" s="82">
        <v>273326</v>
      </c>
      <c r="O22" s="94"/>
      <c r="P22" s="82"/>
      <c r="Q22" s="82"/>
      <c r="R22" s="94"/>
      <c r="S22" s="82"/>
      <c r="T22" s="82"/>
      <c r="U22" s="95"/>
      <c r="V22" s="41"/>
      <c r="W22" s="41"/>
      <c r="X22" s="95"/>
      <c r="Y22" s="244"/>
    </row>
    <row r="23" spans="1:25" s="147" customFormat="1" ht="55.5" customHeight="1" x14ac:dyDescent="0.2">
      <c r="A23" s="143" t="s">
        <v>174</v>
      </c>
      <c r="B23" s="250" t="s">
        <v>36</v>
      </c>
      <c r="C23" s="36" t="s">
        <v>24</v>
      </c>
      <c r="D23" s="9" t="s">
        <v>74</v>
      </c>
      <c r="E23" s="10" t="s">
        <v>25</v>
      </c>
      <c r="F23" s="10" t="s">
        <v>68</v>
      </c>
      <c r="G23" s="9">
        <f t="shared" si="2"/>
        <v>2346864.9700000002</v>
      </c>
      <c r="H23" s="239">
        <f t="shared" si="3"/>
        <v>2952165.14</v>
      </c>
      <c r="I23" s="89">
        <f>H23-G23</f>
        <v>605300.16999999993</v>
      </c>
      <c r="J23" s="16">
        <v>1006599.83</v>
      </c>
      <c r="K23" s="90">
        <v>1611900</v>
      </c>
      <c r="L23" s="90">
        <f>K23-J23</f>
        <v>605300.17000000004</v>
      </c>
      <c r="M23" s="16">
        <v>1231595</v>
      </c>
      <c r="N23" s="16">
        <v>1231595</v>
      </c>
      <c r="O23" s="90"/>
      <c r="P23" s="16">
        <v>108670.14</v>
      </c>
      <c r="Q23" s="16">
        <v>108670.14</v>
      </c>
      <c r="R23" s="90"/>
      <c r="S23" s="16"/>
      <c r="T23" s="16"/>
      <c r="U23" s="96"/>
      <c r="V23" s="42"/>
      <c r="W23" s="42"/>
      <c r="X23" s="96"/>
      <c r="Y23" s="252" t="s">
        <v>292</v>
      </c>
    </row>
    <row r="24" spans="1:25" s="79" customFormat="1" ht="122.25" customHeight="1" x14ac:dyDescent="0.2">
      <c r="A24" s="143" t="s">
        <v>175</v>
      </c>
      <c r="B24" s="250" t="s">
        <v>102</v>
      </c>
      <c r="C24" s="20" t="s">
        <v>24</v>
      </c>
      <c r="D24" s="14" t="s">
        <v>118</v>
      </c>
      <c r="E24" s="10" t="s">
        <v>25</v>
      </c>
      <c r="F24" s="10" t="s">
        <v>289</v>
      </c>
      <c r="G24" s="9">
        <f t="shared" si="2"/>
        <v>2564487.5099999998</v>
      </c>
      <c r="H24" s="239">
        <f>K24+N24+Q24+T24+W24</f>
        <v>2719668.5</v>
      </c>
      <c r="I24" s="89">
        <f>H24-G24</f>
        <v>155180.99000000022</v>
      </c>
      <c r="J24" s="16">
        <v>1665630.97</v>
      </c>
      <c r="K24" s="90">
        <f>1811240+28.5</f>
        <v>1811268.5</v>
      </c>
      <c r="L24" s="90">
        <f>K24-J24</f>
        <v>145637.53000000003</v>
      </c>
      <c r="M24" s="16">
        <v>825976.28</v>
      </c>
      <c r="N24" s="90">
        <v>834800</v>
      </c>
      <c r="O24" s="90">
        <f>N24-M24</f>
        <v>8823.7199999999721</v>
      </c>
      <c r="P24" s="16">
        <v>72880.259999999995</v>
      </c>
      <c r="Q24" s="90">
        <v>73600</v>
      </c>
      <c r="R24" s="90">
        <f>Q24-P24</f>
        <v>719.74000000000524</v>
      </c>
      <c r="S24" s="16"/>
      <c r="T24" s="16"/>
      <c r="U24" s="96"/>
      <c r="V24" s="42"/>
      <c r="W24" s="42"/>
      <c r="X24" s="96"/>
      <c r="Y24" s="251" t="s">
        <v>293</v>
      </c>
    </row>
    <row r="25" spans="1:25" s="79" customFormat="1" ht="41.25" customHeight="1" x14ac:dyDescent="0.2">
      <c r="A25" s="143" t="s">
        <v>176</v>
      </c>
      <c r="B25" s="109" t="s">
        <v>109</v>
      </c>
      <c r="C25" s="18">
        <v>5</v>
      </c>
      <c r="D25" s="144" t="s">
        <v>65</v>
      </c>
      <c r="E25" s="28">
        <v>2015</v>
      </c>
      <c r="F25" s="28" t="s">
        <v>23</v>
      </c>
      <c r="G25" s="9">
        <f t="shared" si="2"/>
        <v>661160.80000000005</v>
      </c>
      <c r="H25" s="157">
        <f t="shared" si="3"/>
        <v>661160.80000000005</v>
      </c>
      <c r="I25" s="89"/>
      <c r="J25" s="9">
        <v>343612.76</v>
      </c>
      <c r="K25" s="9">
        <v>343612.76</v>
      </c>
      <c r="L25" s="89"/>
      <c r="M25" s="9">
        <v>317548.03999999998</v>
      </c>
      <c r="N25" s="9">
        <v>317548.03999999998</v>
      </c>
      <c r="O25" s="89"/>
      <c r="P25" s="9"/>
      <c r="Q25" s="9"/>
      <c r="R25" s="89"/>
      <c r="S25" s="9"/>
      <c r="T25" s="9"/>
      <c r="U25" s="104"/>
      <c r="V25" s="43"/>
      <c r="W25" s="43"/>
      <c r="X25" s="104"/>
      <c r="Y25" s="244"/>
    </row>
    <row r="26" spans="1:25" s="79" customFormat="1" ht="50.25" customHeight="1" x14ac:dyDescent="0.2">
      <c r="A26" s="143" t="s">
        <v>177</v>
      </c>
      <c r="B26" s="64" t="s">
        <v>110</v>
      </c>
      <c r="C26" s="18">
        <v>5</v>
      </c>
      <c r="D26" s="144" t="s">
        <v>45</v>
      </c>
      <c r="E26" s="28" t="s">
        <v>68</v>
      </c>
      <c r="F26" s="28" t="s">
        <v>155</v>
      </c>
      <c r="G26" s="9">
        <f t="shared" si="2"/>
        <v>1230535.6499999999</v>
      </c>
      <c r="H26" s="157">
        <f t="shared" si="3"/>
        <v>1230535.6499999999</v>
      </c>
      <c r="I26" s="89"/>
      <c r="J26" s="9">
        <v>1230535.6499999999</v>
      </c>
      <c r="K26" s="9">
        <v>1230535.6499999999</v>
      </c>
      <c r="L26" s="89"/>
      <c r="M26" s="9"/>
      <c r="N26" s="9"/>
      <c r="O26" s="89"/>
      <c r="P26" s="9"/>
      <c r="Q26" s="9"/>
      <c r="R26" s="89"/>
      <c r="S26" s="9"/>
      <c r="T26" s="9"/>
      <c r="U26" s="104"/>
      <c r="V26" s="43"/>
      <c r="W26" s="43"/>
      <c r="X26" s="104"/>
      <c r="Y26" s="244"/>
    </row>
    <row r="27" spans="1:25" s="79" customFormat="1" ht="43.5" customHeight="1" x14ac:dyDescent="0.2">
      <c r="A27" s="143" t="s">
        <v>178</v>
      </c>
      <c r="B27" s="65" t="s">
        <v>272</v>
      </c>
      <c r="C27" s="18" t="s">
        <v>24</v>
      </c>
      <c r="D27" s="81" t="s">
        <v>64</v>
      </c>
      <c r="E27" s="28" t="s">
        <v>25</v>
      </c>
      <c r="F27" s="28" t="s">
        <v>155</v>
      </c>
      <c r="G27" s="9">
        <f t="shared" si="2"/>
        <v>2000000</v>
      </c>
      <c r="H27" s="157">
        <f t="shared" si="3"/>
        <v>2000000</v>
      </c>
      <c r="I27" s="89"/>
      <c r="J27" s="16">
        <v>2000000</v>
      </c>
      <c r="K27" s="16">
        <v>2000000</v>
      </c>
      <c r="L27" s="90"/>
      <c r="M27" s="9"/>
      <c r="N27" s="9"/>
      <c r="O27" s="89"/>
      <c r="P27" s="9"/>
      <c r="Q27" s="9"/>
      <c r="R27" s="89"/>
      <c r="S27" s="9"/>
      <c r="T27" s="9"/>
      <c r="U27" s="104"/>
      <c r="V27" s="43"/>
      <c r="W27" s="43"/>
      <c r="X27" s="104"/>
      <c r="Y27" s="244"/>
    </row>
    <row r="28" spans="1:25" s="79" customFormat="1" ht="39" customHeight="1" x14ac:dyDescent="0.2">
      <c r="A28" s="143" t="s">
        <v>179</v>
      </c>
      <c r="B28" s="65" t="s">
        <v>145</v>
      </c>
      <c r="C28" s="18" t="s">
        <v>24</v>
      </c>
      <c r="D28" s="144"/>
      <c r="E28" s="28" t="s">
        <v>68</v>
      </c>
      <c r="F28" s="28" t="s">
        <v>155</v>
      </c>
      <c r="G28" s="9">
        <f t="shared" si="2"/>
        <v>1065000</v>
      </c>
      <c r="H28" s="157">
        <f t="shared" si="3"/>
        <v>1065000</v>
      </c>
      <c r="I28" s="89"/>
      <c r="J28" s="9">
        <v>1065000</v>
      </c>
      <c r="K28" s="9">
        <v>1065000</v>
      </c>
      <c r="L28" s="89"/>
      <c r="M28" s="9"/>
      <c r="N28" s="9"/>
      <c r="O28" s="89"/>
      <c r="P28" s="9"/>
      <c r="Q28" s="9"/>
      <c r="R28" s="89"/>
      <c r="S28" s="9"/>
      <c r="T28" s="9"/>
      <c r="U28" s="104"/>
      <c r="V28" s="43"/>
      <c r="W28" s="43"/>
      <c r="X28" s="104"/>
      <c r="Y28" s="244"/>
    </row>
    <row r="29" spans="1:25" s="79" customFormat="1" ht="38.25" customHeight="1" x14ac:dyDescent="0.2">
      <c r="A29" s="143" t="s">
        <v>180</v>
      </c>
      <c r="B29" s="65" t="s">
        <v>273</v>
      </c>
      <c r="C29" s="18" t="s">
        <v>24</v>
      </c>
      <c r="D29" s="144"/>
      <c r="E29" s="28" t="s">
        <v>26</v>
      </c>
      <c r="F29" s="28" t="s">
        <v>75</v>
      </c>
      <c r="G29" s="9">
        <f t="shared" si="2"/>
        <v>450000</v>
      </c>
      <c r="H29" s="157">
        <f t="shared" si="3"/>
        <v>450000</v>
      </c>
      <c r="I29" s="89"/>
      <c r="J29" s="9">
        <v>450000</v>
      </c>
      <c r="K29" s="9">
        <v>450000</v>
      </c>
      <c r="L29" s="89"/>
      <c r="M29" s="9"/>
      <c r="N29" s="9"/>
      <c r="O29" s="89"/>
      <c r="P29" s="9"/>
      <c r="Q29" s="9"/>
      <c r="R29" s="89"/>
      <c r="S29" s="9"/>
      <c r="T29" s="9"/>
      <c r="U29" s="104"/>
      <c r="V29" s="43"/>
      <c r="W29" s="43"/>
      <c r="X29" s="104"/>
      <c r="Y29" s="244"/>
    </row>
    <row r="30" spans="1:25" s="79" customFormat="1" ht="45.75" customHeight="1" x14ac:dyDescent="0.2">
      <c r="A30" s="117" t="s">
        <v>181</v>
      </c>
      <c r="B30" s="64" t="s">
        <v>20</v>
      </c>
      <c r="C30" s="18">
        <v>5</v>
      </c>
      <c r="D30" s="144" t="s">
        <v>63</v>
      </c>
      <c r="E30" s="28">
        <v>2016</v>
      </c>
      <c r="F30" s="28" t="s">
        <v>26</v>
      </c>
      <c r="G30" s="9">
        <f t="shared" si="2"/>
        <v>1915743.52</v>
      </c>
      <c r="H30" s="157">
        <f t="shared" si="3"/>
        <v>1915743.52</v>
      </c>
      <c r="I30" s="89"/>
      <c r="J30" s="9">
        <f>239361.52+48000</f>
        <v>287361.52</v>
      </c>
      <c r="K30" s="9">
        <f>239361.52+48000</f>
        <v>287361.52</v>
      </c>
      <c r="L30" s="89"/>
      <c r="M30" s="9">
        <f>1356382+272000</f>
        <v>1628382</v>
      </c>
      <c r="N30" s="9">
        <f>1356382+272000</f>
        <v>1628382</v>
      </c>
      <c r="O30" s="89"/>
      <c r="P30" s="9"/>
      <c r="Q30" s="9"/>
      <c r="R30" s="89"/>
      <c r="S30" s="9"/>
      <c r="T30" s="9"/>
      <c r="U30" s="104"/>
      <c r="V30" s="43"/>
      <c r="W30" s="43"/>
      <c r="X30" s="104"/>
      <c r="Y30" s="244"/>
    </row>
    <row r="31" spans="1:25" s="79" customFormat="1" ht="94.5" customHeight="1" x14ac:dyDescent="0.2">
      <c r="A31" s="143" t="s">
        <v>182</v>
      </c>
      <c r="B31" s="64" t="s">
        <v>274</v>
      </c>
      <c r="C31" s="18">
        <v>5</v>
      </c>
      <c r="D31" s="144" t="s">
        <v>63</v>
      </c>
      <c r="E31" s="28" t="s">
        <v>37</v>
      </c>
      <c r="F31" s="28" t="s">
        <v>26</v>
      </c>
      <c r="G31" s="9">
        <f t="shared" si="2"/>
        <v>1528500</v>
      </c>
      <c r="H31" s="157">
        <f t="shared" si="3"/>
        <v>1528500</v>
      </c>
      <c r="I31" s="94"/>
      <c r="J31" s="82">
        <v>1528500</v>
      </c>
      <c r="K31" s="82">
        <v>1528500</v>
      </c>
      <c r="L31" s="94"/>
      <c r="M31" s="82"/>
      <c r="N31" s="82"/>
      <c r="O31" s="94"/>
      <c r="P31" s="9"/>
      <c r="Q31" s="9"/>
      <c r="R31" s="89"/>
      <c r="S31" s="9"/>
      <c r="T31" s="9"/>
      <c r="U31" s="104"/>
      <c r="V31" s="43"/>
      <c r="W31" s="43"/>
      <c r="X31" s="104"/>
      <c r="Y31" s="244"/>
    </row>
    <row r="32" spans="1:25" s="150" customFormat="1" ht="18" customHeight="1" x14ac:dyDescent="0.2">
      <c r="A32" s="148"/>
      <c r="B32" s="149"/>
      <c r="C32" s="216"/>
      <c r="D32" s="149"/>
      <c r="E32" s="216"/>
      <c r="F32" s="224" t="s">
        <v>17</v>
      </c>
      <c r="G32" s="59">
        <f>SUM(G19:G31)</f>
        <v>15645538.449999999</v>
      </c>
      <c r="H32" s="59">
        <f>SUM(H19:H31)</f>
        <v>16406019.609999999</v>
      </c>
      <c r="I32" s="59">
        <f>SUM(I19:I31)</f>
        <v>760481.16000000015</v>
      </c>
      <c r="J32" s="59">
        <f>SUM(J19:J31)</f>
        <v>11076460.729999999</v>
      </c>
      <c r="K32" s="59">
        <f t="shared" ref="K32:X32" si="4">SUM(K19:K31)</f>
        <v>11827398.43</v>
      </c>
      <c r="L32" s="59">
        <f t="shared" si="4"/>
        <v>750937.70000000007</v>
      </c>
      <c r="M32" s="59">
        <f t="shared" si="4"/>
        <v>4276827.32</v>
      </c>
      <c r="N32" s="59">
        <f t="shared" si="4"/>
        <v>4285651.04</v>
      </c>
      <c r="O32" s="59">
        <f t="shared" si="4"/>
        <v>8823.7199999999721</v>
      </c>
      <c r="P32" s="59">
        <f t="shared" si="4"/>
        <v>181550.4</v>
      </c>
      <c r="Q32" s="59">
        <f t="shared" si="4"/>
        <v>182270.14</v>
      </c>
      <c r="R32" s="59">
        <f t="shared" si="4"/>
        <v>719.74000000000524</v>
      </c>
      <c r="S32" s="59">
        <f t="shared" si="4"/>
        <v>0</v>
      </c>
      <c r="T32" s="59">
        <f t="shared" si="4"/>
        <v>0</v>
      </c>
      <c r="U32" s="59">
        <f t="shared" si="4"/>
        <v>0</v>
      </c>
      <c r="V32" s="59">
        <f t="shared" si="4"/>
        <v>110700</v>
      </c>
      <c r="W32" s="59">
        <f t="shared" si="4"/>
        <v>110700</v>
      </c>
      <c r="X32" s="84">
        <f t="shared" si="4"/>
        <v>0</v>
      </c>
      <c r="Y32" s="246"/>
    </row>
    <row r="33" spans="1:25" s="79" customFormat="1" ht="17.25" customHeight="1" x14ac:dyDescent="0.2">
      <c r="A33" s="779" t="s">
        <v>10</v>
      </c>
      <c r="B33" s="780"/>
      <c r="C33" s="780"/>
      <c r="D33" s="780"/>
      <c r="E33" s="780"/>
      <c r="F33" s="780"/>
      <c r="G33" s="780"/>
      <c r="H33" s="780"/>
      <c r="I33" s="780"/>
      <c r="J33" s="780"/>
      <c r="K33" s="780"/>
      <c r="L33" s="780"/>
      <c r="M33" s="780"/>
      <c r="N33" s="780"/>
      <c r="O33" s="780"/>
      <c r="P33" s="780"/>
      <c r="Q33" s="780"/>
      <c r="R33" s="780"/>
      <c r="S33" s="780"/>
      <c r="T33" s="780"/>
      <c r="U33" s="780"/>
      <c r="V33" s="780"/>
      <c r="W33" s="780"/>
      <c r="X33" s="780"/>
      <c r="Y33" s="244"/>
    </row>
    <row r="34" spans="1:25" s="79" customFormat="1" ht="53.25" customHeight="1" x14ac:dyDescent="0.2">
      <c r="A34" s="211" t="s">
        <v>183</v>
      </c>
      <c r="B34" s="231" t="s">
        <v>258</v>
      </c>
      <c r="C34" s="23">
        <v>5</v>
      </c>
      <c r="D34" s="81" t="s">
        <v>45</v>
      </c>
      <c r="E34" s="30" t="s">
        <v>67</v>
      </c>
      <c r="F34" s="30" t="s">
        <v>156</v>
      </c>
      <c r="G34" s="81">
        <f>J34+M34+P34+S34+V34</f>
        <v>14617914.32</v>
      </c>
      <c r="H34" s="81">
        <f>K34+N34+Q34+T34+W34</f>
        <v>14617914.32</v>
      </c>
      <c r="I34" s="81"/>
      <c r="J34" s="228">
        <v>13682868.32</v>
      </c>
      <c r="K34" s="232">
        <v>13682868.32</v>
      </c>
      <c r="L34" s="81"/>
      <c r="M34" s="81"/>
      <c r="N34" s="81"/>
      <c r="O34" s="81"/>
      <c r="P34" s="81"/>
      <c r="Q34" s="81"/>
      <c r="R34" s="81"/>
      <c r="S34" s="81">
        <f>193500+741546</f>
        <v>935046</v>
      </c>
      <c r="T34" s="81">
        <f>193500+741546</f>
        <v>935046</v>
      </c>
      <c r="U34" s="93"/>
      <c r="V34" s="44"/>
      <c r="W34" s="44"/>
      <c r="X34" s="93"/>
      <c r="Y34" s="244"/>
    </row>
    <row r="35" spans="1:25" s="79" customFormat="1" ht="78" customHeight="1" x14ac:dyDescent="0.2">
      <c r="A35" s="143"/>
      <c r="B35" s="11" t="s">
        <v>259</v>
      </c>
      <c r="C35" s="12"/>
      <c r="D35" s="82"/>
      <c r="E35" s="13"/>
      <c r="F35" s="13"/>
      <c r="G35" s="82"/>
      <c r="H35" s="82"/>
      <c r="I35" s="82"/>
      <c r="J35" s="41"/>
      <c r="K35" s="82"/>
      <c r="L35" s="82"/>
      <c r="M35" s="82"/>
      <c r="N35" s="82"/>
      <c r="O35" s="82"/>
      <c r="P35" s="82"/>
      <c r="Q35" s="82"/>
      <c r="R35" s="82"/>
      <c r="S35" s="82"/>
      <c r="T35" s="82"/>
      <c r="U35" s="41"/>
      <c r="V35" s="41"/>
      <c r="W35" s="41"/>
      <c r="X35" s="41"/>
      <c r="Y35" s="244"/>
    </row>
    <row r="36" spans="1:25" s="79" customFormat="1" ht="36" customHeight="1" x14ac:dyDescent="0.2">
      <c r="A36" s="229" t="s">
        <v>184</v>
      </c>
      <c r="B36" s="25" t="s">
        <v>127</v>
      </c>
      <c r="C36" s="26" t="s">
        <v>24</v>
      </c>
      <c r="D36" s="114" t="s">
        <v>70</v>
      </c>
      <c r="E36" s="28" t="s">
        <v>37</v>
      </c>
      <c r="F36" s="28" t="s">
        <v>73</v>
      </c>
      <c r="G36" s="9">
        <f t="shared" ref="G36:G65" si="5">J36+M36+P36+S36+V36</f>
        <v>2989512.75</v>
      </c>
      <c r="H36" s="157">
        <f t="shared" ref="H36:H65" si="6">K36+N36+Q36+T36+W36</f>
        <v>2989512.75</v>
      </c>
      <c r="I36" s="9"/>
      <c r="J36" s="9">
        <v>860694.75</v>
      </c>
      <c r="K36" s="9">
        <v>860694.75</v>
      </c>
      <c r="L36" s="9"/>
      <c r="M36" s="9">
        <v>2128818</v>
      </c>
      <c r="N36" s="9">
        <v>2128818</v>
      </c>
      <c r="O36" s="9"/>
      <c r="P36" s="9"/>
      <c r="Q36" s="9"/>
      <c r="R36" s="9"/>
      <c r="S36" s="9"/>
      <c r="T36" s="9"/>
      <c r="U36" s="43"/>
      <c r="V36" s="43"/>
      <c r="W36" s="43"/>
      <c r="X36" s="43"/>
      <c r="Y36" s="244"/>
    </row>
    <row r="37" spans="1:25" s="79" customFormat="1" ht="26.25" customHeight="1" x14ac:dyDescent="0.2">
      <c r="A37" s="229"/>
      <c r="B37" s="25" t="s">
        <v>288</v>
      </c>
      <c r="C37" s="26">
        <v>5</v>
      </c>
      <c r="D37" s="27"/>
      <c r="E37" s="28">
        <v>2019</v>
      </c>
      <c r="F37" s="28">
        <v>2021</v>
      </c>
      <c r="G37" s="9">
        <f t="shared" si="5"/>
        <v>767500</v>
      </c>
      <c r="H37" s="157">
        <f>K37+N37+Q37+T37+W37</f>
        <v>767500</v>
      </c>
      <c r="I37" s="9"/>
      <c r="J37" s="9">
        <v>267500</v>
      </c>
      <c r="K37" s="9">
        <v>267500</v>
      </c>
      <c r="L37" s="9"/>
      <c r="M37" s="9">
        <v>500000</v>
      </c>
      <c r="N37" s="9">
        <v>500000</v>
      </c>
      <c r="O37" s="9"/>
      <c r="P37" s="9"/>
      <c r="Q37" s="9"/>
      <c r="R37" s="9"/>
      <c r="S37" s="9"/>
      <c r="T37" s="9"/>
      <c r="U37" s="43"/>
      <c r="V37" s="43"/>
      <c r="W37" s="43"/>
      <c r="X37" s="43"/>
      <c r="Y37" s="244"/>
    </row>
    <row r="38" spans="1:25" s="79" customFormat="1" ht="56.25" customHeight="1" x14ac:dyDescent="0.2">
      <c r="A38" s="229" t="s">
        <v>185</v>
      </c>
      <c r="B38" s="67" t="s">
        <v>11</v>
      </c>
      <c r="C38" s="56" t="s">
        <v>24</v>
      </c>
      <c r="D38" s="114" t="s">
        <v>70</v>
      </c>
      <c r="E38" s="28" t="s">
        <v>25</v>
      </c>
      <c r="F38" s="28" t="s">
        <v>156</v>
      </c>
      <c r="G38" s="9">
        <f t="shared" si="5"/>
        <v>4350000</v>
      </c>
      <c r="H38" s="157">
        <f t="shared" si="6"/>
        <v>4350000</v>
      </c>
      <c r="I38" s="9"/>
      <c r="J38" s="9">
        <v>2299900</v>
      </c>
      <c r="K38" s="9">
        <v>2299900</v>
      </c>
      <c r="L38" s="9"/>
      <c r="M38" s="9"/>
      <c r="N38" s="9"/>
      <c r="O38" s="9"/>
      <c r="P38" s="9"/>
      <c r="Q38" s="9"/>
      <c r="R38" s="9"/>
      <c r="S38" s="9">
        <v>2050100</v>
      </c>
      <c r="T38" s="9">
        <v>2050100</v>
      </c>
      <c r="U38" s="43"/>
      <c r="V38" s="43"/>
      <c r="W38" s="43"/>
      <c r="X38" s="43"/>
      <c r="Y38" s="244"/>
    </row>
    <row r="39" spans="1:25" s="79" customFormat="1" ht="39.75" customHeight="1" x14ac:dyDescent="0.2">
      <c r="A39" s="229" t="s">
        <v>186</v>
      </c>
      <c r="B39" s="25" t="s">
        <v>86</v>
      </c>
      <c r="C39" s="56" t="s">
        <v>24</v>
      </c>
      <c r="D39" s="114" t="s">
        <v>71</v>
      </c>
      <c r="E39" s="28" t="s">
        <v>38</v>
      </c>
      <c r="F39" s="28" t="s">
        <v>23</v>
      </c>
      <c r="G39" s="9">
        <f t="shared" si="5"/>
        <v>2700000</v>
      </c>
      <c r="H39" s="157">
        <f t="shared" si="6"/>
        <v>2700000</v>
      </c>
      <c r="I39" s="9"/>
      <c r="J39" s="9">
        <v>1373700</v>
      </c>
      <c r="K39" s="9">
        <v>1373700</v>
      </c>
      <c r="L39" s="9"/>
      <c r="M39" s="9"/>
      <c r="N39" s="9"/>
      <c r="O39" s="9"/>
      <c r="P39" s="9"/>
      <c r="Q39" s="9"/>
      <c r="R39" s="9"/>
      <c r="S39" s="9">
        <v>1163900</v>
      </c>
      <c r="T39" s="9">
        <v>1163900</v>
      </c>
      <c r="U39" s="43"/>
      <c r="V39" s="43">
        <v>162400</v>
      </c>
      <c r="W39" s="43">
        <v>162400</v>
      </c>
      <c r="X39" s="43"/>
      <c r="Y39" s="244"/>
    </row>
    <row r="40" spans="1:25" s="79" customFormat="1" ht="55.5" customHeight="1" x14ac:dyDescent="0.2">
      <c r="A40" s="229" t="s">
        <v>187</v>
      </c>
      <c r="B40" s="25" t="s">
        <v>157</v>
      </c>
      <c r="C40" s="26" t="s">
        <v>24</v>
      </c>
      <c r="D40" s="114" t="s">
        <v>66</v>
      </c>
      <c r="E40" s="28" t="s">
        <v>38</v>
      </c>
      <c r="F40" s="28" t="s">
        <v>23</v>
      </c>
      <c r="G40" s="9">
        <f t="shared" si="5"/>
        <v>31200</v>
      </c>
      <c r="H40" s="157">
        <f t="shared" si="6"/>
        <v>31200</v>
      </c>
      <c r="I40" s="9"/>
      <c r="J40" s="9">
        <v>31200</v>
      </c>
      <c r="K40" s="9">
        <v>31200</v>
      </c>
      <c r="L40" s="9"/>
      <c r="M40" s="9"/>
      <c r="N40" s="9"/>
      <c r="O40" s="9"/>
      <c r="P40" s="9"/>
      <c r="Q40" s="9"/>
      <c r="R40" s="9"/>
      <c r="S40" s="9"/>
      <c r="T40" s="9"/>
      <c r="U40" s="43"/>
      <c r="V40" s="43"/>
      <c r="W40" s="43"/>
      <c r="X40" s="43"/>
      <c r="Y40" s="244"/>
    </row>
    <row r="41" spans="1:25" s="79" customFormat="1" ht="42" customHeight="1" x14ac:dyDescent="0.2">
      <c r="A41" s="229" t="s">
        <v>188</v>
      </c>
      <c r="B41" s="67" t="s">
        <v>111</v>
      </c>
      <c r="C41" s="56" t="s">
        <v>24</v>
      </c>
      <c r="D41" s="114" t="s">
        <v>70</v>
      </c>
      <c r="E41" s="28" t="s">
        <v>68</v>
      </c>
      <c r="F41" s="28" t="s">
        <v>156</v>
      </c>
      <c r="G41" s="9">
        <f t="shared" si="5"/>
        <v>1050000</v>
      </c>
      <c r="H41" s="157">
        <f t="shared" si="6"/>
        <v>1050000</v>
      </c>
      <c r="I41" s="43"/>
      <c r="J41" s="9">
        <v>1050000</v>
      </c>
      <c r="K41" s="9">
        <v>1050000</v>
      </c>
      <c r="L41" s="80"/>
      <c r="M41" s="9"/>
      <c r="N41" s="9"/>
      <c r="O41" s="9"/>
      <c r="P41" s="9"/>
      <c r="Q41" s="9"/>
      <c r="R41" s="9"/>
      <c r="S41" s="9"/>
      <c r="T41" s="9"/>
      <c r="U41" s="43"/>
      <c r="V41" s="43"/>
      <c r="W41" s="43"/>
      <c r="X41" s="43"/>
      <c r="Y41" s="244"/>
    </row>
    <row r="42" spans="1:25" s="79" customFormat="1" ht="23.25" customHeight="1" x14ac:dyDescent="0.2">
      <c r="A42" s="229" t="s">
        <v>172</v>
      </c>
      <c r="B42" s="67" t="s">
        <v>151</v>
      </c>
      <c r="C42" s="56" t="s">
        <v>24</v>
      </c>
      <c r="D42" s="114" t="s">
        <v>70</v>
      </c>
      <c r="E42" s="28" t="s">
        <v>68</v>
      </c>
      <c r="F42" s="28" t="s">
        <v>73</v>
      </c>
      <c r="G42" s="9">
        <f t="shared" si="5"/>
        <v>400000</v>
      </c>
      <c r="H42" s="157">
        <f t="shared" si="6"/>
        <v>400000</v>
      </c>
      <c r="I42" s="43"/>
      <c r="J42" s="9">
        <v>400000</v>
      </c>
      <c r="K42" s="9">
        <v>400000</v>
      </c>
      <c r="L42" s="80"/>
      <c r="M42" s="9"/>
      <c r="N42" s="9"/>
      <c r="O42" s="9"/>
      <c r="P42" s="9"/>
      <c r="Q42" s="9"/>
      <c r="R42" s="9"/>
      <c r="S42" s="9"/>
      <c r="T42" s="9"/>
      <c r="U42" s="43"/>
      <c r="V42" s="43"/>
      <c r="W42" s="43"/>
      <c r="X42" s="43"/>
      <c r="Y42" s="244"/>
    </row>
    <row r="43" spans="1:25" s="79" customFormat="1" ht="34.5" customHeight="1" x14ac:dyDescent="0.2">
      <c r="A43" s="229" t="s">
        <v>189</v>
      </c>
      <c r="B43" s="233" t="s">
        <v>96</v>
      </c>
      <c r="C43" s="68" t="s">
        <v>24</v>
      </c>
      <c r="D43" s="151" t="s">
        <v>72</v>
      </c>
      <c r="E43" s="30" t="s">
        <v>67</v>
      </c>
      <c r="F43" s="30" t="s">
        <v>75</v>
      </c>
      <c r="G43" s="9">
        <f t="shared" si="5"/>
        <v>5650000</v>
      </c>
      <c r="H43" s="157">
        <f t="shared" si="6"/>
        <v>5650000</v>
      </c>
      <c r="I43" s="72"/>
      <c r="J43" s="88">
        <v>3120500</v>
      </c>
      <c r="K43" s="88">
        <v>3120500</v>
      </c>
      <c r="L43" s="69"/>
      <c r="M43" s="70"/>
      <c r="N43" s="70"/>
      <c r="O43" s="70"/>
      <c r="P43" s="70"/>
      <c r="Q43" s="70"/>
      <c r="R43" s="70"/>
      <c r="S43" s="70">
        <f>2329500+200000</f>
        <v>2529500</v>
      </c>
      <c r="T43" s="70">
        <f>2329500+200000</f>
        <v>2529500</v>
      </c>
      <c r="U43" s="234"/>
      <c r="V43" s="44"/>
      <c r="W43" s="44"/>
      <c r="X43" s="44"/>
      <c r="Y43" s="244"/>
    </row>
    <row r="44" spans="1:25" s="79" customFormat="1" ht="25.5" customHeight="1" x14ac:dyDescent="0.2">
      <c r="A44" s="229" t="s">
        <v>190</v>
      </c>
      <c r="B44" s="67" t="s">
        <v>28</v>
      </c>
      <c r="C44" s="56" t="s">
        <v>24</v>
      </c>
      <c r="D44" s="114" t="s">
        <v>72</v>
      </c>
      <c r="E44" s="28" t="s">
        <v>60</v>
      </c>
      <c r="F44" s="28" t="s">
        <v>73</v>
      </c>
      <c r="G44" s="9">
        <f t="shared" si="5"/>
        <v>3400000</v>
      </c>
      <c r="H44" s="157">
        <f t="shared" si="6"/>
        <v>3400000</v>
      </c>
      <c r="I44" s="43"/>
      <c r="J44" s="9">
        <v>2572600</v>
      </c>
      <c r="K44" s="9">
        <v>2572600</v>
      </c>
      <c r="L44" s="80"/>
      <c r="M44" s="9"/>
      <c r="N44" s="9"/>
      <c r="O44" s="9"/>
      <c r="P44" s="9"/>
      <c r="Q44" s="9"/>
      <c r="R44" s="9"/>
      <c r="S44" s="9">
        <v>827400</v>
      </c>
      <c r="T44" s="9">
        <v>827400</v>
      </c>
      <c r="U44" s="43"/>
      <c r="V44" s="43"/>
      <c r="W44" s="43"/>
      <c r="X44" s="43"/>
      <c r="Y44" s="244"/>
    </row>
    <row r="45" spans="1:25" s="79" customFormat="1" ht="51.75" customHeight="1" x14ac:dyDescent="0.2">
      <c r="A45" s="229" t="s">
        <v>191</v>
      </c>
      <c r="B45" s="233" t="s">
        <v>80</v>
      </c>
      <c r="C45" s="23">
        <v>5</v>
      </c>
      <c r="D45" s="151" t="s">
        <v>65</v>
      </c>
      <c r="E45" s="30" t="s">
        <v>25</v>
      </c>
      <c r="F45" s="30" t="s">
        <v>26</v>
      </c>
      <c r="G45" s="81">
        <f t="shared" si="5"/>
        <v>6693400</v>
      </c>
      <c r="H45" s="81">
        <f t="shared" si="6"/>
        <v>6693400</v>
      </c>
      <c r="I45" s="44"/>
      <c r="J45" s="81">
        <v>3382900</v>
      </c>
      <c r="K45" s="81">
        <v>3382900</v>
      </c>
      <c r="L45" s="235"/>
      <c r="M45" s="81">
        <v>1980600</v>
      </c>
      <c r="N45" s="81">
        <v>1980600</v>
      </c>
      <c r="O45" s="81"/>
      <c r="P45" s="81"/>
      <c r="Q45" s="81"/>
      <c r="R45" s="81"/>
      <c r="S45" s="81">
        <v>882000</v>
      </c>
      <c r="T45" s="81">
        <v>882000</v>
      </c>
      <c r="U45" s="44"/>
      <c r="V45" s="44">
        <f>317600+130300</f>
        <v>447900</v>
      </c>
      <c r="W45" s="44">
        <f>317600+130300</f>
        <v>447900</v>
      </c>
      <c r="X45" s="44"/>
      <c r="Y45" s="244"/>
    </row>
    <row r="46" spans="1:25" s="79" customFormat="1" ht="26.25" customHeight="1" x14ac:dyDescent="0.2">
      <c r="A46" s="152"/>
      <c r="B46" s="236" t="s">
        <v>81</v>
      </c>
      <c r="C46" s="55"/>
      <c r="D46" s="153"/>
      <c r="E46" s="50"/>
      <c r="F46" s="50"/>
      <c r="G46" s="54"/>
      <c r="H46" s="54"/>
      <c r="I46" s="54"/>
      <c r="J46" s="155"/>
      <c r="K46" s="155"/>
      <c r="L46" s="237"/>
      <c r="M46" s="155"/>
      <c r="N46" s="155"/>
      <c r="O46" s="155"/>
      <c r="P46" s="155"/>
      <c r="Q46" s="155"/>
      <c r="R46" s="155"/>
      <c r="S46" s="155"/>
      <c r="T46" s="155"/>
      <c r="U46" s="154"/>
      <c r="V46" s="154"/>
      <c r="W46" s="154"/>
      <c r="X46" s="154"/>
      <c r="Y46" s="244"/>
    </row>
    <row r="47" spans="1:25" s="79" customFormat="1" ht="39" customHeight="1" x14ac:dyDescent="0.2">
      <c r="A47" s="143"/>
      <c r="B47" s="11" t="s">
        <v>29</v>
      </c>
      <c r="C47" s="57"/>
      <c r="D47" s="140"/>
      <c r="E47" s="13"/>
      <c r="F47" s="13"/>
      <c r="G47" s="82"/>
      <c r="H47" s="82"/>
      <c r="I47" s="82"/>
      <c r="J47" s="82"/>
      <c r="K47" s="82"/>
      <c r="L47" s="82"/>
      <c r="M47" s="82"/>
      <c r="N47" s="82"/>
      <c r="O47" s="82"/>
      <c r="P47" s="82"/>
      <c r="Q47" s="82"/>
      <c r="R47" s="82"/>
      <c r="S47" s="82"/>
      <c r="T47" s="82"/>
      <c r="U47" s="41"/>
      <c r="V47" s="41"/>
      <c r="W47" s="41"/>
      <c r="X47" s="41"/>
      <c r="Y47" s="244"/>
    </row>
    <row r="48" spans="1:25" s="79" customFormat="1" ht="40.5" customHeight="1" x14ac:dyDescent="0.2">
      <c r="A48" s="117" t="s">
        <v>192</v>
      </c>
      <c r="B48" s="11" t="s">
        <v>133</v>
      </c>
      <c r="C48" s="57" t="s">
        <v>24</v>
      </c>
      <c r="D48" s="82" t="s">
        <v>70</v>
      </c>
      <c r="E48" s="13" t="s">
        <v>37</v>
      </c>
      <c r="F48" s="13" t="s">
        <v>68</v>
      </c>
      <c r="G48" s="9">
        <f t="shared" si="5"/>
        <v>2600000</v>
      </c>
      <c r="H48" s="157">
        <f t="shared" si="6"/>
        <v>2600000</v>
      </c>
      <c r="I48" s="82"/>
      <c r="J48" s="82">
        <f>408200+11800</f>
        <v>420000</v>
      </c>
      <c r="K48" s="82">
        <f>408200+11800</f>
        <v>420000</v>
      </c>
      <c r="L48" s="82"/>
      <c r="M48" s="82">
        <v>1258200</v>
      </c>
      <c r="N48" s="82">
        <v>1258200</v>
      </c>
      <c r="O48" s="82"/>
      <c r="P48" s="82"/>
      <c r="Q48" s="82"/>
      <c r="R48" s="82"/>
      <c r="S48" s="82">
        <v>881800</v>
      </c>
      <c r="T48" s="82">
        <v>881800</v>
      </c>
      <c r="U48" s="41"/>
      <c r="V48" s="41">
        <v>40000</v>
      </c>
      <c r="W48" s="41">
        <v>40000</v>
      </c>
      <c r="X48" s="41"/>
      <c r="Y48" s="244"/>
    </row>
    <row r="49" spans="1:25" s="79" customFormat="1" ht="31.5" customHeight="1" x14ac:dyDescent="0.2">
      <c r="A49" s="117" t="s">
        <v>193</v>
      </c>
      <c r="B49" s="25" t="s">
        <v>130</v>
      </c>
      <c r="C49" s="26" t="s">
        <v>24</v>
      </c>
      <c r="D49" s="114" t="s">
        <v>66</v>
      </c>
      <c r="E49" s="28" t="s">
        <v>67</v>
      </c>
      <c r="F49" s="28" t="s">
        <v>23</v>
      </c>
      <c r="G49" s="9">
        <f t="shared" si="5"/>
        <v>6845700</v>
      </c>
      <c r="H49" s="157">
        <f t="shared" si="6"/>
        <v>6845700</v>
      </c>
      <c r="I49" s="82"/>
      <c r="J49" s="82">
        <v>2300500</v>
      </c>
      <c r="K49" s="82">
        <v>2300500</v>
      </c>
      <c r="L49" s="82"/>
      <c r="M49" s="82"/>
      <c r="N49" s="82"/>
      <c r="O49" s="82"/>
      <c r="P49" s="82"/>
      <c r="Q49" s="82"/>
      <c r="R49" s="82"/>
      <c r="S49" s="82">
        <v>1203400</v>
      </c>
      <c r="T49" s="82">
        <v>1203400</v>
      </c>
      <c r="U49" s="41"/>
      <c r="V49" s="41">
        <f>3166800+175000</f>
        <v>3341800</v>
      </c>
      <c r="W49" s="41">
        <f>3166800+175000</f>
        <v>3341800</v>
      </c>
      <c r="X49" s="43"/>
      <c r="Y49" s="244"/>
    </row>
    <row r="50" spans="1:25" s="79" customFormat="1" ht="40.5" customHeight="1" x14ac:dyDescent="0.2">
      <c r="A50" s="117" t="s">
        <v>194</v>
      </c>
      <c r="B50" s="11" t="s">
        <v>152</v>
      </c>
      <c r="C50" s="12" t="s">
        <v>24</v>
      </c>
      <c r="D50" s="82" t="s">
        <v>71</v>
      </c>
      <c r="E50" s="13" t="s">
        <v>23</v>
      </c>
      <c r="F50" s="13" t="s">
        <v>68</v>
      </c>
      <c r="G50" s="9">
        <f t="shared" si="5"/>
        <v>907100</v>
      </c>
      <c r="H50" s="157">
        <f t="shared" si="6"/>
        <v>907100</v>
      </c>
      <c r="I50" s="82"/>
      <c r="J50" s="82">
        <v>57100</v>
      </c>
      <c r="K50" s="82">
        <v>57100</v>
      </c>
      <c r="L50" s="82"/>
      <c r="M50" s="82">
        <v>850000</v>
      </c>
      <c r="N50" s="82">
        <v>850000</v>
      </c>
      <c r="O50" s="82"/>
      <c r="P50" s="82"/>
      <c r="Q50" s="82"/>
      <c r="R50" s="82"/>
      <c r="S50" s="82"/>
      <c r="T50" s="82"/>
      <c r="U50" s="41"/>
      <c r="V50" s="41"/>
      <c r="W50" s="41"/>
      <c r="X50" s="43"/>
      <c r="Y50" s="244"/>
    </row>
    <row r="51" spans="1:25" s="79" customFormat="1" ht="39.75" customHeight="1" x14ac:dyDescent="0.2">
      <c r="A51" s="117" t="s">
        <v>195</v>
      </c>
      <c r="B51" s="25" t="s">
        <v>87</v>
      </c>
      <c r="C51" s="26" t="s">
        <v>24</v>
      </c>
      <c r="D51" s="9" t="s">
        <v>72</v>
      </c>
      <c r="E51" s="10" t="s">
        <v>25</v>
      </c>
      <c r="F51" s="10" t="s">
        <v>23</v>
      </c>
      <c r="G51" s="9">
        <f t="shared" si="5"/>
        <v>4900000</v>
      </c>
      <c r="H51" s="157">
        <f t="shared" si="6"/>
        <v>4900000</v>
      </c>
      <c r="I51" s="82"/>
      <c r="J51" s="16">
        <f>524400+1533900+403600</f>
        <v>2461900</v>
      </c>
      <c r="K51" s="16">
        <f>524400+1533900+403600</f>
        <v>2461900</v>
      </c>
      <c r="L51" s="82"/>
      <c r="M51" s="16"/>
      <c r="N51" s="16"/>
      <c r="O51" s="16"/>
      <c r="P51" s="16"/>
      <c r="Q51" s="16"/>
      <c r="R51" s="16"/>
      <c r="S51" s="16">
        <v>2438100</v>
      </c>
      <c r="T51" s="16">
        <v>2438100</v>
      </c>
      <c r="U51" s="51"/>
      <c r="V51" s="51"/>
      <c r="W51" s="51"/>
      <c r="X51" s="42"/>
      <c r="Y51" s="244"/>
    </row>
    <row r="52" spans="1:25" s="79" customFormat="1" ht="43.5" customHeight="1" x14ac:dyDescent="0.2">
      <c r="A52" s="117" t="s">
        <v>196</v>
      </c>
      <c r="B52" s="25" t="s">
        <v>12</v>
      </c>
      <c r="C52" s="5">
        <v>5</v>
      </c>
      <c r="D52" s="9" t="s">
        <v>71</v>
      </c>
      <c r="E52" s="10" t="s">
        <v>23</v>
      </c>
      <c r="F52" s="10" t="s">
        <v>73</v>
      </c>
      <c r="G52" s="9">
        <f t="shared" si="5"/>
        <v>2550000</v>
      </c>
      <c r="H52" s="157">
        <f t="shared" si="6"/>
        <v>2550000</v>
      </c>
      <c r="I52" s="9"/>
      <c r="J52" s="16">
        <v>530600</v>
      </c>
      <c r="K52" s="16">
        <v>530600</v>
      </c>
      <c r="L52" s="82"/>
      <c r="M52" s="16"/>
      <c r="N52" s="16"/>
      <c r="O52" s="16"/>
      <c r="P52" s="16"/>
      <c r="Q52" s="16"/>
      <c r="R52" s="16"/>
      <c r="S52" s="16">
        <v>2019400</v>
      </c>
      <c r="T52" s="16">
        <v>2019400</v>
      </c>
      <c r="U52" s="42"/>
      <c r="V52" s="42"/>
      <c r="W52" s="42"/>
      <c r="X52" s="42"/>
      <c r="Y52" s="244"/>
    </row>
    <row r="53" spans="1:25" s="79" customFormat="1" ht="81.75" customHeight="1" x14ac:dyDescent="0.2">
      <c r="A53" s="117" t="s">
        <v>197</v>
      </c>
      <c r="B53" s="2" t="s">
        <v>270</v>
      </c>
      <c r="C53" s="5" t="s">
        <v>24</v>
      </c>
      <c r="D53" s="9" t="s">
        <v>72</v>
      </c>
      <c r="E53" s="10" t="s">
        <v>25</v>
      </c>
      <c r="F53" s="10" t="s">
        <v>23</v>
      </c>
      <c r="G53" s="9">
        <f t="shared" si="5"/>
        <v>125300</v>
      </c>
      <c r="H53" s="157">
        <f t="shared" si="6"/>
        <v>125300</v>
      </c>
      <c r="I53" s="81"/>
      <c r="J53" s="81">
        <v>56300</v>
      </c>
      <c r="K53" s="81">
        <v>56300</v>
      </c>
      <c r="L53" s="81"/>
      <c r="M53" s="81"/>
      <c r="N53" s="81"/>
      <c r="O53" s="81"/>
      <c r="P53" s="9"/>
      <c r="Q53" s="9"/>
      <c r="R53" s="9"/>
      <c r="S53" s="9">
        <v>69000</v>
      </c>
      <c r="T53" s="9">
        <v>69000</v>
      </c>
      <c r="U53" s="43"/>
      <c r="V53" s="43"/>
      <c r="W53" s="43"/>
      <c r="X53" s="43"/>
      <c r="Y53" s="244"/>
    </row>
    <row r="54" spans="1:25" s="79" customFormat="1" ht="18" customHeight="1" x14ac:dyDescent="0.2">
      <c r="A54" s="117" t="s">
        <v>198</v>
      </c>
      <c r="B54" s="25" t="s">
        <v>148</v>
      </c>
      <c r="C54" s="5" t="s">
        <v>24</v>
      </c>
      <c r="D54" s="9" t="s">
        <v>69</v>
      </c>
      <c r="E54" s="10" t="s">
        <v>26</v>
      </c>
      <c r="F54" s="10" t="s">
        <v>156</v>
      </c>
      <c r="G54" s="9">
        <f t="shared" si="5"/>
        <v>1900000</v>
      </c>
      <c r="H54" s="157">
        <f t="shared" si="6"/>
        <v>1900000</v>
      </c>
      <c r="I54" s="9"/>
      <c r="J54" s="16">
        <v>1520000</v>
      </c>
      <c r="K54" s="16">
        <v>1520000</v>
      </c>
      <c r="L54" s="16"/>
      <c r="M54" s="16"/>
      <c r="N54" s="16"/>
      <c r="O54" s="16"/>
      <c r="P54" s="16"/>
      <c r="Q54" s="16"/>
      <c r="R54" s="16"/>
      <c r="S54" s="16">
        <v>380000</v>
      </c>
      <c r="T54" s="16">
        <v>380000</v>
      </c>
      <c r="U54" s="42"/>
      <c r="V54" s="42"/>
      <c r="W54" s="42"/>
      <c r="X54" s="42"/>
      <c r="Y54" s="244"/>
    </row>
    <row r="55" spans="1:25" s="79" customFormat="1" ht="38.25" x14ac:dyDescent="0.2">
      <c r="A55" s="117" t="s">
        <v>199</v>
      </c>
      <c r="B55" s="25" t="s">
        <v>139</v>
      </c>
      <c r="C55" s="5" t="s">
        <v>24</v>
      </c>
      <c r="D55" s="9" t="s">
        <v>69</v>
      </c>
      <c r="E55" s="10" t="s">
        <v>37</v>
      </c>
      <c r="F55" s="10" t="s">
        <v>73</v>
      </c>
      <c r="G55" s="9">
        <f t="shared" si="5"/>
        <v>26205000</v>
      </c>
      <c r="H55" s="157">
        <f t="shared" si="6"/>
        <v>26205000</v>
      </c>
      <c r="I55" s="9"/>
      <c r="J55" s="16">
        <f>1100+219300+432400</f>
        <v>652800</v>
      </c>
      <c r="K55" s="16">
        <f>1100+219300+432400</f>
        <v>652800</v>
      </c>
      <c r="L55" s="16"/>
      <c r="M55" s="16"/>
      <c r="N55" s="16"/>
      <c r="O55" s="16"/>
      <c r="P55" s="16">
        <v>13609100</v>
      </c>
      <c r="Q55" s="16">
        <v>13609100</v>
      </c>
      <c r="R55" s="16"/>
      <c r="S55" s="16">
        <v>11943100</v>
      </c>
      <c r="T55" s="16">
        <v>11943100</v>
      </c>
      <c r="U55" s="42"/>
      <c r="V55" s="42"/>
      <c r="W55" s="42"/>
      <c r="X55" s="42"/>
      <c r="Y55" s="244"/>
    </row>
    <row r="56" spans="1:25" s="79" customFormat="1" ht="56.25" customHeight="1" x14ac:dyDescent="0.2">
      <c r="A56" s="156" t="s">
        <v>200</v>
      </c>
      <c r="B56" s="25" t="s">
        <v>112</v>
      </c>
      <c r="C56" s="5" t="s">
        <v>31</v>
      </c>
      <c r="D56" s="157" t="s">
        <v>120</v>
      </c>
      <c r="E56" s="10" t="s">
        <v>37</v>
      </c>
      <c r="F56" s="10" t="s">
        <v>26</v>
      </c>
      <c r="G56" s="9">
        <f t="shared" si="5"/>
        <v>1063539.46</v>
      </c>
      <c r="H56" s="157">
        <f t="shared" si="6"/>
        <v>1063539.46</v>
      </c>
      <c r="I56" s="9"/>
      <c r="J56" s="16">
        <v>1063539.46</v>
      </c>
      <c r="K56" s="16">
        <v>1063539.46</v>
      </c>
      <c r="L56" s="16"/>
      <c r="M56" s="16"/>
      <c r="N56" s="16"/>
      <c r="O56" s="16"/>
      <c r="P56" s="16"/>
      <c r="Q56" s="16"/>
      <c r="R56" s="16"/>
      <c r="S56" s="16"/>
      <c r="T56" s="16"/>
      <c r="U56" s="42"/>
      <c r="V56" s="42"/>
      <c r="W56" s="42"/>
      <c r="X56" s="42"/>
      <c r="Y56" s="244"/>
    </row>
    <row r="57" spans="1:25" s="79" customFormat="1" ht="43.5" customHeight="1" x14ac:dyDescent="0.2">
      <c r="A57" s="117" t="s">
        <v>201</v>
      </c>
      <c r="B57" s="25" t="s">
        <v>153</v>
      </c>
      <c r="C57" s="26" t="s">
        <v>31</v>
      </c>
      <c r="D57" s="9" t="s">
        <v>64</v>
      </c>
      <c r="E57" s="10" t="s">
        <v>37</v>
      </c>
      <c r="F57" s="10" t="s">
        <v>68</v>
      </c>
      <c r="G57" s="9">
        <f t="shared" si="5"/>
        <v>180278.64</v>
      </c>
      <c r="H57" s="157">
        <f t="shared" si="6"/>
        <v>180278.64</v>
      </c>
      <c r="I57" s="9"/>
      <c r="J57" s="16">
        <v>180278.64</v>
      </c>
      <c r="K57" s="16">
        <v>180278.64</v>
      </c>
      <c r="L57" s="16"/>
      <c r="M57" s="16"/>
      <c r="N57" s="16"/>
      <c r="O57" s="16"/>
      <c r="P57" s="16"/>
      <c r="Q57" s="16"/>
      <c r="R57" s="16"/>
      <c r="S57" s="16"/>
      <c r="T57" s="16"/>
      <c r="U57" s="42"/>
      <c r="V57" s="42"/>
      <c r="W57" s="42"/>
      <c r="X57" s="42"/>
      <c r="Y57" s="244"/>
    </row>
    <row r="58" spans="1:25" s="79" customFormat="1" ht="52.5" customHeight="1" x14ac:dyDescent="0.2">
      <c r="A58" s="117" t="s">
        <v>202</v>
      </c>
      <c r="B58" s="25" t="s">
        <v>158</v>
      </c>
      <c r="C58" s="26" t="s">
        <v>24</v>
      </c>
      <c r="D58" s="9" t="s">
        <v>64</v>
      </c>
      <c r="E58" s="10" t="s">
        <v>38</v>
      </c>
      <c r="F58" s="10" t="s">
        <v>68</v>
      </c>
      <c r="G58" s="9">
        <f t="shared" si="5"/>
        <v>1530000</v>
      </c>
      <c r="H58" s="157">
        <f t="shared" si="6"/>
        <v>1530000</v>
      </c>
      <c r="I58" s="9"/>
      <c r="J58" s="16">
        <v>1530000</v>
      </c>
      <c r="K58" s="16">
        <v>1530000</v>
      </c>
      <c r="L58" s="16"/>
      <c r="M58" s="16"/>
      <c r="N58" s="16"/>
      <c r="O58" s="16"/>
      <c r="P58" s="16"/>
      <c r="Q58" s="16"/>
      <c r="R58" s="16"/>
      <c r="S58" s="16"/>
      <c r="T58" s="16"/>
      <c r="U58" s="42"/>
      <c r="V58" s="42"/>
      <c r="W58" s="42"/>
      <c r="X58" s="42"/>
      <c r="Y58" s="244"/>
    </row>
    <row r="59" spans="1:25" s="79" customFormat="1" ht="30" customHeight="1" x14ac:dyDescent="0.2">
      <c r="A59" s="117" t="s">
        <v>203</v>
      </c>
      <c r="B59" s="2" t="s">
        <v>30</v>
      </c>
      <c r="C59" s="5" t="s">
        <v>24</v>
      </c>
      <c r="D59" s="157" t="s">
        <v>63</v>
      </c>
      <c r="E59" s="10" t="s">
        <v>37</v>
      </c>
      <c r="F59" s="10" t="s">
        <v>26</v>
      </c>
      <c r="G59" s="9">
        <f t="shared" si="5"/>
        <v>5017100</v>
      </c>
      <c r="H59" s="157">
        <f t="shared" si="6"/>
        <v>5017100</v>
      </c>
      <c r="I59" s="82"/>
      <c r="J59" s="31">
        <v>752600</v>
      </c>
      <c r="K59" s="31">
        <v>752600</v>
      </c>
      <c r="L59" s="31"/>
      <c r="M59" s="16">
        <v>4264500</v>
      </c>
      <c r="N59" s="16">
        <v>4264500</v>
      </c>
      <c r="O59" s="16"/>
      <c r="P59" s="16"/>
      <c r="Q59" s="16"/>
      <c r="R59" s="16"/>
      <c r="S59" s="16"/>
      <c r="T59" s="16"/>
      <c r="U59" s="42"/>
      <c r="V59" s="42"/>
      <c r="W59" s="42"/>
      <c r="X59" s="42"/>
      <c r="Y59" s="244"/>
    </row>
    <row r="60" spans="1:25" s="79" customFormat="1" ht="33" customHeight="1" x14ac:dyDescent="0.2">
      <c r="A60" s="117" t="s">
        <v>204</v>
      </c>
      <c r="B60" s="2" t="s">
        <v>122</v>
      </c>
      <c r="C60" s="26" t="s">
        <v>31</v>
      </c>
      <c r="D60" s="9"/>
      <c r="E60" s="10" t="s">
        <v>60</v>
      </c>
      <c r="F60" s="28" t="s">
        <v>23</v>
      </c>
      <c r="G60" s="9">
        <f t="shared" si="5"/>
        <v>662700</v>
      </c>
      <c r="H60" s="157">
        <f t="shared" si="6"/>
        <v>662700</v>
      </c>
      <c r="I60" s="9"/>
      <c r="J60" s="16">
        <v>436900</v>
      </c>
      <c r="K60" s="16">
        <v>436900</v>
      </c>
      <c r="L60" s="16"/>
      <c r="M60" s="16"/>
      <c r="N60" s="16"/>
      <c r="O60" s="16"/>
      <c r="P60" s="16"/>
      <c r="Q60" s="16"/>
      <c r="R60" s="16"/>
      <c r="S60" s="16">
        <v>225800</v>
      </c>
      <c r="T60" s="16">
        <v>225800</v>
      </c>
      <c r="U60" s="42"/>
      <c r="V60" s="42"/>
      <c r="W60" s="42"/>
      <c r="X60" s="42"/>
      <c r="Y60" s="244"/>
    </row>
    <row r="61" spans="1:25" s="147" customFormat="1" ht="53.25" customHeight="1" x14ac:dyDescent="0.2">
      <c r="A61" s="117" t="s">
        <v>205</v>
      </c>
      <c r="B61" s="25" t="s">
        <v>275</v>
      </c>
      <c r="C61" s="26" t="s">
        <v>24</v>
      </c>
      <c r="D61" s="158" t="s">
        <v>74</v>
      </c>
      <c r="E61" s="10" t="s">
        <v>38</v>
      </c>
      <c r="F61" s="10" t="s">
        <v>26</v>
      </c>
      <c r="G61" s="9">
        <f>J61+M61+P61+S61+V61</f>
        <v>3937200</v>
      </c>
      <c r="H61" s="157">
        <f t="shared" si="6"/>
        <v>3937200</v>
      </c>
      <c r="I61" s="9"/>
      <c r="J61" s="16">
        <f>257200+310000</f>
        <v>567200</v>
      </c>
      <c r="K61" s="16">
        <f>257200+310000</f>
        <v>567200</v>
      </c>
      <c r="L61" s="16"/>
      <c r="M61" s="16">
        <v>870000</v>
      </c>
      <c r="N61" s="16">
        <v>870000</v>
      </c>
      <c r="O61" s="16"/>
      <c r="P61" s="16"/>
      <c r="Q61" s="16"/>
      <c r="R61" s="16"/>
      <c r="S61" s="16"/>
      <c r="T61" s="16"/>
      <c r="U61" s="42"/>
      <c r="V61" s="42">
        <v>2500000</v>
      </c>
      <c r="W61" s="42">
        <v>2500000</v>
      </c>
      <c r="X61" s="42"/>
      <c r="Y61" s="245"/>
    </row>
    <row r="62" spans="1:25" s="79" customFormat="1" ht="41.25" customHeight="1" x14ac:dyDescent="0.2">
      <c r="A62" s="117" t="s">
        <v>206</v>
      </c>
      <c r="B62" s="25" t="s">
        <v>113</v>
      </c>
      <c r="C62" s="26" t="s">
        <v>24</v>
      </c>
      <c r="D62" s="114" t="s">
        <v>63</v>
      </c>
      <c r="E62" s="10" t="s">
        <v>38</v>
      </c>
      <c r="F62" s="10" t="s">
        <v>291</v>
      </c>
      <c r="G62" s="9">
        <f t="shared" si="5"/>
        <v>675700</v>
      </c>
      <c r="H62" s="157">
        <f t="shared" si="6"/>
        <v>675700</v>
      </c>
      <c r="I62" s="9"/>
      <c r="J62" s="16">
        <v>67600</v>
      </c>
      <c r="K62" s="16">
        <v>67600</v>
      </c>
      <c r="L62" s="16"/>
      <c r="M62" s="16">
        <v>608100</v>
      </c>
      <c r="N62" s="16">
        <v>608100</v>
      </c>
      <c r="O62" s="16"/>
      <c r="P62" s="16"/>
      <c r="Q62" s="16"/>
      <c r="R62" s="16"/>
      <c r="S62" s="16"/>
      <c r="T62" s="16"/>
      <c r="U62" s="42"/>
      <c r="V62" s="42"/>
      <c r="W62" s="42"/>
      <c r="X62" s="42"/>
      <c r="Y62" s="244"/>
    </row>
    <row r="63" spans="1:25" s="79" customFormat="1" ht="30" customHeight="1" x14ac:dyDescent="0.2">
      <c r="A63" s="117" t="s">
        <v>208</v>
      </c>
      <c r="B63" s="25" t="s">
        <v>114</v>
      </c>
      <c r="C63" s="26" t="s">
        <v>24</v>
      </c>
      <c r="D63" s="159" t="s">
        <v>63</v>
      </c>
      <c r="E63" s="10" t="s">
        <v>38</v>
      </c>
      <c r="F63" s="10" t="s">
        <v>23</v>
      </c>
      <c r="G63" s="9">
        <f t="shared" si="5"/>
        <v>118300</v>
      </c>
      <c r="H63" s="157">
        <f t="shared" si="6"/>
        <v>118300</v>
      </c>
      <c r="I63" s="9"/>
      <c r="J63" s="16">
        <v>32800</v>
      </c>
      <c r="K63" s="16">
        <v>32800</v>
      </c>
      <c r="L63" s="16"/>
      <c r="M63" s="16">
        <v>85500</v>
      </c>
      <c r="N63" s="16">
        <v>85500</v>
      </c>
      <c r="O63" s="16"/>
      <c r="P63" s="16"/>
      <c r="Q63" s="16"/>
      <c r="R63" s="16"/>
      <c r="S63" s="16"/>
      <c r="T63" s="16"/>
      <c r="U63" s="42"/>
      <c r="V63" s="42"/>
      <c r="W63" s="42"/>
      <c r="X63" s="42"/>
      <c r="Y63" s="244"/>
    </row>
    <row r="64" spans="1:25" s="79" customFormat="1" ht="48.75" customHeight="1" x14ac:dyDescent="0.2">
      <c r="A64" s="117" t="s">
        <v>209</v>
      </c>
      <c r="B64" s="2" t="s">
        <v>276</v>
      </c>
      <c r="C64" s="5" t="s">
        <v>31</v>
      </c>
      <c r="D64" s="159" t="s">
        <v>120</v>
      </c>
      <c r="E64" s="10" t="s">
        <v>59</v>
      </c>
      <c r="F64" s="10" t="s">
        <v>23</v>
      </c>
      <c r="G64" s="9">
        <f t="shared" si="5"/>
        <v>231339.5</v>
      </c>
      <c r="H64" s="157">
        <f t="shared" si="6"/>
        <v>231339.5</v>
      </c>
      <c r="I64" s="9"/>
      <c r="J64" s="16">
        <f>145071+40735+19700+1633.5+24200</f>
        <v>231339.5</v>
      </c>
      <c r="K64" s="16">
        <f>145071+40735+19700+1633.5+24200</f>
        <v>231339.5</v>
      </c>
      <c r="L64" s="16"/>
      <c r="M64" s="16"/>
      <c r="N64" s="16"/>
      <c r="O64" s="16"/>
      <c r="P64" s="16"/>
      <c r="Q64" s="16"/>
      <c r="R64" s="16"/>
      <c r="S64" s="16"/>
      <c r="T64" s="16"/>
      <c r="U64" s="42"/>
      <c r="V64" s="42"/>
      <c r="W64" s="42"/>
      <c r="X64" s="42"/>
      <c r="Y64" s="244"/>
    </row>
    <row r="65" spans="1:25" s="79" customFormat="1" ht="44.25" customHeight="1" x14ac:dyDescent="0.2">
      <c r="A65" s="117" t="s">
        <v>210</v>
      </c>
      <c r="B65" s="2" t="s">
        <v>32</v>
      </c>
      <c r="C65" s="5" t="s">
        <v>24</v>
      </c>
      <c r="D65" s="159"/>
      <c r="E65" s="10" t="s">
        <v>38</v>
      </c>
      <c r="F65" s="10" t="s">
        <v>68</v>
      </c>
      <c r="G65" s="9">
        <f t="shared" si="5"/>
        <v>400000</v>
      </c>
      <c r="H65" s="157">
        <f t="shared" si="6"/>
        <v>400000</v>
      </c>
      <c r="I65" s="9"/>
      <c r="J65" s="16">
        <v>400000</v>
      </c>
      <c r="K65" s="16">
        <v>400000</v>
      </c>
      <c r="L65" s="16"/>
      <c r="M65" s="16"/>
      <c r="N65" s="16"/>
      <c r="O65" s="16"/>
      <c r="P65" s="16"/>
      <c r="Q65" s="16"/>
      <c r="R65" s="16"/>
      <c r="S65" s="16"/>
      <c r="T65" s="16"/>
      <c r="U65" s="42"/>
      <c r="V65" s="42"/>
      <c r="W65" s="42"/>
      <c r="X65" s="42"/>
      <c r="Y65" s="244"/>
    </row>
    <row r="66" spans="1:25" s="175" customFormat="1" ht="15" customHeight="1" x14ac:dyDescent="0.2">
      <c r="A66" s="255"/>
      <c r="B66" s="256"/>
      <c r="C66" s="257"/>
      <c r="D66" s="256"/>
      <c r="E66" s="257"/>
      <c r="F66" s="253" t="s">
        <v>17</v>
      </c>
      <c r="G66" s="259">
        <f>SUM(G34:G65)</f>
        <v>102498784.66999999</v>
      </c>
      <c r="H66" s="259">
        <f>SUM(H34:H65)</f>
        <v>102498784.66999999</v>
      </c>
      <c r="I66" s="260"/>
      <c r="J66" s="259">
        <f t="shared" ref="J66:T66" si="7">SUM(J34:J65)</f>
        <v>42303320.670000002</v>
      </c>
      <c r="K66" s="259">
        <f t="shared" si="7"/>
        <v>42303320.670000002</v>
      </c>
      <c r="L66" s="260"/>
      <c r="M66" s="259">
        <f t="shared" si="7"/>
        <v>12545718</v>
      </c>
      <c r="N66" s="259">
        <f t="shared" si="7"/>
        <v>12545718</v>
      </c>
      <c r="O66" s="260"/>
      <c r="P66" s="259">
        <f t="shared" si="7"/>
        <v>13609100</v>
      </c>
      <c r="Q66" s="259">
        <f t="shared" si="7"/>
        <v>13609100</v>
      </c>
      <c r="R66" s="260"/>
      <c r="S66" s="259">
        <f t="shared" si="7"/>
        <v>27548546</v>
      </c>
      <c r="T66" s="259">
        <f t="shared" si="7"/>
        <v>27548546</v>
      </c>
      <c r="U66" s="260"/>
      <c r="V66" s="259">
        <f>SUM(V34:V65)</f>
        <v>6492100</v>
      </c>
      <c r="W66" s="259">
        <f>SUM(W34:W65)</f>
        <v>6492100</v>
      </c>
      <c r="X66" s="261"/>
      <c r="Y66" s="258"/>
    </row>
    <row r="67" spans="1:25" s="79" customFormat="1" ht="17.25" customHeight="1" x14ac:dyDescent="0.2">
      <c r="A67" s="804" t="s">
        <v>55</v>
      </c>
      <c r="B67" s="805"/>
      <c r="C67" s="805"/>
      <c r="D67" s="805"/>
      <c r="E67" s="805"/>
      <c r="F67" s="805"/>
      <c r="G67" s="805"/>
      <c r="H67" s="805"/>
      <c r="I67" s="805"/>
      <c r="J67" s="805"/>
      <c r="K67" s="805"/>
      <c r="L67" s="805"/>
      <c r="M67" s="805"/>
      <c r="N67" s="805"/>
      <c r="O67" s="805"/>
      <c r="P67" s="805"/>
      <c r="Q67" s="805"/>
      <c r="R67" s="805"/>
      <c r="S67" s="805"/>
      <c r="T67" s="805"/>
      <c r="U67" s="805"/>
      <c r="V67" s="805"/>
      <c r="W67" s="805"/>
      <c r="X67" s="805"/>
      <c r="Y67" s="244"/>
    </row>
    <row r="68" spans="1:25" s="79" customFormat="1" ht="41.25" customHeight="1" x14ac:dyDescent="0.2">
      <c r="A68" s="111" t="s">
        <v>211</v>
      </c>
      <c r="B68" s="65" t="s">
        <v>34</v>
      </c>
      <c r="C68" s="26" t="s">
        <v>31</v>
      </c>
      <c r="D68" s="9" t="s">
        <v>61</v>
      </c>
      <c r="E68" s="28" t="s">
        <v>38</v>
      </c>
      <c r="F68" s="28" t="s">
        <v>23</v>
      </c>
      <c r="G68" s="9">
        <f>J68+M68+P68+S68+V68</f>
        <v>530732.06000000006</v>
      </c>
      <c r="H68" s="157">
        <f>K68+N68+Q68+T68+W68</f>
        <v>530732.06000000006</v>
      </c>
      <c r="I68" s="89"/>
      <c r="J68" s="9">
        <v>514732.06</v>
      </c>
      <c r="K68" s="9">
        <v>514732.06</v>
      </c>
      <c r="L68" s="89"/>
      <c r="M68" s="9"/>
      <c r="N68" s="9"/>
      <c r="O68" s="89"/>
      <c r="P68" s="9"/>
      <c r="Q68" s="9"/>
      <c r="R68" s="89"/>
      <c r="S68" s="9"/>
      <c r="T68" s="9"/>
      <c r="U68" s="104"/>
      <c r="V68" s="43">
        <v>16000</v>
      </c>
      <c r="W68" s="43">
        <v>16000</v>
      </c>
      <c r="X68" s="104"/>
      <c r="Y68" s="244"/>
    </row>
    <row r="69" spans="1:25" s="79" customFormat="1" ht="20.25" customHeight="1" x14ac:dyDescent="0.2">
      <c r="A69" s="111" t="s">
        <v>212</v>
      </c>
      <c r="B69" s="160" t="s">
        <v>35</v>
      </c>
      <c r="C69" s="55" t="s">
        <v>31</v>
      </c>
      <c r="D69" s="54" t="s">
        <v>61</v>
      </c>
      <c r="E69" s="52" t="s">
        <v>37</v>
      </c>
      <c r="F69" s="52" t="s">
        <v>26</v>
      </c>
      <c r="G69" s="9">
        <f t="shared" ref="G69:G88" si="8">J69+M69+P69+S69+V69</f>
        <v>825630</v>
      </c>
      <c r="H69" s="157">
        <f t="shared" ref="H69:H88" si="9">K69+N69+Q69+T69+W69</f>
        <v>825630</v>
      </c>
      <c r="I69" s="182"/>
      <c r="J69" s="45">
        <v>825630</v>
      </c>
      <c r="K69" s="19">
        <v>825630</v>
      </c>
      <c r="L69" s="190"/>
      <c r="M69" s="53"/>
      <c r="N69" s="53"/>
      <c r="O69" s="195"/>
      <c r="P69" s="53"/>
      <c r="Q69" s="53"/>
      <c r="R69" s="195"/>
      <c r="S69" s="53"/>
      <c r="T69" s="45"/>
      <c r="U69" s="192"/>
      <c r="V69" s="107"/>
      <c r="W69" s="51"/>
      <c r="X69" s="103"/>
      <c r="Y69" s="244"/>
    </row>
    <row r="70" spans="1:25" s="79" customFormat="1" ht="25.5" customHeight="1" x14ac:dyDescent="0.2">
      <c r="A70" s="111" t="s">
        <v>213</v>
      </c>
      <c r="B70" s="65" t="s">
        <v>170</v>
      </c>
      <c r="C70" s="36" t="s">
        <v>31</v>
      </c>
      <c r="D70" s="16" t="s">
        <v>61</v>
      </c>
      <c r="E70" s="10" t="s">
        <v>37</v>
      </c>
      <c r="F70" s="10" t="s">
        <v>68</v>
      </c>
      <c r="G70" s="9">
        <f t="shared" si="8"/>
        <v>1272520</v>
      </c>
      <c r="H70" s="157">
        <f t="shared" si="9"/>
        <v>1272520</v>
      </c>
      <c r="I70" s="104"/>
      <c r="J70" s="16">
        <v>1272520</v>
      </c>
      <c r="K70" s="16">
        <v>1272520</v>
      </c>
      <c r="L70" s="97"/>
      <c r="M70" s="16"/>
      <c r="N70" s="16"/>
      <c r="O70" s="90"/>
      <c r="P70" s="16"/>
      <c r="Q70" s="16"/>
      <c r="R70" s="96"/>
      <c r="S70" s="16"/>
      <c r="T70" s="7"/>
      <c r="U70" s="90"/>
      <c r="V70" s="7"/>
      <c r="W70" s="42"/>
      <c r="X70" s="96"/>
      <c r="Y70" s="244"/>
    </row>
    <row r="71" spans="1:25" s="79" customFormat="1" ht="38.25" customHeight="1" x14ac:dyDescent="0.2">
      <c r="A71" s="111" t="s">
        <v>214</v>
      </c>
      <c r="B71" s="65" t="s">
        <v>154</v>
      </c>
      <c r="C71" s="36" t="s">
        <v>31</v>
      </c>
      <c r="D71" s="161"/>
      <c r="E71" s="10" t="s">
        <v>37</v>
      </c>
      <c r="F71" s="6" t="s">
        <v>23</v>
      </c>
      <c r="G71" s="9">
        <f t="shared" si="8"/>
        <v>400000</v>
      </c>
      <c r="H71" s="157">
        <f t="shared" si="9"/>
        <v>400000</v>
      </c>
      <c r="I71" s="183"/>
      <c r="J71" s="16">
        <v>400000</v>
      </c>
      <c r="K71" s="16">
        <v>400000</v>
      </c>
      <c r="L71" s="191"/>
      <c r="M71" s="16"/>
      <c r="N71" s="16"/>
      <c r="O71" s="90"/>
      <c r="P71" s="16"/>
      <c r="Q71" s="16"/>
      <c r="R71" s="191"/>
      <c r="S71" s="16"/>
      <c r="T71" s="7"/>
      <c r="U71" s="90"/>
      <c r="V71" s="7"/>
      <c r="W71" s="42"/>
      <c r="X71" s="96"/>
      <c r="Y71" s="244"/>
    </row>
    <row r="72" spans="1:25" s="79" customFormat="1" ht="28.5" customHeight="1" x14ac:dyDescent="0.2">
      <c r="A72" s="111" t="s">
        <v>215</v>
      </c>
      <c r="B72" s="162" t="s">
        <v>33</v>
      </c>
      <c r="C72" s="60" t="s">
        <v>31</v>
      </c>
      <c r="D72" s="9" t="s">
        <v>61</v>
      </c>
      <c r="E72" s="28" t="s">
        <v>26</v>
      </c>
      <c r="F72" s="28" t="s">
        <v>68</v>
      </c>
      <c r="G72" s="9">
        <f t="shared" si="8"/>
        <v>490000</v>
      </c>
      <c r="H72" s="157">
        <f t="shared" si="9"/>
        <v>490000</v>
      </c>
      <c r="I72" s="104"/>
      <c r="J72" s="9">
        <v>490000</v>
      </c>
      <c r="K72" s="9">
        <v>490000</v>
      </c>
      <c r="L72" s="98"/>
      <c r="M72" s="9"/>
      <c r="N72" s="9"/>
      <c r="O72" s="89"/>
      <c r="P72" s="9"/>
      <c r="Q72" s="9"/>
      <c r="R72" s="104"/>
      <c r="S72" s="9"/>
      <c r="T72" s="15"/>
      <c r="U72" s="89"/>
      <c r="V72" s="15"/>
      <c r="W72" s="43"/>
      <c r="X72" s="104"/>
      <c r="Y72" s="244"/>
    </row>
    <row r="73" spans="1:25" s="79" customFormat="1" ht="28.5" customHeight="1" x14ac:dyDescent="0.2">
      <c r="A73" s="111" t="s">
        <v>216</v>
      </c>
      <c r="B73" s="65" t="s">
        <v>171</v>
      </c>
      <c r="C73" s="60" t="s">
        <v>31</v>
      </c>
      <c r="D73" s="9" t="s">
        <v>61</v>
      </c>
      <c r="E73" s="28" t="s">
        <v>23</v>
      </c>
      <c r="F73" s="28" t="s">
        <v>172</v>
      </c>
      <c r="G73" s="9">
        <f t="shared" si="8"/>
        <v>597000</v>
      </c>
      <c r="H73" s="157">
        <f t="shared" si="9"/>
        <v>597000</v>
      </c>
      <c r="I73" s="104"/>
      <c r="J73" s="16">
        <v>597000</v>
      </c>
      <c r="K73" s="16">
        <v>597000</v>
      </c>
      <c r="L73" s="97"/>
      <c r="M73" s="9"/>
      <c r="N73" s="9"/>
      <c r="O73" s="89"/>
      <c r="P73" s="9"/>
      <c r="Q73" s="9"/>
      <c r="R73" s="104"/>
      <c r="S73" s="9"/>
      <c r="T73" s="15"/>
      <c r="U73" s="89"/>
      <c r="V73" s="15"/>
      <c r="W73" s="43"/>
      <c r="X73" s="104"/>
      <c r="Y73" s="244"/>
    </row>
    <row r="74" spans="1:25" s="79" customFormat="1" ht="25.5" customHeight="1" x14ac:dyDescent="0.2">
      <c r="A74" s="111" t="s">
        <v>217</v>
      </c>
      <c r="B74" s="65" t="s">
        <v>169</v>
      </c>
      <c r="C74" s="26" t="s">
        <v>24</v>
      </c>
      <c r="D74" s="72"/>
      <c r="E74" s="50" t="s">
        <v>68</v>
      </c>
      <c r="F74" s="71" t="s">
        <v>75</v>
      </c>
      <c r="G74" s="9">
        <f t="shared" si="8"/>
        <v>3702100</v>
      </c>
      <c r="H74" s="157">
        <f t="shared" si="9"/>
        <v>3702100</v>
      </c>
      <c r="I74" s="102"/>
      <c r="J74" s="54">
        <v>3702100</v>
      </c>
      <c r="K74" s="82">
        <v>3702100</v>
      </c>
      <c r="L74" s="102"/>
      <c r="M74" s="54"/>
      <c r="N74" s="54"/>
      <c r="O74" s="182"/>
      <c r="P74" s="54"/>
      <c r="Q74" s="54"/>
      <c r="R74" s="102"/>
      <c r="S74" s="54"/>
      <c r="T74" s="72"/>
      <c r="U74" s="182"/>
      <c r="V74" s="108"/>
      <c r="W74" s="41"/>
      <c r="X74" s="95"/>
      <c r="Y74" s="244"/>
    </row>
    <row r="75" spans="1:25" s="79" customFormat="1" ht="43.5" customHeight="1" x14ac:dyDescent="0.2">
      <c r="A75" s="229" t="s">
        <v>218</v>
      </c>
      <c r="B75" s="65" t="s">
        <v>262</v>
      </c>
      <c r="C75" s="36" t="s">
        <v>31</v>
      </c>
      <c r="D75" s="43" t="s">
        <v>115</v>
      </c>
      <c r="E75" s="10" t="s">
        <v>25</v>
      </c>
      <c r="F75" s="73" t="s">
        <v>68</v>
      </c>
      <c r="G75" s="9">
        <f t="shared" si="8"/>
        <v>1141264</v>
      </c>
      <c r="H75" s="157">
        <f t="shared" si="9"/>
        <v>1141264</v>
      </c>
      <c r="I75" s="43"/>
      <c r="J75" s="16">
        <v>1081264</v>
      </c>
      <c r="K75" s="7">
        <v>1081264</v>
      </c>
      <c r="L75" s="42"/>
      <c r="M75" s="16"/>
      <c r="N75" s="16"/>
      <c r="O75" s="16"/>
      <c r="P75" s="16">
        <v>60000</v>
      </c>
      <c r="Q75" s="16">
        <v>60000</v>
      </c>
      <c r="R75" s="7"/>
      <c r="S75" s="16"/>
      <c r="T75" s="7"/>
      <c r="U75" s="16"/>
      <c r="V75" s="7"/>
      <c r="W75" s="42"/>
      <c r="X75" s="42"/>
      <c r="Y75" s="244"/>
    </row>
    <row r="76" spans="1:25" s="79" customFormat="1" ht="41.25" customHeight="1" x14ac:dyDescent="0.2">
      <c r="A76" s="229" t="s">
        <v>219</v>
      </c>
      <c r="B76" s="65" t="s">
        <v>141</v>
      </c>
      <c r="C76" s="36" t="s">
        <v>31</v>
      </c>
      <c r="D76" s="9" t="s">
        <v>173</v>
      </c>
      <c r="E76" s="10" t="s">
        <v>37</v>
      </c>
      <c r="F76" s="10" t="s">
        <v>68</v>
      </c>
      <c r="G76" s="9">
        <f t="shared" si="8"/>
        <v>388592.02</v>
      </c>
      <c r="H76" s="157">
        <f t="shared" si="9"/>
        <v>388592.02</v>
      </c>
      <c r="I76" s="9"/>
      <c r="J76" s="16">
        <v>388592.02</v>
      </c>
      <c r="K76" s="16">
        <v>388592.02</v>
      </c>
      <c r="L76" s="16"/>
      <c r="M76" s="16"/>
      <c r="N76" s="16"/>
      <c r="O76" s="16"/>
      <c r="P76" s="16"/>
      <c r="Q76" s="16"/>
      <c r="R76" s="42"/>
      <c r="S76" s="16"/>
      <c r="T76" s="7"/>
      <c r="U76" s="16"/>
      <c r="V76" s="7"/>
      <c r="W76" s="42"/>
      <c r="X76" s="42"/>
      <c r="Y76" s="244"/>
    </row>
    <row r="77" spans="1:25" s="79" customFormat="1" ht="45.75" customHeight="1" x14ac:dyDescent="0.2">
      <c r="A77" s="229" t="s">
        <v>220</v>
      </c>
      <c r="B77" s="65" t="s">
        <v>99</v>
      </c>
      <c r="C77" s="20" t="s">
        <v>24</v>
      </c>
      <c r="D77" s="14" t="s">
        <v>119</v>
      </c>
      <c r="E77" s="10" t="s">
        <v>38</v>
      </c>
      <c r="F77" s="10" t="s">
        <v>73</v>
      </c>
      <c r="G77" s="9">
        <f t="shared" si="8"/>
        <v>5799000</v>
      </c>
      <c r="H77" s="157">
        <f t="shared" si="9"/>
        <v>5799000</v>
      </c>
      <c r="I77" s="80"/>
      <c r="J77" s="74">
        <f>2860900+73100</f>
        <v>2934000</v>
      </c>
      <c r="K77" s="74">
        <f>2860900+73100</f>
        <v>2934000</v>
      </c>
      <c r="L77" s="74"/>
      <c r="M77" s="16">
        <v>2632700</v>
      </c>
      <c r="N77" s="16">
        <v>2632700</v>
      </c>
      <c r="O77" s="16"/>
      <c r="P77" s="16">
        <v>232300</v>
      </c>
      <c r="Q77" s="16">
        <v>232300</v>
      </c>
      <c r="R77" s="42"/>
      <c r="S77" s="16"/>
      <c r="T77" s="7"/>
      <c r="U77" s="16"/>
      <c r="V77" s="7"/>
      <c r="W77" s="42"/>
      <c r="X77" s="42"/>
      <c r="Y77" s="244"/>
    </row>
    <row r="78" spans="1:25" s="79" customFormat="1" ht="143.25" customHeight="1" x14ac:dyDescent="0.2">
      <c r="A78" s="229" t="s">
        <v>221</v>
      </c>
      <c r="B78" s="250" t="s">
        <v>100</v>
      </c>
      <c r="C78" s="20" t="s">
        <v>24</v>
      </c>
      <c r="D78" s="14" t="s">
        <v>119</v>
      </c>
      <c r="E78" s="10" t="s">
        <v>37</v>
      </c>
      <c r="F78" s="10" t="s">
        <v>68</v>
      </c>
      <c r="G78" s="9">
        <f t="shared" si="8"/>
        <v>6158100</v>
      </c>
      <c r="H78" s="239">
        <f t="shared" si="9"/>
        <v>11550876.949999999</v>
      </c>
      <c r="I78" s="89">
        <f>H78-G78</f>
        <v>5392776.9499999993</v>
      </c>
      <c r="J78" s="16">
        <f>490400+378300</f>
        <v>868700</v>
      </c>
      <c r="K78" s="90">
        <v>6261598.6500000004</v>
      </c>
      <c r="L78" s="90">
        <f>K78-J78</f>
        <v>5392898.6500000004</v>
      </c>
      <c r="M78" s="16">
        <v>4860400</v>
      </c>
      <c r="N78" s="90">
        <v>4860417.8899999997</v>
      </c>
      <c r="O78" s="90">
        <f>N78-M78</f>
        <v>17.889999999664724</v>
      </c>
      <c r="P78" s="16">
        <v>429000</v>
      </c>
      <c r="Q78" s="90">
        <v>428860.41</v>
      </c>
      <c r="R78" s="96">
        <f>Q78-P78</f>
        <v>-139.59000000002561</v>
      </c>
      <c r="S78" s="16"/>
      <c r="T78" s="7"/>
      <c r="U78" s="16"/>
      <c r="V78" s="7"/>
      <c r="W78" s="42"/>
      <c r="X78" s="42"/>
      <c r="Y78" s="254" t="s">
        <v>294</v>
      </c>
    </row>
    <row r="79" spans="1:25" s="79" customFormat="1" ht="67.5" customHeight="1" x14ac:dyDescent="0.2">
      <c r="A79" s="229" t="s">
        <v>222</v>
      </c>
      <c r="B79" s="65" t="s">
        <v>101</v>
      </c>
      <c r="C79" s="20" t="s">
        <v>24</v>
      </c>
      <c r="D79" s="112" t="s">
        <v>118</v>
      </c>
      <c r="E79" s="10" t="s">
        <v>38</v>
      </c>
      <c r="F79" s="10" t="s">
        <v>68</v>
      </c>
      <c r="G79" s="9">
        <f t="shared" si="8"/>
        <v>3403327.01</v>
      </c>
      <c r="H79" s="157">
        <f>K79+N79+Q79+T79+W79</f>
        <v>3403327.01</v>
      </c>
      <c r="I79" s="9"/>
      <c r="J79" s="16">
        <f>718900+67752.75</f>
        <v>786652.75</v>
      </c>
      <c r="K79" s="16">
        <f>718900+67752.75</f>
        <v>786652.75</v>
      </c>
      <c r="L79" s="16"/>
      <c r="M79" s="16">
        <v>2404511.48</v>
      </c>
      <c r="N79" s="16">
        <v>2404511.48</v>
      </c>
      <c r="O79" s="16"/>
      <c r="P79" s="16">
        <v>212162.78</v>
      </c>
      <c r="Q79" s="16">
        <v>212162.78</v>
      </c>
      <c r="R79" s="42"/>
      <c r="S79" s="16"/>
      <c r="T79" s="74"/>
      <c r="U79" s="42"/>
      <c r="V79" s="42"/>
      <c r="W79" s="42"/>
      <c r="X79" s="42"/>
      <c r="Y79" s="244"/>
    </row>
    <row r="80" spans="1:25" s="79" customFormat="1" ht="39" customHeight="1" x14ac:dyDescent="0.2">
      <c r="A80" s="229" t="s">
        <v>223</v>
      </c>
      <c r="B80" s="238" t="s">
        <v>117</v>
      </c>
      <c r="C80" s="217" t="s">
        <v>24</v>
      </c>
      <c r="D80" s="112" t="s">
        <v>118</v>
      </c>
      <c r="E80" s="24" t="s">
        <v>38</v>
      </c>
      <c r="F80" s="24" t="s">
        <v>68</v>
      </c>
      <c r="G80" s="9">
        <f t="shared" si="8"/>
        <v>3306303.46</v>
      </c>
      <c r="H80" s="157">
        <f t="shared" si="9"/>
        <v>3306303.46</v>
      </c>
      <c r="I80" s="82"/>
      <c r="J80" s="31">
        <f>480600+144573.52</f>
        <v>625173.52</v>
      </c>
      <c r="K80" s="31">
        <f>480600+144573.52</f>
        <v>625173.52</v>
      </c>
      <c r="L80" s="31"/>
      <c r="M80" s="31">
        <v>2463741.0299999998</v>
      </c>
      <c r="N80" s="31">
        <v>2463741.0299999998</v>
      </c>
      <c r="O80" s="31"/>
      <c r="P80" s="31">
        <v>217388.91</v>
      </c>
      <c r="Q80" s="31">
        <v>217388.91</v>
      </c>
      <c r="R80" s="31"/>
      <c r="S80" s="31"/>
      <c r="T80" s="31"/>
      <c r="U80" s="51"/>
      <c r="V80" s="51"/>
      <c r="W80" s="51"/>
      <c r="X80" s="51"/>
      <c r="Y80" s="244"/>
    </row>
    <row r="81" spans="1:25" s="79" customFormat="1" ht="36.75" customHeight="1" x14ac:dyDescent="0.2">
      <c r="A81" s="229" t="s">
        <v>224</v>
      </c>
      <c r="B81" s="65" t="s">
        <v>103</v>
      </c>
      <c r="C81" s="20" t="s">
        <v>24</v>
      </c>
      <c r="D81" s="112" t="s">
        <v>118</v>
      </c>
      <c r="E81" s="10" t="s">
        <v>38</v>
      </c>
      <c r="F81" s="10" t="s">
        <v>26</v>
      </c>
      <c r="G81" s="9">
        <f t="shared" si="8"/>
        <v>1740243.51</v>
      </c>
      <c r="H81" s="157">
        <f t="shared" si="9"/>
        <v>1740243.51</v>
      </c>
      <c r="I81" s="82"/>
      <c r="J81" s="16">
        <f>188600+28200+101217.92</f>
        <v>318017.91999999998</v>
      </c>
      <c r="K81" s="16">
        <f>188600+28200+101217.92</f>
        <v>318017.91999999998</v>
      </c>
      <c r="L81" s="16"/>
      <c r="M81" s="16">
        <v>1306910</v>
      </c>
      <c r="N81" s="16">
        <v>1306910</v>
      </c>
      <c r="O81" s="16"/>
      <c r="P81" s="16">
        <v>115315.59</v>
      </c>
      <c r="Q81" s="16">
        <v>115315.59</v>
      </c>
      <c r="R81" s="16"/>
      <c r="S81" s="16"/>
      <c r="T81" s="16"/>
      <c r="U81" s="42"/>
      <c r="V81" s="42"/>
      <c r="W81" s="42"/>
      <c r="X81" s="42"/>
      <c r="Y81" s="244"/>
    </row>
    <row r="82" spans="1:25" s="79" customFormat="1" ht="38.25" customHeight="1" x14ac:dyDescent="0.2">
      <c r="A82" s="229" t="s">
        <v>225</v>
      </c>
      <c r="B82" s="65" t="s">
        <v>104</v>
      </c>
      <c r="C82" s="20" t="s">
        <v>24</v>
      </c>
      <c r="D82" s="14" t="s">
        <v>119</v>
      </c>
      <c r="E82" s="10" t="s">
        <v>37</v>
      </c>
      <c r="F82" s="10" t="s">
        <v>68</v>
      </c>
      <c r="G82" s="9">
        <f t="shared" si="8"/>
        <v>6722800</v>
      </c>
      <c r="H82" s="157">
        <f t="shared" si="9"/>
        <v>6722800</v>
      </c>
      <c r="I82" s="82">
        <f>H82-G82</f>
        <v>0</v>
      </c>
      <c r="J82" s="16">
        <f>1528100+107300</f>
        <v>1635400</v>
      </c>
      <c r="K82" s="16">
        <f>1528100+107300</f>
        <v>1635400</v>
      </c>
      <c r="L82" s="16"/>
      <c r="M82" s="16">
        <f>4674900</f>
        <v>4674900</v>
      </c>
      <c r="N82" s="16">
        <f>4674900</f>
        <v>4674900</v>
      </c>
      <c r="O82" s="16"/>
      <c r="P82" s="16">
        <v>412500</v>
      </c>
      <c r="Q82" s="16">
        <v>412500</v>
      </c>
      <c r="R82" s="16"/>
      <c r="S82" s="16"/>
      <c r="T82" s="16"/>
      <c r="U82" s="42"/>
      <c r="V82" s="42"/>
      <c r="W82" s="42"/>
      <c r="X82" s="42"/>
      <c r="Y82" s="244"/>
    </row>
    <row r="83" spans="1:25" s="79" customFormat="1" ht="58.5" customHeight="1" x14ac:dyDescent="0.2">
      <c r="A83" s="229" t="s">
        <v>226</v>
      </c>
      <c r="B83" s="65" t="s">
        <v>98</v>
      </c>
      <c r="C83" s="36" t="s">
        <v>24</v>
      </c>
      <c r="D83" s="9" t="s">
        <v>121</v>
      </c>
      <c r="E83" s="10" t="s">
        <v>38</v>
      </c>
      <c r="F83" s="10" t="s">
        <v>68</v>
      </c>
      <c r="G83" s="9">
        <f t="shared" si="8"/>
        <v>1877400</v>
      </c>
      <c r="H83" s="157">
        <f>K83+N83+Q83+T83+W83</f>
        <v>1877400</v>
      </c>
      <c r="I83" s="82">
        <f>H83-G83</f>
        <v>0</v>
      </c>
      <c r="J83" s="9">
        <v>2800</v>
      </c>
      <c r="K83" s="9">
        <v>2800</v>
      </c>
      <c r="L83" s="16"/>
      <c r="M83" s="16">
        <v>0</v>
      </c>
      <c r="N83" s="16">
        <v>0</v>
      </c>
      <c r="O83" s="16"/>
      <c r="P83" s="16">
        <v>0</v>
      </c>
      <c r="Q83" s="16">
        <v>0</v>
      </c>
      <c r="R83" s="16"/>
      <c r="S83" s="16"/>
      <c r="T83" s="16"/>
      <c r="U83" s="42"/>
      <c r="V83" s="42">
        <v>1874600</v>
      </c>
      <c r="W83" s="42">
        <v>1874600</v>
      </c>
      <c r="X83" s="42"/>
      <c r="Y83" s="244"/>
    </row>
    <row r="84" spans="1:25" s="79" customFormat="1" ht="42" customHeight="1" x14ac:dyDescent="0.2">
      <c r="A84" s="229" t="s">
        <v>207</v>
      </c>
      <c r="B84" s="65" t="s">
        <v>263</v>
      </c>
      <c r="C84" s="36" t="s">
        <v>24</v>
      </c>
      <c r="D84" s="9" t="s">
        <v>121</v>
      </c>
      <c r="E84" s="10" t="s">
        <v>23</v>
      </c>
      <c r="F84" s="10" t="s">
        <v>26</v>
      </c>
      <c r="G84" s="9">
        <f t="shared" si="8"/>
        <v>94000</v>
      </c>
      <c r="H84" s="157">
        <f t="shared" si="9"/>
        <v>94000</v>
      </c>
      <c r="I84" s="9"/>
      <c r="J84" s="9">
        <v>94000</v>
      </c>
      <c r="K84" s="9">
        <v>94000</v>
      </c>
      <c r="L84" s="9"/>
      <c r="M84" s="16"/>
      <c r="N84" s="16"/>
      <c r="O84" s="16"/>
      <c r="P84" s="16"/>
      <c r="Q84" s="16"/>
      <c r="R84" s="16"/>
      <c r="S84" s="16"/>
      <c r="T84" s="16"/>
      <c r="U84" s="42"/>
      <c r="V84" s="42"/>
      <c r="W84" s="42"/>
      <c r="X84" s="42"/>
      <c r="Y84" s="244"/>
    </row>
    <row r="85" spans="1:25" s="79" customFormat="1" ht="39" customHeight="1" x14ac:dyDescent="0.2">
      <c r="A85" s="229" t="s">
        <v>227</v>
      </c>
      <c r="B85" s="113" t="s">
        <v>159</v>
      </c>
      <c r="C85" s="218" t="s">
        <v>31</v>
      </c>
      <c r="D85" s="114" t="s">
        <v>142</v>
      </c>
      <c r="E85" s="10" t="s">
        <v>25</v>
      </c>
      <c r="F85" s="10" t="s">
        <v>68</v>
      </c>
      <c r="G85" s="9">
        <f t="shared" si="8"/>
        <v>5579484</v>
      </c>
      <c r="H85" s="157">
        <f t="shared" si="9"/>
        <v>5579484</v>
      </c>
      <c r="I85" s="9"/>
      <c r="J85" s="16">
        <f>3977200+1602284</f>
        <v>5579484</v>
      </c>
      <c r="K85" s="16">
        <f>3977200+1602284</f>
        <v>5579484</v>
      </c>
      <c r="L85" s="16"/>
      <c r="M85" s="16"/>
      <c r="N85" s="16"/>
      <c r="O85" s="16"/>
      <c r="P85" s="16"/>
      <c r="Q85" s="16"/>
      <c r="R85" s="16"/>
      <c r="S85" s="16"/>
      <c r="T85" s="16"/>
      <c r="U85" s="42"/>
      <c r="V85" s="42"/>
      <c r="W85" s="42"/>
      <c r="X85" s="42"/>
      <c r="Y85" s="244"/>
    </row>
    <row r="86" spans="1:25" s="79" customFormat="1" ht="39" customHeight="1" x14ac:dyDescent="0.2">
      <c r="A86" s="229" t="s">
        <v>228</v>
      </c>
      <c r="B86" s="65" t="s">
        <v>143</v>
      </c>
      <c r="C86" s="36" t="s">
        <v>31</v>
      </c>
      <c r="D86" s="9" t="s">
        <v>144</v>
      </c>
      <c r="E86" s="10" t="s">
        <v>25</v>
      </c>
      <c r="F86" s="10" t="s">
        <v>68</v>
      </c>
      <c r="G86" s="9">
        <f t="shared" si="8"/>
        <v>967183.94</v>
      </c>
      <c r="H86" s="157">
        <f t="shared" si="9"/>
        <v>967183.94</v>
      </c>
      <c r="I86" s="9"/>
      <c r="J86" s="9">
        <v>967183.94</v>
      </c>
      <c r="K86" s="9">
        <v>967183.94</v>
      </c>
      <c r="L86" s="9"/>
      <c r="M86" s="16"/>
      <c r="N86" s="16"/>
      <c r="O86" s="16"/>
      <c r="P86" s="16"/>
      <c r="Q86" s="16"/>
      <c r="R86" s="16"/>
      <c r="S86" s="16"/>
      <c r="T86" s="16"/>
      <c r="U86" s="42"/>
      <c r="V86" s="42"/>
      <c r="W86" s="42"/>
      <c r="X86" s="42"/>
      <c r="Y86" s="244"/>
    </row>
    <row r="87" spans="1:25" s="79" customFormat="1" ht="40.5" customHeight="1" x14ac:dyDescent="0.2">
      <c r="A87" s="229" t="s">
        <v>229</v>
      </c>
      <c r="B87" s="64" t="s">
        <v>39</v>
      </c>
      <c r="C87" s="20" t="s">
        <v>24</v>
      </c>
      <c r="D87" s="25" t="s">
        <v>76</v>
      </c>
      <c r="E87" s="10" t="s">
        <v>37</v>
      </c>
      <c r="F87" s="10" t="s">
        <v>156</v>
      </c>
      <c r="G87" s="9">
        <f t="shared" si="8"/>
        <v>1458800</v>
      </c>
      <c r="H87" s="157">
        <f t="shared" si="9"/>
        <v>1458800</v>
      </c>
      <c r="I87" s="9"/>
      <c r="J87" s="16">
        <v>1458800</v>
      </c>
      <c r="K87" s="16">
        <v>1458800</v>
      </c>
      <c r="L87" s="16"/>
      <c r="M87" s="32"/>
      <c r="N87" s="32"/>
      <c r="O87" s="32"/>
      <c r="P87" s="32"/>
      <c r="Q87" s="32"/>
      <c r="R87" s="32"/>
      <c r="S87" s="32"/>
      <c r="T87" s="32"/>
      <c r="U87" s="46"/>
      <c r="V87" s="46"/>
      <c r="W87" s="46"/>
      <c r="X87" s="46"/>
      <c r="Y87" s="244"/>
    </row>
    <row r="88" spans="1:25" s="79" customFormat="1" ht="39" customHeight="1" x14ac:dyDescent="0.2">
      <c r="A88" s="229" t="s">
        <v>264</v>
      </c>
      <c r="B88" s="64" t="s">
        <v>277</v>
      </c>
      <c r="C88" s="20" t="s">
        <v>24</v>
      </c>
      <c r="D88" s="25" t="s">
        <v>76</v>
      </c>
      <c r="E88" s="10" t="s">
        <v>23</v>
      </c>
      <c r="F88" s="10" t="s">
        <v>23</v>
      </c>
      <c r="G88" s="9">
        <f t="shared" si="8"/>
        <v>20000</v>
      </c>
      <c r="H88" s="157">
        <f t="shared" si="9"/>
        <v>20000</v>
      </c>
      <c r="I88" s="9"/>
      <c r="J88" s="16">
        <v>20000</v>
      </c>
      <c r="K88" s="16">
        <v>20000</v>
      </c>
      <c r="L88" s="16"/>
      <c r="M88" s="32"/>
      <c r="N88" s="32"/>
      <c r="O88" s="32"/>
      <c r="P88" s="32"/>
      <c r="Q88" s="32"/>
      <c r="R88" s="32"/>
      <c r="S88" s="32"/>
      <c r="T88" s="32"/>
      <c r="U88" s="46"/>
      <c r="V88" s="46"/>
      <c r="W88" s="46"/>
      <c r="X88" s="46"/>
      <c r="Y88" s="244"/>
    </row>
    <row r="89" spans="1:25" s="79" customFormat="1" ht="18" customHeight="1" x14ac:dyDescent="0.2">
      <c r="A89" s="115"/>
      <c r="B89" s="116"/>
      <c r="C89" s="66"/>
      <c r="D89" s="116"/>
      <c r="E89" s="66"/>
      <c r="F89" s="58" t="s">
        <v>17</v>
      </c>
      <c r="G89" s="59">
        <f t="shared" ref="G89:X89" si="10">SUM(G68:G88)</f>
        <v>46474480</v>
      </c>
      <c r="H89" s="59">
        <f t="shared" si="10"/>
        <v>51867256.949999996</v>
      </c>
      <c r="I89" s="59">
        <f t="shared" si="10"/>
        <v>5392776.9499999993</v>
      </c>
      <c r="J89" s="59">
        <f t="shared" si="10"/>
        <v>24562050.210000001</v>
      </c>
      <c r="K89" s="59">
        <f t="shared" si="10"/>
        <v>29954948.860000003</v>
      </c>
      <c r="L89" s="59">
        <f t="shared" si="10"/>
        <v>5392898.6500000004</v>
      </c>
      <c r="M89" s="59">
        <f t="shared" si="10"/>
        <v>18343162.509999998</v>
      </c>
      <c r="N89" s="59">
        <f t="shared" si="10"/>
        <v>18343180.399999999</v>
      </c>
      <c r="O89" s="59">
        <f t="shared" si="10"/>
        <v>17.889999999664724</v>
      </c>
      <c r="P89" s="59">
        <f t="shared" si="10"/>
        <v>1678667.28</v>
      </c>
      <c r="Q89" s="59">
        <f t="shared" si="10"/>
        <v>1678527.69</v>
      </c>
      <c r="R89" s="59">
        <f t="shared" si="10"/>
        <v>-139.59000000002561</v>
      </c>
      <c r="S89" s="59">
        <f t="shared" si="10"/>
        <v>0</v>
      </c>
      <c r="T89" s="59">
        <f t="shared" si="10"/>
        <v>0</v>
      </c>
      <c r="U89" s="59">
        <f t="shared" si="10"/>
        <v>0</v>
      </c>
      <c r="V89" s="59">
        <f t="shared" si="10"/>
        <v>1890600</v>
      </c>
      <c r="W89" s="84">
        <f t="shared" si="10"/>
        <v>1890600</v>
      </c>
      <c r="X89" s="84">
        <f t="shared" si="10"/>
        <v>0</v>
      </c>
      <c r="Y89" s="244"/>
    </row>
    <row r="90" spans="1:25" s="163" customFormat="1" ht="15" customHeight="1" x14ac:dyDescent="0.25">
      <c r="A90" s="808" t="s">
        <v>53</v>
      </c>
      <c r="B90" s="809"/>
      <c r="C90" s="809"/>
      <c r="D90" s="809"/>
      <c r="E90" s="809"/>
      <c r="F90" s="809"/>
      <c r="G90" s="809"/>
      <c r="H90" s="809"/>
      <c r="I90" s="809"/>
      <c r="J90" s="809"/>
      <c r="K90" s="809"/>
      <c r="L90" s="809"/>
      <c r="M90" s="809"/>
      <c r="N90" s="809"/>
      <c r="O90" s="809"/>
      <c r="P90" s="809"/>
      <c r="Q90" s="809"/>
      <c r="R90" s="809"/>
      <c r="S90" s="809"/>
      <c r="T90" s="809"/>
      <c r="U90" s="809"/>
      <c r="V90" s="809"/>
      <c r="W90" s="809"/>
      <c r="X90" s="809"/>
      <c r="Y90" s="247"/>
    </row>
    <row r="91" spans="1:25" s="163" customFormat="1" ht="51.75" customHeight="1" x14ac:dyDescent="0.25">
      <c r="A91" s="117" t="s">
        <v>265</v>
      </c>
      <c r="B91" s="65" t="s">
        <v>91</v>
      </c>
      <c r="C91" s="26">
        <v>5</v>
      </c>
      <c r="D91" s="34" t="s">
        <v>166</v>
      </c>
      <c r="E91" s="33" t="s">
        <v>25</v>
      </c>
      <c r="F91" s="33">
        <v>2019</v>
      </c>
      <c r="G91" s="34">
        <f>J91+M91</f>
        <v>2261384.91</v>
      </c>
      <c r="H91" s="101">
        <f>K91+N91</f>
        <v>2261384.91</v>
      </c>
      <c r="I91" s="106"/>
      <c r="J91" s="34">
        <v>1062922.9099999999</v>
      </c>
      <c r="K91" s="34">
        <v>1062922.9099999999</v>
      </c>
      <c r="L91" s="106"/>
      <c r="M91" s="34">
        <v>1198462</v>
      </c>
      <c r="N91" s="34">
        <v>1198462</v>
      </c>
      <c r="O91" s="106"/>
      <c r="P91" s="9"/>
      <c r="Q91" s="9"/>
      <c r="R91" s="89"/>
      <c r="S91" s="14"/>
      <c r="T91" s="14"/>
      <c r="U91" s="203"/>
      <c r="V91" s="47"/>
      <c r="W91" s="47"/>
      <c r="X91" s="203"/>
      <c r="Y91" s="247"/>
    </row>
    <row r="92" spans="1:25" s="163" customFormat="1" ht="68.25" customHeight="1" x14ac:dyDescent="0.25">
      <c r="A92" s="118" t="s">
        <v>230</v>
      </c>
      <c r="B92" s="65" t="s">
        <v>79</v>
      </c>
      <c r="C92" s="5">
        <v>5</v>
      </c>
      <c r="D92" s="101" t="s">
        <v>116</v>
      </c>
      <c r="E92" s="225" t="s">
        <v>25</v>
      </c>
      <c r="F92" s="225" t="s">
        <v>23</v>
      </c>
      <c r="G92" s="101">
        <f>J92+M92+V92</f>
        <v>1808240.91</v>
      </c>
      <c r="H92" s="101">
        <f>K92+N92+W92</f>
        <v>1808240.91</v>
      </c>
      <c r="I92" s="101"/>
      <c r="J92" s="101">
        <v>739890.29</v>
      </c>
      <c r="K92" s="101">
        <v>739890.29</v>
      </c>
      <c r="L92" s="101"/>
      <c r="M92" s="101">
        <v>1021766.88</v>
      </c>
      <c r="N92" s="101">
        <v>1021766.88</v>
      </c>
      <c r="O92" s="101"/>
      <c r="P92" s="9"/>
      <c r="Q92" s="9"/>
      <c r="R92" s="9"/>
      <c r="S92" s="9"/>
      <c r="T92" s="9"/>
      <c r="U92" s="43"/>
      <c r="V92" s="43">
        <v>46583.74</v>
      </c>
      <c r="W92" s="43">
        <v>46583.74</v>
      </c>
      <c r="X92" s="43"/>
      <c r="Y92" s="247"/>
    </row>
    <row r="93" spans="1:25" s="163" customFormat="1" ht="84.75" customHeight="1" x14ac:dyDescent="0.25">
      <c r="A93" s="117" t="s">
        <v>231</v>
      </c>
      <c r="B93" s="250" t="s">
        <v>95</v>
      </c>
      <c r="C93" s="26" t="s">
        <v>105</v>
      </c>
      <c r="D93" s="34" t="s">
        <v>167</v>
      </c>
      <c r="E93" s="33" t="s">
        <v>38</v>
      </c>
      <c r="F93" s="33" t="s">
        <v>26</v>
      </c>
      <c r="G93" s="34">
        <f>J93+M93</f>
        <v>697289.04</v>
      </c>
      <c r="H93" s="262">
        <v>900000</v>
      </c>
      <c r="I93" s="106">
        <f>+H93-G93</f>
        <v>202710.95999999996</v>
      </c>
      <c r="J93" s="34">
        <v>697289.04</v>
      </c>
      <c r="K93" s="106">
        <v>900000</v>
      </c>
      <c r="L93" s="106">
        <f>+K93-J93</f>
        <v>202710.95999999996</v>
      </c>
      <c r="M93" s="34"/>
      <c r="N93" s="34"/>
      <c r="O93" s="106"/>
      <c r="P93" s="9"/>
      <c r="Q93" s="9"/>
      <c r="R93" s="89"/>
      <c r="S93" s="14"/>
      <c r="T93" s="14"/>
      <c r="U93" s="203"/>
      <c r="V93" s="47"/>
      <c r="W93" s="47"/>
      <c r="X93" s="203"/>
      <c r="Y93" s="263" t="s">
        <v>295</v>
      </c>
    </row>
    <row r="94" spans="1:25" s="163" customFormat="1" ht="43.5" customHeight="1" x14ac:dyDescent="0.25">
      <c r="A94" s="117" t="s">
        <v>232</v>
      </c>
      <c r="B94" s="119" t="s">
        <v>134</v>
      </c>
      <c r="C94" s="26" t="s">
        <v>24</v>
      </c>
      <c r="D94" s="120" t="s">
        <v>168</v>
      </c>
      <c r="E94" s="33" t="s">
        <v>37</v>
      </c>
      <c r="F94" s="35" t="s">
        <v>75</v>
      </c>
      <c r="G94" s="34">
        <f>J94+M94</f>
        <v>800000</v>
      </c>
      <c r="H94" s="101">
        <f>K94+N94</f>
        <v>800000</v>
      </c>
      <c r="I94" s="106"/>
      <c r="J94" s="34">
        <v>800000</v>
      </c>
      <c r="K94" s="34">
        <v>800000</v>
      </c>
      <c r="L94" s="106"/>
      <c r="M94" s="34"/>
      <c r="N94" s="34"/>
      <c r="O94" s="106"/>
      <c r="P94" s="9"/>
      <c r="Q94" s="9"/>
      <c r="R94" s="89"/>
      <c r="S94" s="14"/>
      <c r="T94" s="14"/>
      <c r="U94" s="203"/>
      <c r="V94" s="47"/>
      <c r="W94" s="47"/>
      <c r="X94" s="203"/>
      <c r="Y94" s="247"/>
    </row>
    <row r="95" spans="1:25" s="163" customFormat="1" ht="39" customHeight="1" x14ac:dyDescent="0.25">
      <c r="A95" s="117" t="s">
        <v>233</v>
      </c>
      <c r="B95" s="119" t="s">
        <v>125</v>
      </c>
      <c r="C95" s="26" t="s">
        <v>24</v>
      </c>
      <c r="D95" s="120" t="s">
        <v>126</v>
      </c>
      <c r="E95" s="33" t="s">
        <v>37</v>
      </c>
      <c r="F95" s="35" t="s">
        <v>75</v>
      </c>
      <c r="G95" s="34">
        <f>J95+M95</f>
        <v>3900000</v>
      </c>
      <c r="H95" s="101">
        <f>K95+N95</f>
        <v>3900000</v>
      </c>
      <c r="I95" s="106"/>
      <c r="J95" s="34">
        <v>3900000</v>
      </c>
      <c r="K95" s="34">
        <v>3900000</v>
      </c>
      <c r="L95" s="106"/>
      <c r="M95" s="34"/>
      <c r="N95" s="34"/>
      <c r="O95" s="106"/>
      <c r="P95" s="9"/>
      <c r="Q95" s="9"/>
      <c r="R95" s="89"/>
      <c r="S95" s="14"/>
      <c r="T95" s="14"/>
      <c r="U95" s="203"/>
      <c r="V95" s="47"/>
      <c r="W95" s="47"/>
      <c r="X95" s="203"/>
      <c r="Y95" s="247"/>
    </row>
    <row r="96" spans="1:25" s="163" customFormat="1" ht="30.75" customHeight="1" x14ac:dyDescent="0.25">
      <c r="A96" s="117" t="s">
        <v>234</v>
      </c>
      <c r="B96" s="250" t="s">
        <v>147</v>
      </c>
      <c r="C96" s="26" t="s">
        <v>24</v>
      </c>
      <c r="D96" s="120" t="s">
        <v>70</v>
      </c>
      <c r="E96" s="33" t="s">
        <v>37</v>
      </c>
      <c r="F96" s="35" t="s">
        <v>23</v>
      </c>
      <c r="G96" s="34">
        <f>J96+M96</f>
        <v>140000</v>
      </c>
      <c r="H96" s="262">
        <f>K96+N96</f>
        <v>124500</v>
      </c>
      <c r="I96" s="106">
        <f>+H96-G96</f>
        <v>-15500</v>
      </c>
      <c r="J96" s="34">
        <f>110000+30000</f>
        <v>140000</v>
      </c>
      <c r="K96" s="106">
        <f>110000+30000-15500</f>
        <v>124500</v>
      </c>
      <c r="L96" s="106">
        <f>+K96-J96</f>
        <v>-15500</v>
      </c>
      <c r="M96" s="34"/>
      <c r="N96" s="34"/>
      <c r="O96" s="34"/>
      <c r="P96" s="9"/>
      <c r="Q96" s="9"/>
      <c r="R96" s="9"/>
      <c r="S96" s="14"/>
      <c r="T96" s="14"/>
      <c r="U96" s="47"/>
      <c r="V96" s="47"/>
      <c r="W96" s="47"/>
      <c r="X96" s="47"/>
      <c r="Y96" s="807" t="s">
        <v>296</v>
      </c>
    </row>
    <row r="97" spans="1:25" s="163" customFormat="1" ht="25.5" customHeight="1" x14ac:dyDescent="0.25">
      <c r="A97" s="115"/>
      <c r="B97" s="116"/>
      <c r="C97" s="66"/>
      <c r="D97" s="116"/>
      <c r="E97" s="66"/>
      <c r="F97" s="58" t="s">
        <v>17</v>
      </c>
      <c r="G97" s="75">
        <f>SUM(G91:G96)</f>
        <v>9606914.8599999994</v>
      </c>
      <c r="H97" s="75">
        <f>SUM(H91:H96)</f>
        <v>9794125.8200000003</v>
      </c>
      <c r="I97" s="75">
        <f>SUM(I91:I96)</f>
        <v>187210.95999999996</v>
      </c>
      <c r="J97" s="75">
        <f t="shared" ref="J97:W97" si="11">SUM(J91:J96)</f>
        <v>7340102.2400000002</v>
      </c>
      <c r="K97" s="75">
        <f t="shared" si="11"/>
        <v>7527313.2000000002</v>
      </c>
      <c r="L97" s="75">
        <f>SUM(L91:L96)</f>
        <v>187210.95999999996</v>
      </c>
      <c r="M97" s="75">
        <f t="shared" si="11"/>
        <v>2220228.88</v>
      </c>
      <c r="N97" s="75">
        <f t="shared" si="11"/>
        <v>2220228.88</v>
      </c>
      <c r="O97" s="75">
        <f t="shared" si="11"/>
        <v>0</v>
      </c>
      <c r="P97" s="75">
        <f t="shared" si="11"/>
        <v>0</v>
      </c>
      <c r="Q97" s="75">
        <f t="shared" si="11"/>
        <v>0</v>
      </c>
      <c r="R97" s="75">
        <f t="shared" si="11"/>
        <v>0</v>
      </c>
      <c r="S97" s="75">
        <f t="shared" si="11"/>
        <v>0</v>
      </c>
      <c r="T97" s="75">
        <f t="shared" si="11"/>
        <v>0</v>
      </c>
      <c r="U97" s="75">
        <f t="shared" si="11"/>
        <v>0</v>
      </c>
      <c r="V97" s="75">
        <f t="shared" si="11"/>
        <v>46583.74</v>
      </c>
      <c r="W97" s="75">
        <f t="shared" si="11"/>
        <v>46583.74</v>
      </c>
      <c r="X97" s="86">
        <f>SUM(X91:X96)</f>
        <v>0</v>
      </c>
      <c r="Y97" s="807"/>
    </row>
    <row r="98" spans="1:25" s="163" customFormat="1" ht="15" customHeight="1" x14ac:dyDescent="0.25">
      <c r="A98" s="768" t="s">
        <v>54</v>
      </c>
      <c r="B98" s="769"/>
      <c r="C98" s="769"/>
      <c r="D98" s="769"/>
      <c r="E98" s="769"/>
      <c r="F98" s="769"/>
      <c r="G98" s="769"/>
      <c r="H98" s="769"/>
      <c r="I98" s="769"/>
      <c r="J98" s="769"/>
      <c r="K98" s="769"/>
      <c r="L98" s="769"/>
      <c r="M98" s="769"/>
      <c r="N98" s="769"/>
      <c r="O98" s="769"/>
      <c r="P98" s="769"/>
      <c r="Q98" s="769"/>
      <c r="R98" s="769"/>
      <c r="S98" s="769"/>
      <c r="T98" s="769"/>
      <c r="U98" s="769"/>
      <c r="V98" s="769"/>
      <c r="W98" s="769"/>
      <c r="X98" s="769"/>
      <c r="Y98" s="247"/>
    </row>
    <row r="99" spans="1:25" s="163" customFormat="1" ht="93.75" customHeight="1" x14ac:dyDescent="0.25">
      <c r="A99" s="117" t="s">
        <v>235</v>
      </c>
      <c r="B99" s="250" t="s">
        <v>123</v>
      </c>
      <c r="C99" s="26">
        <v>5</v>
      </c>
      <c r="D99" s="34" t="s">
        <v>77</v>
      </c>
      <c r="E99" s="28">
        <v>2017</v>
      </c>
      <c r="F99" s="28">
        <v>2020</v>
      </c>
      <c r="G99" s="9">
        <f>J99+M99+P99+S99+V99</f>
        <v>1352126.7999999998</v>
      </c>
      <c r="H99" s="239">
        <f>K99+N99+Q99+T99+W99</f>
        <v>1376126.7999999998</v>
      </c>
      <c r="I99" s="89">
        <f>+H99-G99</f>
        <v>24000</v>
      </c>
      <c r="J99" s="9">
        <v>233775.27</v>
      </c>
      <c r="K99" s="89">
        <f>233775.27+24000</f>
        <v>257775.27</v>
      </c>
      <c r="L99" s="89">
        <f>+K99-J99</f>
        <v>24000</v>
      </c>
      <c r="M99" s="9">
        <v>1027674.38</v>
      </c>
      <c r="N99" s="9">
        <v>1027674.38</v>
      </c>
      <c r="O99" s="89"/>
      <c r="P99" s="9">
        <v>90677.15</v>
      </c>
      <c r="Q99" s="9">
        <v>90677.15</v>
      </c>
      <c r="R99" s="89"/>
      <c r="S99" s="14"/>
      <c r="T99" s="14"/>
      <c r="U99" s="203"/>
      <c r="V99" s="47"/>
      <c r="W99" s="47"/>
      <c r="X99" s="203"/>
      <c r="Y99" s="247"/>
    </row>
    <row r="100" spans="1:25" s="163" customFormat="1" ht="42.75" customHeight="1" x14ac:dyDescent="0.25">
      <c r="A100" s="117" t="s">
        <v>236</v>
      </c>
      <c r="B100" s="65" t="s">
        <v>88</v>
      </c>
      <c r="C100" s="26">
        <v>5</v>
      </c>
      <c r="D100" s="34" t="s">
        <v>77</v>
      </c>
      <c r="E100" s="28">
        <v>2017</v>
      </c>
      <c r="F100" s="28">
        <v>2022</v>
      </c>
      <c r="G100" s="9">
        <f t="shared" ref="G100:G114" si="12">J100+M100+P100+S100+V100</f>
        <v>860220.12</v>
      </c>
      <c r="H100" s="157">
        <f t="shared" ref="H100:H114" si="13">K100+N100+Q100+T100+W100</f>
        <v>860220.12</v>
      </c>
      <c r="I100" s="89"/>
      <c r="J100" s="9">
        <v>317220.12</v>
      </c>
      <c r="K100" s="9">
        <v>317220.12</v>
      </c>
      <c r="L100" s="89"/>
      <c r="M100" s="9"/>
      <c r="N100" s="9"/>
      <c r="O100" s="89"/>
      <c r="P100" s="9">
        <v>543000</v>
      </c>
      <c r="Q100" s="9">
        <v>543000</v>
      </c>
      <c r="R100" s="89"/>
      <c r="S100" s="14"/>
      <c r="T100" s="14"/>
      <c r="U100" s="203"/>
      <c r="V100" s="47"/>
      <c r="W100" s="47"/>
      <c r="X100" s="203"/>
      <c r="Y100" s="247"/>
    </row>
    <row r="101" spans="1:25" s="163" customFormat="1" ht="43.5" customHeight="1" x14ac:dyDescent="0.25">
      <c r="A101" s="117" t="s">
        <v>237</v>
      </c>
      <c r="B101" s="64" t="s">
        <v>40</v>
      </c>
      <c r="C101" s="56">
        <v>5</v>
      </c>
      <c r="D101" s="14" t="s">
        <v>69</v>
      </c>
      <c r="E101" s="4">
        <v>2017</v>
      </c>
      <c r="F101" s="30">
        <v>2021</v>
      </c>
      <c r="G101" s="9">
        <f t="shared" si="12"/>
        <v>11200000</v>
      </c>
      <c r="H101" s="157">
        <f t="shared" si="13"/>
        <v>11200000</v>
      </c>
      <c r="I101" s="92"/>
      <c r="J101" s="81">
        <v>11200000</v>
      </c>
      <c r="K101" s="81">
        <v>11200000</v>
      </c>
      <c r="L101" s="92"/>
      <c r="M101" s="14"/>
      <c r="N101" s="14"/>
      <c r="O101" s="185"/>
      <c r="P101" s="14"/>
      <c r="Q101" s="14"/>
      <c r="R101" s="185"/>
      <c r="S101" s="14"/>
      <c r="T101" s="14"/>
      <c r="U101" s="203"/>
      <c r="V101" s="47"/>
      <c r="W101" s="47"/>
      <c r="X101" s="203"/>
      <c r="Y101" s="247"/>
    </row>
    <row r="102" spans="1:25" s="163" customFormat="1" ht="34.5" customHeight="1" x14ac:dyDescent="0.25">
      <c r="A102" s="117" t="s">
        <v>238</v>
      </c>
      <c r="B102" s="65" t="s">
        <v>128</v>
      </c>
      <c r="C102" s="26">
        <v>6</v>
      </c>
      <c r="D102" s="9" t="s">
        <v>129</v>
      </c>
      <c r="E102" s="21">
        <v>2018</v>
      </c>
      <c r="F102" s="28">
        <v>2023</v>
      </c>
      <c r="G102" s="9">
        <f t="shared" si="12"/>
        <v>4187225.73</v>
      </c>
      <c r="H102" s="157">
        <f t="shared" si="13"/>
        <v>4187225.73</v>
      </c>
      <c r="I102" s="89"/>
      <c r="J102" s="9">
        <v>4187225.73</v>
      </c>
      <c r="K102" s="9">
        <v>4187225.73</v>
      </c>
      <c r="L102" s="98"/>
      <c r="M102" s="80"/>
      <c r="N102" s="80"/>
      <c r="O102" s="98"/>
      <c r="P102" s="9"/>
      <c r="Q102" s="9"/>
      <c r="R102" s="89"/>
      <c r="S102" s="9"/>
      <c r="T102" s="9"/>
      <c r="U102" s="104"/>
      <c r="V102" s="43"/>
      <c r="W102" s="43"/>
      <c r="X102" s="104"/>
      <c r="Y102" s="247"/>
    </row>
    <row r="103" spans="1:25" s="163" customFormat="1" ht="39.75" customHeight="1" x14ac:dyDescent="0.25">
      <c r="A103" s="117" t="s">
        <v>239</v>
      </c>
      <c r="B103" s="65" t="s">
        <v>146</v>
      </c>
      <c r="C103" s="26">
        <v>6</v>
      </c>
      <c r="D103" s="9"/>
      <c r="E103" s="13">
        <v>2018</v>
      </c>
      <c r="F103" s="13">
        <v>2020</v>
      </c>
      <c r="G103" s="9">
        <f t="shared" si="12"/>
        <v>1261335</v>
      </c>
      <c r="H103" s="157">
        <f t="shared" si="13"/>
        <v>1261335</v>
      </c>
      <c r="I103" s="94"/>
      <c r="J103" s="82">
        <f>16335+385000+130000+730000</f>
        <v>1261335</v>
      </c>
      <c r="K103" s="82">
        <f>16335+385000+130000+730000</f>
        <v>1261335</v>
      </c>
      <c r="L103" s="94"/>
      <c r="M103" s="9"/>
      <c r="N103" s="9"/>
      <c r="O103" s="89"/>
      <c r="P103" s="9"/>
      <c r="Q103" s="9"/>
      <c r="R103" s="89"/>
      <c r="S103" s="14"/>
      <c r="T103" s="14"/>
      <c r="U103" s="203"/>
      <c r="V103" s="47"/>
      <c r="W103" s="47"/>
      <c r="X103" s="203"/>
      <c r="Y103" s="247"/>
    </row>
    <row r="104" spans="1:25" s="163" customFormat="1" ht="42.75" customHeight="1" x14ac:dyDescent="0.25">
      <c r="A104" s="117" t="s">
        <v>240</v>
      </c>
      <c r="B104" s="65" t="s">
        <v>135</v>
      </c>
      <c r="C104" s="26">
        <v>5</v>
      </c>
      <c r="D104" s="9" t="s">
        <v>77</v>
      </c>
      <c r="E104" s="28">
        <v>2018</v>
      </c>
      <c r="F104" s="28">
        <v>2023</v>
      </c>
      <c r="G104" s="9">
        <f t="shared" si="12"/>
        <v>2064000</v>
      </c>
      <c r="H104" s="157">
        <f t="shared" si="13"/>
        <v>2064000</v>
      </c>
      <c r="I104" s="89"/>
      <c r="J104" s="9">
        <v>309600</v>
      </c>
      <c r="K104" s="9">
        <v>309600</v>
      </c>
      <c r="L104" s="89"/>
      <c r="M104" s="9"/>
      <c r="N104" s="9"/>
      <c r="O104" s="89"/>
      <c r="P104" s="9">
        <v>1754400</v>
      </c>
      <c r="Q104" s="9">
        <v>1754400</v>
      </c>
      <c r="R104" s="89"/>
      <c r="S104" s="14"/>
      <c r="T104" s="14"/>
      <c r="U104" s="203"/>
      <c r="V104" s="47"/>
      <c r="W104" s="47"/>
      <c r="X104" s="203"/>
      <c r="Y104" s="247"/>
    </row>
    <row r="105" spans="1:25" s="163" customFormat="1" ht="30" customHeight="1" x14ac:dyDescent="0.25">
      <c r="A105" s="117" t="s">
        <v>241</v>
      </c>
      <c r="B105" s="65" t="s">
        <v>137</v>
      </c>
      <c r="C105" s="26">
        <v>5</v>
      </c>
      <c r="D105" s="9" t="s">
        <v>77</v>
      </c>
      <c r="E105" s="28">
        <v>2019</v>
      </c>
      <c r="F105" s="28">
        <v>2022</v>
      </c>
      <c r="G105" s="9">
        <f t="shared" si="12"/>
        <v>2500000</v>
      </c>
      <c r="H105" s="157">
        <f t="shared" si="13"/>
        <v>2500000</v>
      </c>
      <c r="I105" s="89"/>
      <c r="J105" s="9"/>
      <c r="K105" s="9"/>
      <c r="L105" s="89"/>
      <c r="M105" s="9"/>
      <c r="N105" s="9"/>
      <c r="O105" s="89"/>
      <c r="P105" s="9"/>
      <c r="Q105" s="9"/>
      <c r="R105" s="89"/>
      <c r="S105" s="14"/>
      <c r="T105" s="14"/>
      <c r="U105" s="203"/>
      <c r="V105" s="47">
        <v>2500000</v>
      </c>
      <c r="W105" s="47">
        <v>2500000</v>
      </c>
      <c r="X105" s="203"/>
      <c r="Y105" s="247"/>
    </row>
    <row r="106" spans="1:25" s="163" customFormat="1" ht="25.5" x14ac:dyDescent="0.25">
      <c r="A106" s="164"/>
      <c r="B106" s="165" t="s">
        <v>41</v>
      </c>
      <c r="C106" s="56"/>
      <c r="D106" s="166"/>
      <c r="E106" s="21"/>
      <c r="F106" s="21"/>
      <c r="G106" s="9">
        <f t="shared" si="12"/>
        <v>0</v>
      </c>
      <c r="H106" s="157">
        <f t="shared" si="13"/>
        <v>0</v>
      </c>
      <c r="I106" s="185"/>
      <c r="J106" s="14"/>
      <c r="K106" s="14"/>
      <c r="L106" s="185"/>
      <c r="M106" s="14"/>
      <c r="N106" s="14"/>
      <c r="O106" s="185"/>
      <c r="P106" s="14"/>
      <c r="Q106" s="14"/>
      <c r="R106" s="185"/>
      <c r="S106" s="14"/>
      <c r="T106" s="14"/>
      <c r="U106" s="203"/>
      <c r="V106" s="47"/>
      <c r="W106" s="47"/>
      <c r="X106" s="203"/>
      <c r="Y106" s="247"/>
    </row>
    <row r="107" spans="1:25" s="163" customFormat="1" ht="64.5" customHeight="1" x14ac:dyDescent="0.25">
      <c r="A107" s="117" t="s">
        <v>242</v>
      </c>
      <c r="B107" s="65" t="s">
        <v>164</v>
      </c>
      <c r="C107" s="26">
        <v>5</v>
      </c>
      <c r="D107" s="34" t="s">
        <v>116</v>
      </c>
      <c r="E107" s="28">
        <v>2017</v>
      </c>
      <c r="F107" s="28">
        <v>2022</v>
      </c>
      <c r="G107" s="9">
        <f t="shared" si="12"/>
        <v>3538077</v>
      </c>
      <c r="H107" s="157">
        <f t="shared" si="13"/>
        <v>3538077</v>
      </c>
      <c r="I107" s="89"/>
      <c r="J107" s="9">
        <v>3538077</v>
      </c>
      <c r="K107" s="9">
        <v>3538077</v>
      </c>
      <c r="L107" s="89"/>
      <c r="M107" s="9"/>
      <c r="N107" s="9"/>
      <c r="O107" s="89"/>
      <c r="P107" s="9"/>
      <c r="Q107" s="9"/>
      <c r="R107" s="89"/>
      <c r="S107" s="14"/>
      <c r="T107" s="14"/>
      <c r="U107" s="203"/>
      <c r="V107" s="47"/>
      <c r="W107" s="47"/>
      <c r="X107" s="203"/>
      <c r="Y107" s="247"/>
    </row>
    <row r="108" spans="1:25" s="163" customFormat="1" ht="55.5" customHeight="1" x14ac:dyDescent="0.25">
      <c r="A108" s="117" t="s">
        <v>266</v>
      </c>
      <c r="B108" s="65" t="s">
        <v>165</v>
      </c>
      <c r="C108" s="26">
        <v>5</v>
      </c>
      <c r="D108" s="9" t="s">
        <v>116</v>
      </c>
      <c r="E108" s="28">
        <v>2017</v>
      </c>
      <c r="F108" s="28">
        <v>2020</v>
      </c>
      <c r="G108" s="9">
        <f t="shared" si="12"/>
        <v>2158184.77</v>
      </c>
      <c r="H108" s="157">
        <f t="shared" si="13"/>
        <v>2158184.77</v>
      </c>
      <c r="I108" s="89"/>
      <c r="J108" s="9">
        <v>1279109.3400000001</v>
      </c>
      <c r="K108" s="9">
        <v>1279109.3400000001</v>
      </c>
      <c r="L108" s="89"/>
      <c r="M108" s="9">
        <v>807799.05</v>
      </c>
      <c r="N108" s="9">
        <v>807799.05</v>
      </c>
      <c r="O108" s="89"/>
      <c r="P108" s="9">
        <v>71276.38</v>
      </c>
      <c r="Q108" s="9">
        <v>71276.38</v>
      </c>
      <c r="R108" s="89"/>
      <c r="S108" s="14"/>
      <c r="T108" s="14"/>
      <c r="U108" s="203"/>
      <c r="V108" s="47"/>
      <c r="W108" s="47"/>
      <c r="X108" s="203"/>
      <c r="Y108" s="247"/>
    </row>
    <row r="109" spans="1:25" s="163" customFormat="1" ht="79.5" customHeight="1" x14ac:dyDescent="0.25">
      <c r="A109" s="117" t="s">
        <v>267</v>
      </c>
      <c r="B109" s="25" t="s">
        <v>278</v>
      </c>
      <c r="C109" s="26">
        <v>5</v>
      </c>
      <c r="D109" s="9" t="s">
        <v>77</v>
      </c>
      <c r="E109" s="28">
        <v>2016</v>
      </c>
      <c r="F109" s="28">
        <v>2025</v>
      </c>
      <c r="G109" s="9">
        <f t="shared" si="12"/>
        <v>2688980</v>
      </c>
      <c r="H109" s="157">
        <f t="shared" si="13"/>
        <v>2688980</v>
      </c>
      <c r="I109" s="89"/>
      <c r="J109" s="9">
        <v>2688980</v>
      </c>
      <c r="K109" s="9">
        <v>2688980</v>
      </c>
      <c r="L109" s="89"/>
      <c r="M109" s="14"/>
      <c r="N109" s="14"/>
      <c r="O109" s="185"/>
      <c r="P109" s="14"/>
      <c r="Q109" s="14"/>
      <c r="R109" s="185"/>
      <c r="S109" s="14"/>
      <c r="T109" s="14"/>
      <c r="U109" s="203"/>
      <c r="V109" s="47"/>
      <c r="W109" s="47"/>
      <c r="X109" s="203"/>
      <c r="Y109" s="247"/>
    </row>
    <row r="110" spans="1:25" s="163" customFormat="1" ht="47.25" customHeight="1" x14ac:dyDescent="0.25">
      <c r="A110" s="117" t="s">
        <v>268</v>
      </c>
      <c r="B110" s="25" t="s">
        <v>136</v>
      </c>
      <c r="C110" s="26">
        <v>5</v>
      </c>
      <c r="D110" s="9" t="s">
        <v>77</v>
      </c>
      <c r="E110" s="28">
        <v>2018</v>
      </c>
      <c r="F110" s="28">
        <v>2020</v>
      </c>
      <c r="G110" s="9">
        <f t="shared" si="12"/>
        <v>574922.68999999994</v>
      </c>
      <c r="H110" s="157">
        <f t="shared" si="13"/>
        <v>574922.68999999994</v>
      </c>
      <c r="I110" s="89"/>
      <c r="J110" s="9">
        <v>574922.68999999994</v>
      </c>
      <c r="K110" s="9">
        <v>574922.68999999994</v>
      </c>
      <c r="L110" s="89"/>
      <c r="M110" s="14"/>
      <c r="N110" s="14"/>
      <c r="O110" s="185"/>
      <c r="P110" s="14"/>
      <c r="Q110" s="14"/>
      <c r="R110" s="185"/>
      <c r="S110" s="14"/>
      <c r="T110" s="14"/>
      <c r="U110" s="203"/>
      <c r="V110" s="47"/>
      <c r="W110" s="47"/>
      <c r="X110" s="203"/>
      <c r="Y110" s="247"/>
    </row>
    <row r="111" spans="1:25" s="163" customFormat="1" ht="30" customHeight="1" x14ac:dyDescent="0.25">
      <c r="A111" s="164"/>
      <c r="B111" s="167" t="s">
        <v>82</v>
      </c>
      <c r="C111" s="56"/>
      <c r="D111" s="14"/>
      <c r="E111" s="21"/>
      <c r="F111" s="21"/>
      <c r="G111" s="9">
        <f t="shared" si="12"/>
        <v>0</v>
      </c>
      <c r="H111" s="157">
        <f t="shared" si="13"/>
        <v>0</v>
      </c>
      <c r="I111" s="185"/>
      <c r="J111" s="14"/>
      <c r="K111" s="14"/>
      <c r="L111" s="185"/>
      <c r="M111" s="14"/>
      <c r="N111" s="14"/>
      <c r="O111" s="185"/>
      <c r="P111" s="14"/>
      <c r="Q111" s="14"/>
      <c r="R111" s="185"/>
      <c r="S111" s="14"/>
      <c r="T111" s="14"/>
      <c r="U111" s="203"/>
      <c r="V111" s="47"/>
      <c r="W111" s="47"/>
      <c r="X111" s="203"/>
      <c r="Y111" s="247"/>
    </row>
    <row r="112" spans="1:25" s="163" customFormat="1" ht="57" customHeight="1" x14ac:dyDescent="0.25">
      <c r="A112" s="117" t="s">
        <v>269</v>
      </c>
      <c r="B112" s="25" t="s">
        <v>43</v>
      </c>
      <c r="C112" s="26">
        <v>5</v>
      </c>
      <c r="D112" s="9" t="s">
        <v>77</v>
      </c>
      <c r="E112" s="28">
        <v>2016</v>
      </c>
      <c r="F112" s="28">
        <v>2020</v>
      </c>
      <c r="G112" s="9">
        <f t="shared" si="12"/>
        <v>780124</v>
      </c>
      <c r="H112" s="157">
        <f t="shared" si="13"/>
        <v>780124</v>
      </c>
      <c r="I112" s="89"/>
      <c r="J112" s="9">
        <v>232374</v>
      </c>
      <c r="K112" s="9">
        <v>232374</v>
      </c>
      <c r="L112" s="89"/>
      <c r="M112" s="9">
        <v>547750</v>
      </c>
      <c r="N112" s="9">
        <v>547750</v>
      </c>
      <c r="O112" s="89"/>
      <c r="P112" s="14"/>
      <c r="Q112" s="14"/>
      <c r="R112" s="185"/>
      <c r="S112" s="14"/>
      <c r="T112" s="14"/>
      <c r="U112" s="203"/>
      <c r="V112" s="47"/>
      <c r="W112" s="47"/>
      <c r="X112" s="203"/>
      <c r="Y112" s="247"/>
    </row>
    <row r="113" spans="1:25" s="163" customFormat="1" ht="57" customHeight="1" x14ac:dyDescent="0.25">
      <c r="A113" s="117" t="s">
        <v>243</v>
      </c>
      <c r="B113" s="25" t="s">
        <v>279</v>
      </c>
      <c r="C113" s="26">
        <v>5</v>
      </c>
      <c r="D113" s="9" t="s">
        <v>116</v>
      </c>
      <c r="E113" s="28">
        <v>2016</v>
      </c>
      <c r="F113" s="28">
        <v>2022</v>
      </c>
      <c r="G113" s="9">
        <f t="shared" si="12"/>
        <v>1984089.54</v>
      </c>
      <c r="H113" s="157">
        <f t="shared" si="13"/>
        <v>1984089.54</v>
      </c>
      <c r="I113" s="89"/>
      <c r="J113" s="9">
        <v>799089.54</v>
      </c>
      <c r="K113" s="9">
        <v>799089.54</v>
      </c>
      <c r="L113" s="89"/>
      <c r="M113" s="9"/>
      <c r="N113" s="9"/>
      <c r="O113" s="89"/>
      <c r="P113" s="9"/>
      <c r="Q113" s="9"/>
      <c r="R113" s="89"/>
      <c r="S113" s="9"/>
      <c r="T113" s="9"/>
      <c r="U113" s="104"/>
      <c r="V113" s="43">
        <v>1185000</v>
      </c>
      <c r="W113" s="43">
        <v>1185000</v>
      </c>
      <c r="X113" s="104"/>
      <c r="Y113" s="247"/>
    </row>
    <row r="114" spans="1:25" s="163" customFormat="1" ht="66.75" customHeight="1" x14ac:dyDescent="0.25">
      <c r="A114" s="117" t="s">
        <v>244</v>
      </c>
      <c r="B114" s="25" t="s">
        <v>280</v>
      </c>
      <c r="C114" s="26">
        <v>5</v>
      </c>
      <c r="D114" s="9"/>
      <c r="E114" s="28">
        <v>2019</v>
      </c>
      <c r="F114" s="28">
        <v>2020</v>
      </c>
      <c r="G114" s="9">
        <f t="shared" si="12"/>
        <v>930000</v>
      </c>
      <c r="H114" s="157">
        <f t="shared" si="13"/>
        <v>930000</v>
      </c>
      <c r="I114" s="89"/>
      <c r="J114" s="9">
        <v>930000</v>
      </c>
      <c r="K114" s="9">
        <v>930000</v>
      </c>
      <c r="L114" s="89"/>
      <c r="M114" s="9"/>
      <c r="N114" s="9"/>
      <c r="O114" s="89"/>
      <c r="P114" s="9"/>
      <c r="Q114" s="9"/>
      <c r="R114" s="89"/>
      <c r="S114" s="9"/>
      <c r="T114" s="9"/>
      <c r="U114" s="104"/>
      <c r="V114" s="43"/>
      <c r="W114" s="43"/>
      <c r="X114" s="104"/>
      <c r="Y114" s="247"/>
    </row>
    <row r="115" spans="1:25" s="163" customFormat="1" ht="15" customHeight="1" x14ac:dyDescent="0.25">
      <c r="A115" s="115"/>
      <c r="B115" s="116"/>
      <c r="C115" s="66"/>
      <c r="D115" s="116"/>
      <c r="E115" s="66"/>
      <c r="F115" s="58" t="s">
        <v>17</v>
      </c>
      <c r="G115" s="75">
        <f>SUM(G99:G114)</f>
        <v>36079285.649999999</v>
      </c>
      <c r="H115" s="75">
        <f>SUM(H99:H114)</f>
        <v>36103285.649999999</v>
      </c>
      <c r="I115" s="184"/>
      <c r="J115" s="75">
        <f>SUM(J99:J114)</f>
        <v>27551708.690000001</v>
      </c>
      <c r="K115" s="75">
        <f>SUM(K99:K114)</f>
        <v>27575708.690000001</v>
      </c>
      <c r="L115" s="184"/>
      <c r="M115" s="75">
        <f>SUM(M99:M114)</f>
        <v>2383223.4300000002</v>
      </c>
      <c r="N115" s="75">
        <f>SUM(N99:N114)</f>
        <v>2383223.4300000002</v>
      </c>
      <c r="O115" s="184"/>
      <c r="P115" s="75">
        <f>SUM(P99:P114)</f>
        <v>2459353.5299999998</v>
      </c>
      <c r="Q115" s="75">
        <f>SUM(Q99:Q114)</f>
        <v>2459353.5299999998</v>
      </c>
      <c r="R115" s="184"/>
      <c r="S115" s="75">
        <f>SUM(S99:S114)</f>
        <v>0</v>
      </c>
      <c r="T115" s="75">
        <f>SUM(T99:T114)</f>
        <v>0</v>
      </c>
      <c r="U115" s="204"/>
      <c r="V115" s="86">
        <f>SUM(V99:V114)</f>
        <v>3685000</v>
      </c>
      <c r="W115" s="86">
        <f>SUM(W99:W114)</f>
        <v>3685000</v>
      </c>
      <c r="X115" s="204"/>
      <c r="Y115" s="247"/>
    </row>
    <row r="116" spans="1:25" s="163" customFormat="1" ht="16.5" customHeight="1" x14ac:dyDescent="0.25">
      <c r="A116" s="768" t="s">
        <v>56</v>
      </c>
      <c r="B116" s="769"/>
      <c r="C116" s="769"/>
      <c r="D116" s="769"/>
      <c r="E116" s="769"/>
      <c r="F116" s="769"/>
      <c r="G116" s="769"/>
      <c r="H116" s="769"/>
      <c r="I116" s="769"/>
      <c r="J116" s="769"/>
      <c r="K116" s="769"/>
      <c r="L116" s="769"/>
      <c r="M116" s="769"/>
      <c r="N116" s="769"/>
      <c r="O116" s="769"/>
      <c r="P116" s="769"/>
      <c r="Q116" s="769"/>
      <c r="R116" s="769"/>
      <c r="S116" s="769"/>
      <c r="T116" s="769"/>
      <c r="U116" s="769"/>
      <c r="V116" s="769"/>
      <c r="W116" s="769"/>
      <c r="X116" s="769"/>
      <c r="Y116" s="247"/>
    </row>
    <row r="117" spans="1:25" s="163" customFormat="1" ht="26.25" customHeight="1" x14ac:dyDescent="0.25">
      <c r="A117" s="164"/>
      <c r="B117" s="168" t="s">
        <v>44</v>
      </c>
      <c r="C117" s="56"/>
      <c r="D117" s="14"/>
      <c r="E117" s="21"/>
      <c r="F117" s="21"/>
      <c r="G117" s="14"/>
      <c r="H117" s="157"/>
      <c r="I117" s="185"/>
      <c r="J117" s="14"/>
      <c r="K117" s="14"/>
      <c r="L117" s="185"/>
      <c r="M117" s="14"/>
      <c r="N117" s="14"/>
      <c r="O117" s="185"/>
      <c r="P117" s="14"/>
      <c r="Q117" s="14"/>
      <c r="R117" s="185"/>
      <c r="S117" s="14"/>
      <c r="T117" s="14"/>
      <c r="U117" s="203"/>
      <c r="V117" s="47"/>
      <c r="W117" s="47"/>
      <c r="X117" s="203"/>
      <c r="Y117" s="247"/>
    </row>
    <row r="118" spans="1:25" s="163" customFormat="1" ht="30.75" customHeight="1" x14ac:dyDescent="0.25">
      <c r="A118" s="117" t="s">
        <v>244</v>
      </c>
      <c r="B118" s="25" t="s">
        <v>106</v>
      </c>
      <c r="C118" s="26">
        <v>5</v>
      </c>
      <c r="D118" s="16" t="s">
        <v>74</v>
      </c>
      <c r="E118" s="28">
        <v>2017</v>
      </c>
      <c r="F118" s="28">
        <v>2021</v>
      </c>
      <c r="G118" s="9">
        <f t="shared" ref="G118:H122" si="14">J118+M118+P118+S118+V118</f>
        <v>5283867.5199999996</v>
      </c>
      <c r="H118" s="157">
        <f t="shared" si="14"/>
        <v>5283867.5199999996</v>
      </c>
      <c r="I118" s="89"/>
      <c r="J118" s="9">
        <v>3972721.55</v>
      </c>
      <c r="K118" s="9">
        <v>3972721.55</v>
      </c>
      <c r="L118" s="89"/>
      <c r="M118" s="9">
        <v>1204836.8400000001</v>
      </c>
      <c r="N118" s="9">
        <v>1204836.8400000001</v>
      </c>
      <c r="O118" s="89"/>
      <c r="P118" s="9">
        <v>106309.13</v>
      </c>
      <c r="Q118" s="9">
        <v>106309.13</v>
      </c>
      <c r="R118" s="89"/>
      <c r="S118" s="9"/>
      <c r="T118" s="9"/>
      <c r="U118" s="104"/>
      <c r="V118" s="43"/>
      <c r="W118" s="43"/>
      <c r="X118" s="104"/>
      <c r="Y118" s="247"/>
    </row>
    <row r="119" spans="1:25" s="163" customFormat="1" ht="30.75" customHeight="1" x14ac:dyDescent="0.25">
      <c r="A119" s="117" t="s">
        <v>245</v>
      </c>
      <c r="B119" s="25" t="s">
        <v>107</v>
      </c>
      <c r="C119" s="26">
        <v>5</v>
      </c>
      <c r="D119" s="16" t="s">
        <v>74</v>
      </c>
      <c r="E119" s="28">
        <v>2017</v>
      </c>
      <c r="F119" s="28">
        <v>2021</v>
      </c>
      <c r="G119" s="9">
        <f t="shared" si="14"/>
        <v>5404827.5499999998</v>
      </c>
      <c r="H119" s="157">
        <f t="shared" si="14"/>
        <v>5404827.5499999998</v>
      </c>
      <c r="I119" s="89"/>
      <c r="J119" s="9">
        <v>5404827.5499999998</v>
      </c>
      <c r="K119" s="9">
        <v>5404827.5499999998</v>
      </c>
      <c r="L119" s="89"/>
      <c r="M119" s="9"/>
      <c r="N119" s="9"/>
      <c r="O119" s="89"/>
      <c r="P119" s="9"/>
      <c r="Q119" s="9"/>
      <c r="R119" s="89"/>
      <c r="S119" s="9"/>
      <c r="T119" s="9"/>
      <c r="U119" s="104"/>
      <c r="V119" s="43"/>
      <c r="W119" s="43"/>
      <c r="X119" s="104"/>
      <c r="Y119" s="247"/>
    </row>
    <row r="120" spans="1:25" s="163" customFormat="1" ht="29.25" customHeight="1" x14ac:dyDescent="0.25">
      <c r="A120" s="117" t="s">
        <v>246</v>
      </c>
      <c r="B120" s="25" t="s">
        <v>46</v>
      </c>
      <c r="C120" s="26">
        <v>5</v>
      </c>
      <c r="D120" s="16" t="s">
        <v>74</v>
      </c>
      <c r="E120" s="28">
        <v>2016</v>
      </c>
      <c r="F120" s="28">
        <v>2020</v>
      </c>
      <c r="G120" s="9">
        <f t="shared" si="14"/>
        <v>1514077.41</v>
      </c>
      <c r="H120" s="157">
        <f t="shared" si="14"/>
        <v>1514077.41</v>
      </c>
      <c r="I120" s="89"/>
      <c r="J120" s="9">
        <v>1514077.41</v>
      </c>
      <c r="K120" s="9">
        <v>1514077.41</v>
      </c>
      <c r="L120" s="89"/>
      <c r="M120" s="9"/>
      <c r="N120" s="9"/>
      <c r="O120" s="89"/>
      <c r="P120" s="9"/>
      <c r="Q120" s="9"/>
      <c r="R120" s="89"/>
      <c r="S120" s="9"/>
      <c r="T120" s="9"/>
      <c r="U120" s="104"/>
      <c r="V120" s="43"/>
      <c r="W120" s="43"/>
      <c r="X120" s="104"/>
      <c r="Y120" s="247"/>
    </row>
    <row r="121" spans="1:25" s="163" customFormat="1" ht="22.5" customHeight="1" x14ac:dyDescent="0.25">
      <c r="A121" s="117" t="s">
        <v>247</v>
      </c>
      <c r="B121" s="65" t="s">
        <v>47</v>
      </c>
      <c r="C121" s="26">
        <v>5</v>
      </c>
      <c r="D121" s="16" t="s">
        <v>74</v>
      </c>
      <c r="E121" s="28">
        <v>2017</v>
      </c>
      <c r="F121" s="28">
        <v>2022</v>
      </c>
      <c r="G121" s="9">
        <f t="shared" si="14"/>
        <v>5800000</v>
      </c>
      <c r="H121" s="157">
        <f t="shared" si="14"/>
        <v>5800000</v>
      </c>
      <c r="I121" s="89"/>
      <c r="J121" s="9">
        <v>5800000</v>
      </c>
      <c r="K121" s="9">
        <v>5800000</v>
      </c>
      <c r="L121" s="89"/>
      <c r="M121" s="9"/>
      <c r="N121" s="9"/>
      <c r="O121" s="89"/>
      <c r="P121" s="9"/>
      <c r="Q121" s="9"/>
      <c r="R121" s="89"/>
      <c r="S121" s="9"/>
      <c r="T121" s="9"/>
      <c r="U121" s="104"/>
      <c r="V121" s="43"/>
      <c r="W121" s="43"/>
      <c r="X121" s="104"/>
      <c r="Y121" s="247"/>
    </row>
    <row r="122" spans="1:25" s="163" customFormat="1" ht="25.5" x14ac:dyDescent="0.25">
      <c r="A122" s="117" t="s">
        <v>248</v>
      </c>
      <c r="B122" s="65" t="s">
        <v>108</v>
      </c>
      <c r="C122" s="26">
        <v>5</v>
      </c>
      <c r="D122" s="16" t="s">
        <v>74</v>
      </c>
      <c r="E122" s="226">
        <v>2020</v>
      </c>
      <c r="F122" s="28">
        <v>2022</v>
      </c>
      <c r="G122" s="9">
        <f t="shared" si="14"/>
        <v>2133627.73</v>
      </c>
      <c r="H122" s="157">
        <f t="shared" si="14"/>
        <v>2133627.73</v>
      </c>
      <c r="I122" s="89"/>
      <c r="J122" s="9">
        <v>300000</v>
      </c>
      <c r="K122" s="9">
        <v>300000</v>
      </c>
      <c r="L122" s="89"/>
      <c r="M122" s="9"/>
      <c r="N122" s="9"/>
      <c r="O122" s="89"/>
      <c r="P122" s="9">
        <v>1833627.73</v>
      </c>
      <c r="Q122" s="9">
        <v>1833627.73</v>
      </c>
      <c r="R122" s="89"/>
      <c r="S122" s="9"/>
      <c r="T122" s="9"/>
      <c r="U122" s="104"/>
      <c r="V122" s="43"/>
      <c r="W122" s="43"/>
      <c r="X122" s="104"/>
      <c r="Y122" s="247"/>
    </row>
    <row r="123" spans="1:25" s="163" customFormat="1" ht="15" x14ac:dyDescent="0.25">
      <c r="A123" s="115"/>
      <c r="B123" s="116"/>
      <c r="C123" s="66"/>
      <c r="D123" s="116"/>
      <c r="E123" s="66"/>
      <c r="F123" s="58" t="s">
        <v>17</v>
      </c>
      <c r="G123" s="75">
        <f>SUM(G117:G122)</f>
        <v>20136400.210000001</v>
      </c>
      <c r="H123" s="75">
        <f>SUM(H117:H122)</f>
        <v>20136400.210000001</v>
      </c>
      <c r="I123" s="184"/>
      <c r="J123" s="75">
        <f>SUM(J117:J122)</f>
        <v>16991626.509999998</v>
      </c>
      <c r="K123" s="75">
        <f>SUM(K117:K122)</f>
        <v>16991626.509999998</v>
      </c>
      <c r="L123" s="184"/>
      <c r="M123" s="75">
        <f>SUM(M117:M122)</f>
        <v>1204836.8400000001</v>
      </c>
      <c r="N123" s="75">
        <f>SUM(N117:N122)</f>
        <v>1204836.8400000001</v>
      </c>
      <c r="O123" s="184"/>
      <c r="P123" s="75">
        <f>SUM(P117:P122)</f>
        <v>1939936.8599999999</v>
      </c>
      <c r="Q123" s="75">
        <f>SUM(Q117:Q122)</f>
        <v>1939936.8599999999</v>
      </c>
      <c r="R123" s="184"/>
      <c r="S123" s="75">
        <f>SUM(S117:S122)</f>
        <v>0</v>
      </c>
      <c r="T123" s="75">
        <f>SUM(T117:T122)</f>
        <v>0</v>
      </c>
      <c r="U123" s="204"/>
      <c r="V123" s="86">
        <f>SUM(V117:V122)</f>
        <v>0</v>
      </c>
      <c r="W123" s="86">
        <f>SUM(W117:W122)</f>
        <v>0</v>
      </c>
      <c r="X123" s="204"/>
      <c r="Y123" s="247"/>
    </row>
    <row r="124" spans="1:25" s="163" customFormat="1" ht="15" customHeight="1" x14ac:dyDescent="0.25">
      <c r="A124" s="768" t="s">
        <v>57</v>
      </c>
      <c r="B124" s="769"/>
      <c r="C124" s="769"/>
      <c r="D124" s="769"/>
      <c r="E124" s="769"/>
      <c r="F124" s="769"/>
      <c r="G124" s="769"/>
      <c r="H124" s="769"/>
      <c r="I124" s="769"/>
      <c r="J124" s="769"/>
      <c r="K124" s="769"/>
      <c r="L124" s="769"/>
      <c r="M124" s="769"/>
      <c r="N124" s="769"/>
      <c r="O124" s="769"/>
      <c r="P124" s="769"/>
      <c r="Q124" s="769"/>
      <c r="R124" s="769"/>
      <c r="S124" s="769"/>
      <c r="T124" s="769"/>
      <c r="U124" s="769"/>
      <c r="V124" s="769"/>
      <c r="W124" s="769"/>
      <c r="X124" s="769"/>
      <c r="Y124" s="247"/>
    </row>
    <row r="125" spans="1:25" s="163" customFormat="1" ht="51" x14ac:dyDescent="0.25">
      <c r="A125" s="164"/>
      <c r="B125" s="167" t="s">
        <v>48</v>
      </c>
      <c r="C125" s="56"/>
      <c r="D125" s="166"/>
      <c r="E125" s="21"/>
      <c r="F125" s="21"/>
      <c r="G125" s="14"/>
      <c r="H125" s="157"/>
      <c r="I125" s="14"/>
      <c r="J125" s="14"/>
      <c r="K125" s="14"/>
      <c r="L125" s="14"/>
      <c r="M125" s="14"/>
      <c r="N125" s="14"/>
      <c r="O125" s="14"/>
      <c r="P125" s="14"/>
      <c r="Q125" s="14"/>
      <c r="R125" s="185"/>
      <c r="S125" s="14"/>
      <c r="T125" s="14"/>
      <c r="U125" s="203"/>
      <c r="V125" s="47"/>
      <c r="W125" s="47"/>
      <c r="X125" s="203"/>
      <c r="Y125" s="247"/>
    </row>
    <row r="126" spans="1:25" s="163" customFormat="1" ht="28.5" customHeight="1" x14ac:dyDescent="0.25">
      <c r="A126" s="117" t="s">
        <v>249</v>
      </c>
      <c r="B126" s="65" t="s">
        <v>83</v>
      </c>
      <c r="C126" s="56">
        <v>5</v>
      </c>
      <c r="D126" s="9" t="s">
        <v>70</v>
      </c>
      <c r="E126" s="28">
        <v>2017</v>
      </c>
      <c r="F126" s="28">
        <v>2019</v>
      </c>
      <c r="G126" s="9">
        <f t="shared" ref="G126:H131" si="15">J126+M126</f>
        <v>690000</v>
      </c>
      <c r="H126" s="157">
        <f t="shared" si="15"/>
        <v>690000</v>
      </c>
      <c r="I126" s="9"/>
      <c r="J126" s="9">
        <f>720000-30000</f>
        <v>690000</v>
      </c>
      <c r="K126" s="9">
        <f>720000-30000</f>
        <v>690000</v>
      </c>
      <c r="L126" s="9"/>
      <c r="M126" s="14"/>
      <c r="N126" s="14"/>
      <c r="O126" s="14"/>
      <c r="P126" s="14"/>
      <c r="Q126" s="14"/>
      <c r="R126" s="185"/>
      <c r="S126" s="14"/>
      <c r="T126" s="14"/>
      <c r="U126" s="203"/>
      <c r="V126" s="47"/>
      <c r="W126" s="47"/>
      <c r="X126" s="203"/>
      <c r="Y126" s="247"/>
    </row>
    <row r="127" spans="1:25" s="163" customFormat="1" ht="30.75" customHeight="1" x14ac:dyDescent="0.25">
      <c r="A127" s="117" t="s">
        <v>250</v>
      </c>
      <c r="B127" s="64" t="s">
        <v>49</v>
      </c>
      <c r="C127" s="56">
        <v>5</v>
      </c>
      <c r="D127" s="14" t="s">
        <v>124</v>
      </c>
      <c r="E127" s="28">
        <v>2016</v>
      </c>
      <c r="F127" s="28">
        <v>2019</v>
      </c>
      <c r="G127" s="9">
        <f t="shared" si="15"/>
        <v>620424.07999999996</v>
      </c>
      <c r="H127" s="157">
        <f t="shared" si="15"/>
        <v>620424.07999999996</v>
      </c>
      <c r="I127" s="9"/>
      <c r="J127" s="9">
        <v>117620.47</v>
      </c>
      <c r="K127" s="9">
        <v>117620.47</v>
      </c>
      <c r="L127" s="9"/>
      <c r="M127" s="9">
        <v>502803.61</v>
      </c>
      <c r="N127" s="9">
        <v>502803.61</v>
      </c>
      <c r="O127" s="9"/>
      <c r="P127" s="14"/>
      <c r="Q127" s="14"/>
      <c r="R127" s="185"/>
      <c r="S127" s="14"/>
      <c r="T127" s="14"/>
      <c r="U127" s="203"/>
      <c r="V127" s="47"/>
      <c r="W127" s="47"/>
      <c r="X127" s="203"/>
      <c r="Y127" s="247"/>
    </row>
    <row r="128" spans="1:25" s="163" customFormat="1" ht="42.75" customHeight="1" x14ac:dyDescent="0.25">
      <c r="A128" s="117" t="s">
        <v>251</v>
      </c>
      <c r="B128" s="64" t="s">
        <v>50</v>
      </c>
      <c r="C128" s="56">
        <v>5</v>
      </c>
      <c r="D128" s="14" t="s">
        <v>124</v>
      </c>
      <c r="E128" s="21">
        <v>2016</v>
      </c>
      <c r="F128" s="21">
        <v>2020</v>
      </c>
      <c r="G128" s="9">
        <f t="shared" si="15"/>
        <v>290766.37</v>
      </c>
      <c r="H128" s="157">
        <f t="shared" si="15"/>
        <v>290766.37</v>
      </c>
      <c r="I128" s="185"/>
      <c r="J128" s="14">
        <v>55029.98</v>
      </c>
      <c r="K128" s="14">
        <v>55029.98</v>
      </c>
      <c r="L128" s="185"/>
      <c r="M128" s="14">
        <v>235736.39</v>
      </c>
      <c r="N128" s="14">
        <v>235736.39</v>
      </c>
      <c r="O128" s="185"/>
      <c r="P128" s="14"/>
      <c r="Q128" s="14"/>
      <c r="R128" s="185"/>
      <c r="S128" s="14"/>
      <c r="T128" s="14"/>
      <c r="U128" s="203"/>
      <c r="V128" s="47"/>
      <c r="W128" s="47"/>
      <c r="X128" s="203"/>
      <c r="Y128" s="247"/>
    </row>
    <row r="129" spans="1:25" s="163" customFormat="1" ht="52.5" customHeight="1" x14ac:dyDescent="0.25">
      <c r="A129" s="117" t="s">
        <v>252</v>
      </c>
      <c r="B129" s="64" t="s">
        <v>138</v>
      </c>
      <c r="C129" s="56">
        <v>5</v>
      </c>
      <c r="D129" s="14" t="s">
        <v>126</v>
      </c>
      <c r="E129" s="28">
        <v>2017</v>
      </c>
      <c r="F129" s="28">
        <v>2022</v>
      </c>
      <c r="G129" s="9">
        <f t="shared" si="15"/>
        <v>3457000</v>
      </c>
      <c r="H129" s="157">
        <f t="shared" si="15"/>
        <v>3457000</v>
      </c>
      <c r="I129" s="89"/>
      <c r="J129" s="9">
        <v>3457000</v>
      </c>
      <c r="K129" s="9">
        <v>3457000</v>
      </c>
      <c r="L129" s="89"/>
      <c r="M129" s="14"/>
      <c r="N129" s="14"/>
      <c r="O129" s="185"/>
      <c r="P129" s="14"/>
      <c r="Q129" s="14"/>
      <c r="R129" s="185"/>
      <c r="S129" s="14"/>
      <c r="T129" s="14"/>
      <c r="U129" s="203"/>
      <c r="V129" s="47"/>
      <c r="W129" s="47"/>
      <c r="X129" s="203"/>
      <c r="Y129" s="247"/>
    </row>
    <row r="130" spans="1:25" s="163" customFormat="1" ht="18" customHeight="1" x14ac:dyDescent="0.25">
      <c r="A130" s="117"/>
      <c r="B130" s="169" t="s">
        <v>51</v>
      </c>
      <c r="C130" s="56"/>
      <c r="D130" s="166"/>
      <c r="E130" s="21"/>
      <c r="F130" s="21"/>
      <c r="G130" s="9">
        <f t="shared" si="15"/>
        <v>0</v>
      </c>
      <c r="H130" s="157">
        <f t="shared" si="15"/>
        <v>0</v>
      </c>
      <c r="I130" s="185"/>
      <c r="J130" s="14"/>
      <c r="K130" s="14"/>
      <c r="L130" s="185"/>
      <c r="M130" s="14"/>
      <c r="N130" s="14"/>
      <c r="O130" s="185"/>
      <c r="P130" s="14"/>
      <c r="Q130" s="14"/>
      <c r="R130" s="185"/>
      <c r="S130" s="14"/>
      <c r="T130" s="14"/>
      <c r="U130" s="203"/>
      <c r="V130" s="47"/>
      <c r="W130" s="47"/>
      <c r="X130" s="203"/>
      <c r="Y130" s="247"/>
    </row>
    <row r="131" spans="1:25" s="163" customFormat="1" ht="54" customHeight="1" x14ac:dyDescent="0.25">
      <c r="A131" s="117" t="s">
        <v>253</v>
      </c>
      <c r="B131" s="264" t="s">
        <v>90</v>
      </c>
      <c r="C131" s="56">
        <v>5</v>
      </c>
      <c r="D131" s="14" t="s">
        <v>118</v>
      </c>
      <c r="E131" s="21">
        <v>2016</v>
      </c>
      <c r="F131" s="21">
        <v>2019</v>
      </c>
      <c r="G131" s="9">
        <f t="shared" si="15"/>
        <v>4601547.3899999997</v>
      </c>
      <c r="H131" s="157">
        <f t="shared" si="15"/>
        <v>4601863.3899999997</v>
      </c>
      <c r="I131" s="185">
        <f>+H131-G131</f>
        <v>316</v>
      </c>
      <c r="J131" s="14">
        <v>833110.55</v>
      </c>
      <c r="K131" s="185">
        <f>833110.55+316</f>
        <v>833426.55</v>
      </c>
      <c r="L131" s="185">
        <f>+K131-J131</f>
        <v>316</v>
      </c>
      <c r="M131" s="14">
        <v>3768436.84</v>
      </c>
      <c r="N131" s="14">
        <v>3768436.84</v>
      </c>
      <c r="O131" s="185"/>
      <c r="P131" s="14"/>
      <c r="Q131" s="14"/>
      <c r="R131" s="185"/>
      <c r="S131" s="14"/>
      <c r="T131" s="14"/>
      <c r="U131" s="203"/>
      <c r="V131" s="47"/>
      <c r="W131" s="47"/>
      <c r="X131" s="203"/>
      <c r="Y131" s="806" t="s">
        <v>297</v>
      </c>
    </row>
    <row r="132" spans="1:25" s="163" customFormat="1" ht="15" x14ac:dyDescent="0.25">
      <c r="A132" s="115"/>
      <c r="B132" s="116"/>
      <c r="C132" s="66"/>
      <c r="D132" s="116"/>
      <c r="E132" s="66"/>
      <c r="F132" s="58" t="s">
        <v>17</v>
      </c>
      <c r="G132" s="75">
        <f t="shared" ref="G132:N132" si="16">SUM(G125:G131)</f>
        <v>9659737.8399999999</v>
      </c>
      <c r="H132" s="75">
        <f t="shared" si="16"/>
        <v>9660053.8399999999</v>
      </c>
      <c r="I132" s="75">
        <f t="shared" si="16"/>
        <v>316</v>
      </c>
      <c r="J132" s="75">
        <f t="shared" si="16"/>
        <v>5152761</v>
      </c>
      <c r="K132" s="75">
        <f t="shared" si="16"/>
        <v>5153077</v>
      </c>
      <c r="L132" s="75">
        <f t="shared" si="16"/>
        <v>316</v>
      </c>
      <c r="M132" s="75">
        <f t="shared" si="16"/>
        <v>4506976.84</v>
      </c>
      <c r="N132" s="75">
        <f t="shared" si="16"/>
        <v>4506976.84</v>
      </c>
      <c r="O132" s="184"/>
      <c r="P132" s="75">
        <f>SUM(P125:P131)</f>
        <v>0</v>
      </c>
      <c r="Q132" s="75">
        <f>SUM(Q125:Q131)</f>
        <v>0</v>
      </c>
      <c r="R132" s="184"/>
      <c r="S132" s="75">
        <f>SUM(S125:S131)</f>
        <v>0</v>
      </c>
      <c r="T132" s="75">
        <f>SUM(T125:T131)</f>
        <v>0</v>
      </c>
      <c r="U132" s="204"/>
      <c r="V132" s="86">
        <f>SUM(V125:V131)</f>
        <v>0</v>
      </c>
      <c r="W132" s="86">
        <f>SUM(W125:W131)</f>
        <v>0</v>
      </c>
      <c r="X132" s="204">
        <f>SUM(X125:X131)</f>
        <v>0</v>
      </c>
      <c r="Y132" s="806"/>
    </row>
    <row r="133" spans="1:25" s="163" customFormat="1" ht="16.5" customHeight="1" x14ac:dyDescent="0.25">
      <c r="A133" s="768" t="s">
        <v>58</v>
      </c>
      <c r="B133" s="769"/>
      <c r="C133" s="769"/>
      <c r="D133" s="769"/>
      <c r="E133" s="769"/>
      <c r="F133" s="769"/>
      <c r="G133" s="769"/>
      <c r="H133" s="769"/>
      <c r="I133" s="769"/>
      <c r="J133" s="769"/>
      <c r="K133" s="769"/>
      <c r="L133" s="769"/>
      <c r="M133" s="769"/>
      <c r="N133" s="769"/>
      <c r="O133" s="769"/>
      <c r="P133" s="769"/>
      <c r="Q133" s="769"/>
      <c r="R133" s="769"/>
      <c r="S133" s="769"/>
      <c r="T133" s="769"/>
      <c r="U133" s="769"/>
      <c r="V133" s="769"/>
      <c r="W133" s="769"/>
      <c r="X133" s="769"/>
      <c r="Y133" s="806"/>
    </row>
    <row r="134" spans="1:25" s="163" customFormat="1" ht="39" customHeight="1" x14ac:dyDescent="0.25">
      <c r="A134" s="117" t="s">
        <v>254</v>
      </c>
      <c r="B134" s="65" t="s">
        <v>89</v>
      </c>
      <c r="C134" s="26">
        <v>5</v>
      </c>
      <c r="D134" s="9" t="s">
        <v>77</v>
      </c>
      <c r="E134" s="28">
        <v>2017</v>
      </c>
      <c r="F134" s="28">
        <v>2020</v>
      </c>
      <c r="G134" s="9">
        <f t="shared" ref="G134:H137" si="17">J134+M134+V134</f>
        <v>2361700</v>
      </c>
      <c r="H134" s="157">
        <f t="shared" si="17"/>
        <v>2361700</v>
      </c>
      <c r="I134" s="89"/>
      <c r="J134" s="9">
        <v>813700</v>
      </c>
      <c r="K134" s="9">
        <v>813700</v>
      </c>
      <c r="L134" s="89"/>
      <c r="M134" s="9">
        <v>1548000</v>
      </c>
      <c r="N134" s="9">
        <v>1548000</v>
      </c>
      <c r="O134" s="89"/>
      <c r="P134" s="9"/>
      <c r="Q134" s="9"/>
      <c r="R134" s="89"/>
      <c r="S134" s="9"/>
      <c r="T134" s="9"/>
      <c r="U134" s="104"/>
      <c r="V134" s="43"/>
      <c r="W134" s="43"/>
      <c r="X134" s="104"/>
      <c r="Y134" s="247"/>
    </row>
    <row r="135" spans="1:25" s="163" customFormat="1" ht="45" customHeight="1" x14ac:dyDescent="0.25">
      <c r="A135" s="117" t="s">
        <v>255</v>
      </c>
      <c r="B135" s="64" t="s">
        <v>84</v>
      </c>
      <c r="C135" s="26">
        <v>5</v>
      </c>
      <c r="D135" s="9" t="s">
        <v>69</v>
      </c>
      <c r="E135" s="28">
        <v>2017</v>
      </c>
      <c r="F135" s="28">
        <v>2020</v>
      </c>
      <c r="G135" s="9">
        <f t="shared" si="17"/>
        <v>1100000</v>
      </c>
      <c r="H135" s="157">
        <f t="shared" si="17"/>
        <v>1100000</v>
      </c>
      <c r="I135" s="89"/>
      <c r="J135" s="9">
        <v>850000</v>
      </c>
      <c r="K135" s="9">
        <v>850000</v>
      </c>
      <c r="L135" s="89"/>
      <c r="M135" s="9"/>
      <c r="N135" s="9"/>
      <c r="O135" s="89"/>
      <c r="P135" s="9"/>
      <c r="Q135" s="9"/>
      <c r="R135" s="89"/>
      <c r="S135" s="9"/>
      <c r="T135" s="9"/>
      <c r="U135" s="104"/>
      <c r="V135" s="43">
        <v>250000</v>
      </c>
      <c r="W135" s="43">
        <v>250000</v>
      </c>
      <c r="X135" s="104"/>
      <c r="Y135" s="247"/>
    </row>
    <row r="136" spans="1:25" s="163" customFormat="1" ht="51" customHeight="1" x14ac:dyDescent="0.25">
      <c r="A136" s="117" t="s">
        <v>256</v>
      </c>
      <c r="B136" s="65" t="s">
        <v>52</v>
      </c>
      <c r="C136" s="26">
        <v>5</v>
      </c>
      <c r="D136" s="9" t="s">
        <v>42</v>
      </c>
      <c r="E136" s="28">
        <v>2017</v>
      </c>
      <c r="F136" s="28">
        <v>2021</v>
      </c>
      <c r="G136" s="9">
        <f t="shared" si="17"/>
        <v>335000</v>
      </c>
      <c r="H136" s="157">
        <f t="shared" si="17"/>
        <v>335000</v>
      </c>
      <c r="I136" s="89"/>
      <c r="J136" s="16">
        <v>335000</v>
      </c>
      <c r="K136" s="16">
        <v>335000</v>
      </c>
      <c r="L136" s="90"/>
      <c r="M136" s="37"/>
      <c r="N136" s="37"/>
      <c r="O136" s="196"/>
      <c r="P136" s="38"/>
      <c r="Q136" s="38"/>
      <c r="R136" s="198"/>
      <c r="S136" s="38"/>
      <c r="T136" s="38"/>
      <c r="U136" s="205"/>
      <c r="V136" s="48"/>
      <c r="W136" s="48"/>
      <c r="X136" s="205"/>
      <c r="Y136" s="247"/>
    </row>
    <row r="137" spans="1:25" s="163" customFormat="1" ht="42" customHeight="1" x14ac:dyDescent="0.25">
      <c r="A137" s="117" t="s">
        <v>257</v>
      </c>
      <c r="B137" s="65" t="s">
        <v>149</v>
      </c>
      <c r="C137" s="26">
        <v>5</v>
      </c>
      <c r="D137" s="9"/>
      <c r="E137" s="28">
        <v>2018</v>
      </c>
      <c r="F137" s="28">
        <v>2025</v>
      </c>
      <c r="G137" s="9">
        <f t="shared" si="17"/>
        <v>3053030</v>
      </c>
      <c r="H137" s="157">
        <f t="shared" si="17"/>
        <v>3053030</v>
      </c>
      <c r="I137" s="92"/>
      <c r="J137" s="19">
        <v>3053030</v>
      </c>
      <c r="K137" s="19">
        <v>3053030</v>
      </c>
      <c r="L137" s="192"/>
      <c r="M137" s="39"/>
      <c r="N137" s="39"/>
      <c r="O137" s="197"/>
      <c r="P137" s="40"/>
      <c r="Q137" s="40"/>
      <c r="R137" s="199"/>
      <c r="S137" s="40"/>
      <c r="T137" s="40"/>
      <c r="U137" s="206"/>
      <c r="V137" s="49"/>
      <c r="W137" s="49"/>
      <c r="X137" s="206"/>
      <c r="Y137" s="247"/>
    </row>
    <row r="138" spans="1:25" s="163" customFormat="1" ht="15" customHeight="1" thickBot="1" x14ac:dyDescent="0.3">
      <c r="A138" s="170"/>
      <c r="B138" s="171"/>
      <c r="C138" s="219"/>
      <c r="D138" s="171"/>
      <c r="E138" s="219"/>
      <c r="F138" s="227" t="s">
        <v>17</v>
      </c>
      <c r="G138" s="208">
        <f>SUM(G134:G137)</f>
        <v>6849730</v>
      </c>
      <c r="H138" s="208">
        <f>SUM(H134:H137)</f>
        <v>6849730</v>
      </c>
      <c r="I138" s="210"/>
      <c r="J138" s="172">
        <f>SUM(J134:J137)</f>
        <v>5051730</v>
      </c>
      <c r="K138" s="172">
        <f>SUM(K134:K137)</f>
        <v>5051730</v>
      </c>
      <c r="L138" s="186"/>
      <c r="M138" s="172">
        <f>SUM(M134:M137)</f>
        <v>1548000</v>
      </c>
      <c r="N138" s="172">
        <f>SUM(N134:N137)</f>
        <v>1548000</v>
      </c>
      <c r="O138" s="186"/>
      <c r="P138" s="172">
        <f>SUM(P134:P137)</f>
        <v>0</v>
      </c>
      <c r="Q138" s="172">
        <f>SUM(Q134:Q137)</f>
        <v>0</v>
      </c>
      <c r="R138" s="186"/>
      <c r="S138" s="172">
        <f>SUM(S134:S137)</f>
        <v>0</v>
      </c>
      <c r="T138" s="172">
        <f>SUM(T134:T137)</f>
        <v>0</v>
      </c>
      <c r="U138" s="207"/>
      <c r="V138" s="173">
        <f>SUM(V134:V137)</f>
        <v>250000</v>
      </c>
      <c r="W138" s="173">
        <f>SUM(W134:W137)</f>
        <v>250000</v>
      </c>
      <c r="X138" s="207">
        <f>SUM(X134:X137)</f>
        <v>0</v>
      </c>
      <c r="Y138" s="247"/>
    </row>
    <row r="139" spans="1:25" s="175" customFormat="1" ht="19.5" customHeight="1" thickBot="1" x14ac:dyDescent="0.25">
      <c r="A139" s="174"/>
      <c r="B139" s="770"/>
      <c r="C139" s="770"/>
      <c r="D139" s="770"/>
      <c r="E139" s="770"/>
      <c r="F139" s="770"/>
      <c r="G139" s="76">
        <f>SUMIF(F12:F138,"Iš viso:",G12:G138)</f>
        <v>251740226.47999999</v>
      </c>
      <c r="H139" s="87">
        <f>SUMIF(F12:F138,"Iš viso:",H12:H138)</f>
        <v>258105011.54999998</v>
      </c>
      <c r="I139" s="110">
        <f>SUMIF(F12:F138,"Iš viso:",I12:I138)</f>
        <v>6340785.0699999994</v>
      </c>
      <c r="J139" s="87">
        <f>SUMIF(F12:F138,"Iš viso:",J12:J138)</f>
        <v>142345208.41</v>
      </c>
      <c r="K139" s="87">
        <f>SUMIF(F12:F138,"Iš viso:",K12:K138)</f>
        <v>148700571.72</v>
      </c>
      <c r="L139" s="110">
        <f>SUMIF(F12:F138,"Iš viso:",L12:L138)</f>
        <v>6331363.3100000005</v>
      </c>
      <c r="M139" s="87">
        <f>SUMIF(F12:F138,"Iš viso:",M12:M138)</f>
        <v>48849513.49000001</v>
      </c>
      <c r="N139" s="87">
        <f>SUMIF(F12:F138,"Iš viso:",N12:N138)</f>
        <v>48858355.100000009</v>
      </c>
      <c r="O139" s="110">
        <f>SUMIF(F12:F138,"Iš viso:",O12:O138)</f>
        <v>8841.6099999996368</v>
      </c>
      <c r="P139" s="87">
        <f>SUMIF(F12:F138,"Iš viso:",P12:P138)</f>
        <v>20011711.879999999</v>
      </c>
      <c r="Q139" s="87">
        <f>SUMIF(F12:F138,"Iš viso:",Q12:Q138)</f>
        <v>20012292.029999997</v>
      </c>
      <c r="R139" s="110">
        <f>SUMIF(F12:F138,"Iš viso:",R12:R138)</f>
        <v>580.14999999997963</v>
      </c>
      <c r="S139" s="87">
        <f>SUMIF(F12:F138,"Iš viso:",S12:S138)</f>
        <v>27548546</v>
      </c>
      <c r="T139" s="87">
        <f>SUMIF(F12:F138,"Iš viso:",T12:T138)</f>
        <v>27548546</v>
      </c>
      <c r="U139" s="110">
        <f>SUMIF(F12:F138,"Iš viso:",U12:U138)</f>
        <v>0</v>
      </c>
      <c r="V139" s="87">
        <f>SUMIF(F12:F138,"Iš viso:",V12:V138)</f>
        <v>12985246.700000001</v>
      </c>
      <c r="W139" s="87">
        <f>SUMIF(F12:F138,"Iš viso:",W12:W138)</f>
        <v>12985246.700000001</v>
      </c>
      <c r="X139" s="242">
        <f>SUMIF(F12:F138,"Iš viso:",X12:X138)</f>
        <v>0</v>
      </c>
      <c r="Y139" s="248"/>
    </row>
    <row r="140" spans="1:25" s="79" customFormat="1" x14ac:dyDescent="0.2">
      <c r="A140" s="176"/>
      <c r="C140" s="77"/>
      <c r="E140" s="78"/>
      <c r="F140" s="78"/>
      <c r="H140" s="147"/>
      <c r="I140" s="187"/>
      <c r="L140" s="187"/>
      <c r="O140" s="187"/>
      <c r="R140" s="187"/>
      <c r="U140" s="187"/>
      <c r="X140" s="187"/>
    </row>
    <row r="141" spans="1:25" x14ac:dyDescent="0.2">
      <c r="A141" s="177"/>
      <c r="F141" s="764" t="s">
        <v>281</v>
      </c>
      <c r="G141" s="764"/>
      <c r="H141" s="764"/>
      <c r="I141" s="764"/>
      <c r="J141" s="764"/>
      <c r="K141" s="178"/>
      <c r="L141" s="193"/>
    </row>
  </sheetData>
  <mergeCells count="39">
    <mergeCell ref="A116:X116"/>
    <mergeCell ref="A12:X12"/>
    <mergeCell ref="A33:X33"/>
    <mergeCell ref="A67:X67"/>
    <mergeCell ref="Y131:Y133"/>
    <mergeCell ref="Y96:Y97"/>
    <mergeCell ref="A90:X90"/>
    <mergeCell ref="A98:X98"/>
    <mergeCell ref="E8:F8"/>
    <mergeCell ref="C8:C10"/>
    <mergeCell ref="T1:X1"/>
    <mergeCell ref="V8:X9"/>
    <mergeCell ref="B2:X2"/>
    <mergeCell ref="B4:G4"/>
    <mergeCell ref="B5:J5"/>
    <mergeCell ref="B6:E6"/>
    <mergeCell ref="M8:O9"/>
    <mergeCell ref="P8:R9"/>
    <mergeCell ref="S8:U9"/>
    <mergeCell ref="D8:D10"/>
    <mergeCell ref="E9:E10"/>
    <mergeCell ref="F9:F10"/>
    <mergeCell ref="S10:U10"/>
    <mergeCell ref="F141:J141"/>
    <mergeCell ref="G8:I9"/>
    <mergeCell ref="J8:L9"/>
    <mergeCell ref="A124:X124"/>
    <mergeCell ref="A133:X133"/>
    <mergeCell ref="B139:F139"/>
    <mergeCell ref="V10:X10"/>
    <mergeCell ref="B8:B10"/>
    <mergeCell ref="G10:I10"/>
    <mergeCell ref="J10:L10"/>
    <mergeCell ref="M10:O10"/>
    <mergeCell ref="P10:R10"/>
    <mergeCell ref="A8:A9"/>
    <mergeCell ref="A18:X18"/>
    <mergeCell ref="A20:A21"/>
    <mergeCell ref="B20:B21"/>
  </mergeCells>
  <printOptions horizontalCentered="1"/>
  <pageMargins left="0" right="0" top="0.47244094488188981" bottom="0.11811023622047245" header="0.31496062992125984" footer="0.31496062992125984"/>
  <pageSetup paperSize="9"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7</vt:i4>
      </vt:variant>
    </vt:vector>
  </HeadingPairs>
  <TitlesOfParts>
    <vt:vector size="11" baseType="lpstr">
      <vt:lpstr>Priemonių planas</vt:lpstr>
      <vt:lpstr>Aiškinamoji lentelė</vt:lpstr>
      <vt:lpstr>Lyginamasis</vt:lpstr>
      <vt:lpstr>Lyginamasis variantas</vt:lpstr>
      <vt:lpstr>'Aiškinamoji lentelė'!Print_Area</vt:lpstr>
      <vt:lpstr>Lyginamasis!Print_Area</vt:lpstr>
      <vt:lpstr>'Lyginamasis variantas'!Print_Area</vt:lpstr>
      <vt:lpstr>'Aiškinamoji lentelė'!Print_Titles</vt:lpstr>
      <vt:lpstr>Lyginamasis!Print_Titles</vt:lpstr>
      <vt:lpstr>'Lyginamasis variantas'!Print_Titles</vt:lpstr>
      <vt:lpstr>'Priemonių planas'!Print_Titles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Virginija Palaimiene</cp:lastModifiedBy>
  <cp:lastPrinted>2021-01-08T17:36:25Z</cp:lastPrinted>
  <dcterms:created xsi:type="dcterms:W3CDTF">2016-08-26T11:07:05Z</dcterms:created>
  <dcterms:modified xsi:type="dcterms:W3CDTF">2021-02-04T13:04:32Z</dcterms:modified>
</cp:coreProperties>
</file>