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0 SVP ataskaita\Sprendimo projektas 2021-03-25\"/>
    </mc:Choice>
  </mc:AlternateContent>
  <bookViews>
    <workbookView xWindow="-120" yWindow="-120" windowWidth="24240" windowHeight="13140" tabRatio="723"/>
  </bookViews>
  <sheets>
    <sheet name="Ataskaita" sheetId="41" r:id="rId1"/>
    <sheet name="10 programa" sheetId="44" r:id="rId2"/>
  </sheets>
  <definedNames>
    <definedName name="_xlnm.Print_Area" localSheetId="0">Ataskaita!$A$1:$E$31</definedName>
    <definedName name="_xlnm.Print_Titles" localSheetId="1">'10 programa'!$4:$6</definedName>
  </definedNames>
  <calcPr calcId="191029"/>
</workbook>
</file>

<file path=xl/calcChain.xml><?xml version="1.0" encoding="utf-8"?>
<calcChain xmlns="http://schemas.openxmlformats.org/spreadsheetml/2006/main">
  <c r="F327" i="44" l="1"/>
  <c r="E327" i="44"/>
  <c r="D327" i="44"/>
  <c r="C327" i="44"/>
  <c r="H306" i="44"/>
  <c r="H305" i="44" s="1"/>
  <c r="G306" i="44"/>
  <c r="G305" i="44" s="1"/>
  <c r="F306" i="44"/>
  <c r="F305" i="44" s="1"/>
  <c r="E306" i="44"/>
  <c r="E305" i="44" s="1"/>
  <c r="H301" i="44"/>
  <c r="H299" i="44" s="1"/>
  <c r="G301" i="44"/>
  <c r="G299" i="44" s="1"/>
  <c r="F301" i="44"/>
  <c r="F299" i="44" s="1"/>
  <c r="E301" i="44"/>
  <c r="E299" i="44" s="1"/>
  <c r="H297" i="44"/>
  <c r="G297" i="44"/>
  <c r="F297" i="44"/>
  <c r="E297" i="44"/>
  <c r="H295" i="44"/>
  <c r="G295" i="44"/>
  <c r="F295" i="44"/>
  <c r="E295" i="44"/>
  <c r="H289" i="44"/>
  <c r="G289" i="44"/>
  <c r="F289" i="44"/>
  <c r="E289" i="44"/>
  <c r="H281" i="44"/>
  <c r="G281" i="44"/>
  <c r="F281" i="44"/>
  <c r="E281" i="44"/>
  <c r="H275" i="44"/>
  <c r="G275" i="44"/>
  <c r="F275" i="44"/>
  <c r="E275" i="44"/>
  <c r="H271" i="44"/>
  <c r="G271" i="44"/>
  <c r="G270" i="44" s="1"/>
  <c r="F271" i="44"/>
  <c r="F270" i="44" s="1"/>
  <c r="E271" i="44"/>
  <c r="E270" i="44" s="1"/>
  <c r="H270" i="44"/>
  <c r="H265" i="44"/>
  <c r="G265" i="44"/>
  <c r="F265" i="44"/>
  <c r="E265" i="44"/>
  <c r="H263" i="44"/>
  <c r="H262" i="44" s="1"/>
  <c r="G263" i="44"/>
  <c r="G262" i="44" s="1"/>
  <c r="F263" i="44"/>
  <c r="F262" i="44" s="1"/>
  <c r="E263" i="44"/>
  <c r="E262" i="44" s="1"/>
  <c r="H260" i="44"/>
  <c r="H257" i="44" s="1"/>
  <c r="G260" i="44"/>
  <c r="G257" i="44" s="1"/>
  <c r="F260" i="44"/>
  <c r="F257" i="44" s="1"/>
  <c r="E260" i="44"/>
  <c r="E257" i="44" s="1"/>
  <c r="H253" i="44"/>
  <c r="G253" i="44"/>
  <c r="G252" i="44" s="1"/>
  <c r="F253" i="44"/>
  <c r="F252" i="44" s="1"/>
  <c r="E253" i="44"/>
  <c r="E252" i="44" s="1"/>
  <c r="H252" i="44"/>
  <c r="H250" i="44"/>
  <c r="G250" i="44"/>
  <c r="F250" i="44"/>
  <c r="E250" i="44"/>
  <c r="H246" i="44"/>
  <c r="H243" i="44" s="1"/>
  <c r="G246" i="44"/>
  <c r="G243" i="44" s="1"/>
  <c r="F246" i="44"/>
  <c r="F243" i="44" s="1"/>
  <c r="E246" i="44"/>
  <c r="E243" i="44" s="1"/>
  <c r="H237" i="44"/>
  <c r="H236" i="44" s="1"/>
  <c r="G237" i="44"/>
  <c r="G236" i="44" s="1"/>
  <c r="F237" i="44"/>
  <c r="F236" i="44" s="1"/>
  <c r="E237" i="44"/>
  <c r="E236" i="44" s="1"/>
  <c r="H233" i="44"/>
  <c r="G233" i="44"/>
  <c r="F233" i="44"/>
  <c r="E233" i="44"/>
  <c r="H231" i="44"/>
  <c r="G231" i="44"/>
  <c r="F231" i="44"/>
  <c r="E231" i="44"/>
  <c r="H228" i="44"/>
  <c r="G228" i="44"/>
  <c r="F228" i="44"/>
  <c r="E228" i="44"/>
  <c r="H226" i="44"/>
  <c r="H225" i="44" s="1"/>
  <c r="G226" i="44"/>
  <c r="G225" i="44" s="1"/>
  <c r="F226" i="44"/>
  <c r="F225" i="44" s="1"/>
  <c r="E226" i="44"/>
  <c r="E225" i="44" s="1"/>
  <c r="H223" i="44"/>
  <c r="G223" i="44"/>
  <c r="F223" i="44"/>
  <c r="E223" i="44"/>
  <c r="H220" i="44"/>
  <c r="G220" i="44"/>
  <c r="F220" i="44"/>
  <c r="E220" i="44"/>
  <c r="H217" i="44"/>
  <c r="G217" i="44"/>
  <c r="F217" i="44"/>
  <c r="E217" i="44"/>
  <c r="H214" i="44"/>
  <c r="G214" i="44"/>
  <c r="F214" i="44"/>
  <c r="E214" i="44"/>
  <c r="H211" i="44"/>
  <c r="G211" i="44"/>
  <c r="F211" i="44"/>
  <c r="E211" i="44"/>
  <c r="H208" i="44"/>
  <c r="G208" i="44"/>
  <c r="F208" i="44"/>
  <c r="E208" i="44"/>
  <c r="H201" i="44"/>
  <c r="H199" i="44" s="1"/>
  <c r="G201" i="44"/>
  <c r="G199" i="44" s="1"/>
  <c r="F201" i="44"/>
  <c r="F199" i="44" s="1"/>
  <c r="E201" i="44"/>
  <c r="H192" i="44"/>
  <c r="G192" i="44"/>
  <c r="F192" i="44"/>
  <c r="E192" i="44"/>
  <c r="H190" i="44"/>
  <c r="G190" i="44"/>
  <c r="F190" i="44"/>
  <c r="E190" i="44"/>
  <c r="H188" i="44"/>
  <c r="G188" i="44"/>
  <c r="F188" i="44"/>
  <c r="E188" i="44"/>
  <c r="H186" i="44"/>
  <c r="G186" i="44"/>
  <c r="F186" i="44"/>
  <c r="E186" i="44"/>
  <c r="H184" i="44"/>
  <c r="H183" i="44" s="1"/>
  <c r="G184" i="44"/>
  <c r="G183" i="44" s="1"/>
  <c r="F184" i="44"/>
  <c r="F183" i="44" s="1"/>
  <c r="E184" i="44"/>
  <c r="E183" i="44" s="1"/>
  <c r="H179" i="44"/>
  <c r="G179" i="44"/>
  <c r="F179" i="44"/>
  <c r="E179" i="44"/>
  <c r="H175" i="44"/>
  <c r="H173" i="44" s="1"/>
  <c r="G175" i="44"/>
  <c r="G173" i="44" s="1"/>
  <c r="F175" i="44"/>
  <c r="F173" i="44" s="1"/>
  <c r="E175" i="44"/>
  <c r="E173" i="44" s="1"/>
  <c r="H171" i="44"/>
  <c r="G171" i="44"/>
  <c r="F171" i="44"/>
  <c r="E171" i="44"/>
  <c r="H169" i="44"/>
  <c r="G169" i="44"/>
  <c r="F169" i="44"/>
  <c r="E169" i="44"/>
  <c r="H166" i="44"/>
  <c r="G166" i="44"/>
  <c r="F166" i="44"/>
  <c r="E166" i="44"/>
  <c r="H163" i="44"/>
  <c r="G163" i="44"/>
  <c r="F163" i="44"/>
  <c r="E163" i="44"/>
  <c r="H159" i="44"/>
  <c r="G159" i="44"/>
  <c r="F159" i="44"/>
  <c r="E159" i="44"/>
  <c r="H155" i="44"/>
  <c r="G155" i="44"/>
  <c r="F155" i="44"/>
  <c r="E155" i="44"/>
  <c r="H152" i="44"/>
  <c r="G152" i="44"/>
  <c r="F152" i="44"/>
  <c r="E152" i="44"/>
  <c r="H150" i="44"/>
  <c r="G150" i="44"/>
  <c r="F150" i="44"/>
  <c r="E150" i="44"/>
  <c r="H148" i="44"/>
  <c r="G148" i="44"/>
  <c r="F148" i="44"/>
  <c r="E148" i="44"/>
  <c r="H144" i="44"/>
  <c r="G144" i="44"/>
  <c r="F144" i="44"/>
  <c r="E144" i="44"/>
  <c r="H142" i="44"/>
  <c r="G142" i="44"/>
  <c r="F142" i="44"/>
  <c r="E142" i="44"/>
  <c r="H137" i="44"/>
  <c r="G137" i="44"/>
  <c r="F137" i="44"/>
  <c r="E137" i="44"/>
  <c r="H129" i="44"/>
  <c r="G129" i="44"/>
  <c r="F129" i="44"/>
  <c r="E129" i="44"/>
  <c r="H120" i="44"/>
  <c r="G120" i="44"/>
  <c r="F120" i="44"/>
  <c r="E120" i="44"/>
  <c r="H110" i="44"/>
  <c r="G110" i="44"/>
  <c r="F110" i="44"/>
  <c r="E110" i="44"/>
  <c r="H106" i="44"/>
  <c r="G106" i="44"/>
  <c r="F106" i="44"/>
  <c r="E106" i="44"/>
  <c r="H101" i="44"/>
  <c r="G101" i="44"/>
  <c r="F101" i="44"/>
  <c r="E101" i="44"/>
  <c r="H98" i="44"/>
  <c r="G98" i="44"/>
  <c r="F98" i="44"/>
  <c r="E98" i="44"/>
  <c r="H95" i="44"/>
  <c r="G95" i="44"/>
  <c r="F95" i="44"/>
  <c r="E95" i="44"/>
  <c r="H92" i="44"/>
  <c r="G92" i="44"/>
  <c r="F92" i="44"/>
  <c r="E92" i="44"/>
  <c r="H89" i="44"/>
  <c r="G89" i="44"/>
  <c r="F89" i="44"/>
  <c r="E89" i="44"/>
  <c r="H86" i="44"/>
  <c r="G86" i="44"/>
  <c r="F86" i="44"/>
  <c r="E86" i="44"/>
  <c r="H64" i="44"/>
  <c r="G64" i="44"/>
  <c r="F64" i="44"/>
  <c r="E64" i="44"/>
  <c r="H61" i="44"/>
  <c r="G61" i="44"/>
  <c r="F61" i="44"/>
  <c r="E61" i="44"/>
  <c r="H42" i="44"/>
  <c r="G42" i="44"/>
  <c r="F42" i="44"/>
  <c r="E42" i="44"/>
  <c r="H38" i="44"/>
  <c r="G38" i="44"/>
  <c r="F38" i="44"/>
  <c r="E38" i="44"/>
  <c r="H36" i="44"/>
  <c r="G36" i="44"/>
  <c r="F36" i="44"/>
  <c r="E36" i="44"/>
  <c r="H34" i="44"/>
  <c r="G34" i="44"/>
  <c r="F34" i="44"/>
  <c r="E34" i="44"/>
  <c r="H32" i="44"/>
  <c r="G32" i="44"/>
  <c r="F32" i="44"/>
  <c r="E32" i="44"/>
  <c r="H30" i="44"/>
  <c r="G30" i="44"/>
  <c r="F30" i="44"/>
  <c r="E30" i="44"/>
  <c r="H28" i="44"/>
  <c r="G28" i="44"/>
  <c r="F28" i="44"/>
  <c r="E28" i="44"/>
  <c r="H15" i="44"/>
  <c r="H13" i="44" s="1"/>
  <c r="G15" i="44"/>
  <c r="G13" i="44" s="1"/>
  <c r="F15" i="44"/>
  <c r="F13" i="44" s="1"/>
  <c r="E15" i="44"/>
  <c r="E199" i="44" l="1"/>
  <c r="E198" i="44" s="1"/>
  <c r="F12" i="44"/>
  <c r="F8" i="44" s="1"/>
  <c r="E256" i="44"/>
  <c r="F256" i="44"/>
  <c r="G12" i="44"/>
  <c r="G8" i="44" s="1"/>
  <c r="H269" i="44"/>
  <c r="H12" i="44"/>
  <c r="H8" i="44" s="1"/>
  <c r="G256" i="44"/>
  <c r="F269" i="44"/>
  <c r="F198" i="44"/>
  <c r="H256" i="44"/>
  <c r="G198" i="44"/>
  <c r="H198" i="44"/>
  <c r="G269" i="44"/>
  <c r="E269" i="44"/>
  <c r="E13" i="44"/>
  <c r="E12" i="44" s="1"/>
  <c r="E8" i="44" s="1"/>
  <c r="F194" i="44" l="1"/>
  <c r="F7" i="44" s="1"/>
  <c r="H194" i="44"/>
  <c r="H7" i="44" s="1"/>
  <c r="E194" i="44"/>
  <c r="E7" i="44" s="1"/>
  <c r="G194" i="44"/>
  <c r="G7" i="44" s="1"/>
</calcChain>
</file>

<file path=xl/sharedStrings.xml><?xml version="1.0" encoding="utf-8"?>
<sst xmlns="http://schemas.openxmlformats.org/spreadsheetml/2006/main" count="1421" uniqueCount="616">
  <si>
    <t>Finansavimo šaltinių suvestinė</t>
  </si>
  <si>
    <t>LRVB</t>
  </si>
  <si>
    <t>ES</t>
  </si>
  <si>
    <t>10</t>
  </si>
  <si>
    <t>SB</t>
  </si>
  <si>
    <t>SB(VB)</t>
  </si>
  <si>
    <t>IŠ VISO:</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</si>
  <si>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</si>
  <si>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</si>
  <si>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</si>
  <si>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</si>
  <si>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</si>
  <si>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</si>
  <si>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Švietimo įstaigų paprastasis remontas</t>
  </si>
  <si>
    <t>SB(SP)</t>
  </si>
  <si>
    <t>Veiklos organizavimo užtikrinimas švietimo įstaigose:</t>
  </si>
  <si>
    <t>Metodinių būrelių skaičius mieste</t>
  </si>
  <si>
    <t>Švietimo įstaigų sanitarinių patalpų remontas</t>
  </si>
  <si>
    <t>Kt</t>
  </si>
  <si>
    <t>Vasaros poilsio organizavimas</t>
  </si>
  <si>
    <t>Planas</t>
  </si>
  <si>
    <t>Įstaigų, kuriose atlikti remonto darbai, skaičius</t>
  </si>
  <si>
    <t>Įstaigų, kuriose likviduoti pažeidimai, skaičius</t>
  </si>
  <si>
    <t>Įstaigų, kuriose suremontuota sanitarinių patalpų, skaičius</t>
  </si>
  <si>
    <t>Mokinių, kuriems kompensuojamos pavėžėjimo išlaidos, skaičius</t>
  </si>
  <si>
    <t>Švietimo įstaigų elektros instaliacijos remontas</t>
  </si>
  <si>
    <t>Parengtas techninis projektas</t>
  </si>
  <si>
    <t>SB(SPL)</t>
  </si>
  <si>
    <t>Aptarnautų asmenų skaičius</t>
  </si>
  <si>
    <t>Savivaldybės administracijos vaiko gerovės komisijos veiklos užtikrinimas</t>
  </si>
  <si>
    <t>Sudaryti sąlygas ugdytis ir gerinti ugdymo proceso kokybę</t>
  </si>
  <si>
    <t>tūkst. Eur</t>
  </si>
  <si>
    <t>Bendrojo ugdymo mokyklos pastato statyba šiaurinėje miesto dalyje</t>
  </si>
  <si>
    <t>Vaikų, už kurių išlaikymą ikimokyklinėse ir priešmokyklinėse įstaigose yra kompensuojamos išlaidos, skaičius</t>
  </si>
  <si>
    <t>Sporto mokyklas lankančių vaikų, kurių ugdymas finansuojamas iš mokinio krepšelio lėšų, skaičius</t>
  </si>
  <si>
    <t>Įstaigų, kurių šilumos ir karšto vandens tiekimo sistemos prižiūrimos, skaičius</t>
  </si>
  <si>
    <t>SB(ES)</t>
  </si>
  <si>
    <t>Neformaliojo vaikų švietimo programų įgyvendinimas ir neformaliojo vaikų švietimo paslaugų plėtra</t>
  </si>
  <si>
    <t xml:space="preserve">STRATEGINIO VEIKLOS PLANO VYKDYMO ATASKAITA </t>
  </si>
  <si>
    <t xml:space="preserve">       UGDYMO PROCESO UŽTIKRINIMO PROGRAMOS (NR. 10)</t>
  </si>
  <si>
    <t>ĮVYKDYMO ATASKAITA</t>
  </si>
  <si>
    <t xml:space="preserve">Programos vykdytojai: </t>
  </si>
  <si>
    <t>faktiškai įvykdyta –</t>
  </si>
  <si>
    <t>(pagal planą arba geriau);</t>
  </si>
  <si>
    <t>iš dalies 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</si>
  <si>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</si>
  <si>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</si>
  <si>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</si>
  <si>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ir papriemonių įgyvendinimo lygį:</t>
    </r>
  </si>
  <si>
    <t>Maitinimo paslaugų kompensavimas</t>
  </si>
  <si>
    <t>SB(L)</t>
  </si>
  <si>
    <t>Švietimo įstaigų stogų remontas</t>
  </si>
  <si>
    <t>Automatizuotos šilumos punkto  kontrolės ir valdymo sistemų aptarnavimas švietimo įstaigų pastatuose</t>
  </si>
  <si>
    <t>BĮ Klaipėdos pedagoginės psichologinės tarnybos dalyvavimas projekte pagal ES INTERREG V-A</t>
  </si>
  <si>
    <t>Tarptautinių programų įgyvendinimas</t>
  </si>
  <si>
    <t>Elektroninio mokinio pažymėjimo diegimas ir naudojimo užtikrinimas savivaldybės bendrojo ugdymo mokyklose, neformaliojo švietimo ir sporto įstaigose</t>
  </si>
  <si>
    <t>Mokinių priėmimo į savivaldybės bendrojo ugdymo mokyklas informacinės sistemos sukūrimas ir priežiūra</t>
  </si>
  <si>
    <t>Vaikiškų lovyčių įsigijimas savivaldybės ikimokyklinio ugdymo įstaigose</t>
  </si>
  <si>
    <t>Švietimo įstaigų persikėlimo į kitas patalpas organizavimas</t>
  </si>
  <si>
    <t>Bendrojo ugdymo mokyklų dalyvavimas projekte ,,Mokinių ugdymosi pasiekimų gerinimas diegiant kokybės krepšelį“</t>
  </si>
  <si>
    <t>13</t>
  </si>
  <si>
    <t>Pasirengimas Gamtos mokslų, technologijų, inžinerijos, matematikos mokslų ir kūrybiškumo ugdymo (STEAM) centro įveiklinimui</t>
  </si>
  <si>
    <t>SB(ESL)</t>
  </si>
  <si>
    <t>Programose dalyvaujančių vaikų skaičius</t>
  </si>
  <si>
    <t>Švietimo įstaigų modulinių kompleksų įrengimas ir nuoma</t>
  </si>
  <si>
    <t>Kompiuterių mokyklose atnaujinimas</t>
  </si>
  <si>
    <t>Išmaniųjų klasių įrengimas</t>
  </si>
  <si>
    <t>Mokinių pavėžėjimo užtikrinimas mokiniams, kuriems taikomos pavėžėjimo lengvatos</t>
  </si>
  <si>
    <t>Įstaigų, kuriose įrengtos saulės (fotovoltinės) elektrinės, skaičius</t>
  </si>
  <si>
    <t>Kodas</t>
  </si>
  <si>
    <t>METINIO VEIKLOS PLANO VYKDYMO ATASKAITA</t>
  </si>
  <si>
    <t>SP lėšos</t>
  </si>
  <si>
    <t>Patvirtintas asignavimų planas</t>
  </si>
  <si>
    <t>Patikslintas asignavimų planas</t>
  </si>
  <si>
    <t>Iš viso gauta asignavimų</t>
  </si>
  <si>
    <t>Likutis</t>
  </si>
  <si>
    <t>Rodiklis</t>
  </si>
  <si>
    <t>Mato vnt.</t>
  </si>
  <si>
    <t>Pastaba</t>
  </si>
  <si>
    <t>Faktas</t>
  </si>
  <si>
    <t>Ugdymo proceso užtikrinimo programa</t>
  </si>
  <si>
    <t>10.01.</t>
  </si>
  <si>
    <t xml:space="preserve">Užtikrinti kokybišką ugdymo proceso organizavimą   </t>
  </si>
  <si>
    <t>proc.</t>
  </si>
  <si>
    <t>skaičius</t>
  </si>
  <si>
    <t>Asmenų, kuriems suteikta specialioji ir psichologinė pagalba, dalis nuo bendro mokinių ir vaikų skaičiaus</t>
  </si>
  <si>
    <t>10.01.01.</t>
  </si>
  <si>
    <t>10.01.01.01.</t>
  </si>
  <si>
    <t>10.01.01.01.01.</t>
  </si>
  <si>
    <t>Ugdymo proceso ir aplinkos užtikrinimas savivaldybės ikimokyklinio ugdymo įstaigose</t>
  </si>
  <si>
    <t>Savivaldybės įstaigų skaičius</t>
  </si>
  <si>
    <t>vnt.</t>
  </si>
  <si>
    <t>Vaikų skaičius</t>
  </si>
  <si>
    <t>10.01.01.01.0101.</t>
  </si>
  <si>
    <t>Nevalstybinių įstaigų skaičius</t>
  </si>
  <si>
    <t>10.01.01.01.0102.</t>
  </si>
  <si>
    <t>10.01.01.01.0103.</t>
  </si>
  <si>
    <t>10.01.01.01.0105.</t>
  </si>
  <si>
    <t>10.01.01.01.0106.</t>
  </si>
  <si>
    <t>10.01.01.01.0108.</t>
  </si>
  <si>
    <t>10.01.01.01.0109.</t>
  </si>
  <si>
    <t>10.01.01.01.02.</t>
  </si>
  <si>
    <t>Ugdymo proceso ir aplinkos užtikrinimas savivaldybės pradinėje mokykloje ir mokyklose-darželiuose</t>
  </si>
  <si>
    <t>iš jų mokinių -</t>
  </si>
  <si>
    <t>10.01.01.01.03.</t>
  </si>
  <si>
    <t>Ugdymo proceso ir aplinkos užtikrinimas savivaldybės bendrojo ugdymo mokyklose</t>
  </si>
  <si>
    <t>Mokinių skaičius</t>
  </si>
  <si>
    <t>Įsigyta baldų</t>
  </si>
  <si>
    <t>10.01.01.01.0301.</t>
  </si>
  <si>
    <t>10.01.01.01.0302.</t>
  </si>
  <si>
    <t>10.01.01.01.0303.</t>
  </si>
  <si>
    <t>10.01.01.01.0304.</t>
  </si>
  <si>
    <t>10.01.01.01.0305.</t>
  </si>
  <si>
    <t>10.01.01.01.0307.</t>
  </si>
  <si>
    <t>10.01.01.01.0309.</t>
  </si>
  <si>
    <t>10.01.01.01.04.</t>
  </si>
  <si>
    <t>Ugdymo proceso ir aplinkos užtikrinimas neformaliojo vaikų švietimo įstaigose</t>
  </si>
  <si>
    <t>Įgyvendinta programų</t>
  </si>
  <si>
    <t>Suorganizuota renginių</t>
  </si>
  <si>
    <t>10.01.01.01.05.</t>
  </si>
  <si>
    <t>BĮ Klaipėdos pedagoginės psichologinės tarnybos veiklos organizavimo užtikrinimas</t>
  </si>
  <si>
    <t>10.01.01.01.06.</t>
  </si>
  <si>
    <t>BĮ Klaipėdos regos ugdymo centro veiklos užtikrinimas</t>
  </si>
  <si>
    <t>10.01.01.01.07.</t>
  </si>
  <si>
    <t>BĮ Klaipėdos pedagogų švietimo ir kultūros centro veiklos užtikrinimas</t>
  </si>
  <si>
    <t>Įvykdyta renginių</t>
  </si>
  <si>
    <t>Edukacinių renginių skaičius</t>
  </si>
  <si>
    <t>Išduota kvalifikacijos pažymėjimų</t>
  </si>
  <si>
    <t>10.01.01.01.08.</t>
  </si>
  <si>
    <t>Pedagogų kompetencijų tobulinimas, siekiant švietimo įstaigose įgyvendinti privalomas prevencines programas</t>
  </si>
  <si>
    <t>Mokytojų, dalyvaujančių projekte, skaičius</t>
  </si>
  <si>
    <t>Mokyklų, dalyvaujančių projekte, skaičius</t>
  </si>
  <si>
    <t>BĮ Klaipėdos Sendvario progimnazijos dalyvavimas projekte „Padarykime tai!“</t>
  </si>
  <si>
    <t>10.01.01.01.10.</t>
  </si>
  <si>
    <t>10.01.01.01.11.</t>
  </si>
  <si>
    <t>Ugdymo proceso užtikrinimas  biudžetinėje įstaigoje Klaipėdos sutrikusio vystymosi kūdikių namai</t>
  </si>
  <si>
    <t>10.01.01.01.12.</t>
  </si>
  <si>
    <t>Klaipėdos miesto bendrojo ugdymo mokyklų antrųjų klasių mokinių vežimo paslaugos mokyti plaukti užtikrinimas</t>
  </si>
  <si>
    <t>10.01.01.01.13.</t>
  </si>
  <si>
    <t>Ugdymo prieinamumo ir ugdymo formų įvairovės užtikrinimas</t>
  </si>
  <si>
    <t>Vaikų, kuriems iš dalies kompensuojamas ugdymas nevalstybinėse įstaigose</t>
  </si>
  <si>
    <t>10.01.01.01.14.</t>
  </si>
  <si>
    <t>Brandos egzaminų administravimas</t>
  </si>
  <si>
    <t>Organizuota egzaminų</t>
  </si>
  <si>
    <t>10.01.01.01.19.</t>
  </si>
  <si>
    <t>Įgyvendintas projektas</t>
  </si>
  <si>
    <t>10.01.01.01.20.</t>
  </si>
  <si>
    <t>Įsteigta klasių</t>
  </si>
  <si>
    <t>10.01.01.01.21.</t>
  </si>
  <si>
    <t>10.01.01.01.22.</t>
  </si>
  <si>
    <t>10.01.01.01.26.</t>
  </si>
  <si>
    <t>10.01.01.01.27.</t>
  </si>
  <si>
    <t>Įsteigta dėstytojų etatų</t>
  </si>
  <si>
    <t>10.01.01.02.</t>
  </si>
  <si>
    <t>10.01.01.02.02.</t>
  </si>
  <si>
    <t>10.01.01.02.03.</t>
  </si>
  <si>
    <t>10.01.01.02.06.</t>
  </si>
  <si>
    <t>10.01.01.03.</t>
  </si>
  <si>
    <t>Surengta prevencinių renginių</t>
  </si>
  <si>
    <t>Dalyvaujančių renginuose mokinių skaičius</t>
  </si>
  <si>
    <t>10.01.01.04.</t>
  </si>
  <si>
    <t>Miesto metodinių būrelių veiklos užtikrinimas</t>
  </si>
  <si>
    <t>10.01.01.04.01.</t>
  </si>
  <si>
    <t>10.01.01.05.</t>
  </si>
  <si>
    <t>Mokinių, aprūpintų elektroniniais pažymėjimais</t>
  </si>
  <si>
    <t>10.01.01.06.</t>
  </si>
  <si>
    <t>Mokinių registravimo į savivaldybės bendrojo ugdymo mokyklas informacinės sistemos sukūrimas ir priežiūra</t>
  </si>
  <si>
    <t>10.01.01.06.01.</t>
  </si>
  <si>
    <t>Administruojama informacinė sistema</t>
  </si>
  <si>
    <t>10.01.01.07.</t>
  </si>
  <si>
    <t>Savivaldybės švietimo įstaigų civilinės atsakomybės draudimas</t>
  </si>
  <si>
    <t>10.02.</t>
  </si>
  <si>
    <t xml:space="preserve">Gerinti ugdymo sąlygas ir aplinką   </t>
  </si>
  <si>
    <t>10.02.01.</t>
  </si>
  <si>
    <t xml:space="preserve">Renovuoti ugdymo įstaigų pastatus ir patalpas  </t>
  </si>
  <si>
    <t>10.02.01.01.</t>
  </si>
  <si>
    <t>Savivaldybės bendrojo ugdymo mokyklų pastatų ir aplinkos modernizavimas ir plėtra</t>
  </si>
  <si>
    <t>10.02.01.01.01.</t>
  </si>
  <si>
    <t>Klaipėdos Tauralaukio progimnazijos pastato (Klaipėdos g. 31) rekonstravimas į ikimokyklinio ir priešmokyklinio ugdymo įstaigą</t>
  </si>
  <si>
    <t>10.02.01.01.02.</t>
  </si>
  <si>
    <t>Modernių ugdymosi erdvių sukūrimas Klaipėdos miesto progimnazijose ir gimnazijose</t>
  </si>
  <si>
    <t>Modernizuota edukacinių erdvių (sporto salių)</t>
  </si>
  <si>
    <t>Įstaigų, kuriose įsigyta įranga ir baldai, skaičius</t>
  </si>
  <si>
    <t>10.02.01.01.05.</t>
  </si>
  <si>
    <t>Klaipėdos Prano Mašioto progimnazijos pastato, Varpų g. 3 rekonstravimas</t>
  </si>
  <si>
    <t>10.02.01.01.06.</t>
  </si>
  <si>
    <t>Atlikta statybos darbų. Užbaigtumas</t>
  </si>
  <si>
    <t>10.02.01.01.10.</t>
  </si>
  <si>
    <t>Sporto aikštynų atnaujinimas</t>
  </si>
  <si>
    <t>Parengta techninių projektų</t>
  </si>
  <si>
    <t>Atnaujintų sporto aikštynų skaičius</t>
  </si>
  <si>
    <t>10.02.01.01.13.</t>
  </si>
  <si>
    <t>BĮ Klaipėdos „Žaliakalnio“ gimnazijos pastato inžinerinių sistemų ir vidaus patalpų remontas</t>
  </si>
  <si>
    <t>10.02.01.01.14.</t>
  </si>
  <si>
    <t>10.02.01.02.</t>
  </si>
  <si>
    <t>Ikimokyklinio ugdymo mokyklų pastatų modernizavimas ir plėtra</t>
  </si>
  <si>
    <t>10.02.01.02.01.</t>
  </si>
  <si>
    <t>Energinio efektyvumo didinimas ikimokyklinio ugdymo įstaigose</t>
  </si>
  <si>
    <t>Atlikta modernizavimo darbų. Užbaigtumas</t>
  </si>
  <si>
    <t>10.02.01.02.02.</t>
  </si>
  <si>
    <t>Atlikta rangos darbų</t>
  </si>
  <si>
    <t>10.02.01.02.03.</t>
  </si>
  <si>
    <t>Klaipėdos lopšelio-darželio „Žiogelis“ pastato, Kauno g. 27 modernizavimas</t>
  </si>
  <si>
    <t>10.02.01.03.</t>
  </si>
  <si>
    <t>Neformaliojo švietimo įstaigų pastatų rekonstravimas</t>
  </si>
  <si>
    <t>10.02.01.03.01.</t>
  </si>
  <si>
    <t>Klaipėdos karalienės Luizės jaunimo centro (Puodžių g.) modernizavimas, plėtojant neformaliojo ugdymosi galimybes</t>
  </si>
  <si>
    <t>Atlikta sporto salės rekonstravimo darbų</t>
  </si>
  <si>
    <t>10.02.01.03.02.</t>
  </si>
  <si>
    <t>Jeronimo Kačinsko muzikos mokyklos (Statybininkų pr. 5) pastato energinio efektyvumo didinimas</t>
  </si>
  <si>
    <t>10.02.01.04.</t>
  </si>
  <si>
    <t>Mokymosi aplinkos pritaikymas švietimo reikmėms</t>
  </si>
  <si>
    <t>10.02.01.04.01.</t>
  </si>
  <si>
    <t>Lauko žaidimų aikštelių ir įrengimų atnaujinimas ikimokyklinėse ugdymo įstaigose</t>
  </si>
  <si>
    <t>10.02.01.04.02.</t>
  </si>
  <si>
    <t>Patalpų atnaujinimas užtikrinant atitiktį Higienos normoms</t>
  </si>
  <si>
    <t>10.02.01.04.06.</t>
  </si>
  <si>
    <t>Pritaikytų patalpų plotas</t>
  </si>
  <si>
    <t>kv.m</t>
  </si>
  <si>
    <t>10.02.01.04.08.</t>
  </si>
  <si>
    <t>Patalpų pritaikymas neįgalių vaikų ugdymui</t>
  </si>
  <si>
    <t>10.02.01.07.</t>
  </si>
  <si>
    <t>10.02.01.07.01.</t>
  </si>
  <si>
    <t>10.02.02.</t>
  </si>
  <si>
    <t>Aprūpinti švietimo įstaigas reikalingu inventoriumi</t>
  </si>
  <si>
    <t>10.02.02.01.</t>
  </si>
  <si>
    <t>10.02.02.01.01.</t>
  </si>
  <si>
    <t>Baldų ir įrangos atnaujinimas</t>
  </si>
  <si>
    <t>Įrengimų įsigijimas švietimo įstaigų maisto blokuose</t>
  </si>
  <si>
    <t>Įsigyta įrengimų</t>
  </si>
  <si>
    <t>Savivaldybės įstaigų, įsigijusių įrengimus, skaičius</t>
  </si>
  <si>
    <t>10.02.03.</t>
  </si>
  <si>
    <t xml:space="preserve">Organizuoti materialinį, ūkinį ir techninį ugdymo įstaigų aptarnavimą  </t>
  </si>
  <si>
    <t>10.02.03.01.</t>
  </si>
  <si>
    <t>Ugdymo įstaigų ūkinio aptarnavimo organizavimas</t>
  </si>
  <si>
    <t>10.02.03.01.01.</t>
  </si>
  <si>
    <t>10.02.03.01.02.</t>
  </si>
  <si>
    <t>Šilumos tinklų ir karšto vandens tinklų sistemų priežiūra</t>
  </si>
  <si>
    <t>10.02.03.01.03.</t>
  </si>
  <si>
    <t>Renovuota, suremontuota sistemų</t>
  </si>
  <si>
    <t>10.02.03.01.04.</t>
  </si>
  <si>
    <t>10.02.03.01.05.</t>
  </si>
  <si>
    <t>Kabelio tinklo ilgis</t>
  </si>
  <si>
    <t>km</t>
  </si>
  <si>
    <t>10.02.03.01.06.</t>
  </si>
  <si>
    <t>Saugoma įstaigų pastatų</t>
  </si>
  <si>
    <t>10.02.03.01.07.</t>
  </si>
  <si>
    <t>10.02.03.01.09.</t>
  </si>
  <si>
    <t>Įstaigų, kuriose atlikti elektros instaliacijos remonto darbai, skaičius</t>
  </si>
  <si>
    <t>10.02.03.01.12.</t>
  </si>
  <si>
    <t>Įstaigų, kurių pastatų stogai suremontuoti, skaičius</t>
  </si>
  <si>
    <t>10.02.03.01.13.</t>
  </si>
  <si>
    <t>Švietimo įstaigų lauko inžinerinių tinklų remontas</t>
  </si>
  <si>
    <t>Įstaigų, kurių inžineriniai tinklai suremontuoti, skaičius</t>
  </si>
  <si>
    <t>10.02.03.01.15.</t>
  </si>
  <si>
    <t>Švietimo įstaigų centralizuotas langų valymas</t>
  </si>
  <si>
    <t>10.02.03.02.</t>
  </si>
  <si>
    <t>10.02.03.02.01.</t>
  </si>
  <si>
    <t>10.02.03.03.</t>
  </si>
  <si>
    <t>10.02.03.03.01.</t>
  </si>
  <si>
    <t>Perkelta įstaigų</t>
  </si>
  <si>
    <t>10.02.03.04.</t>
  </si>
  <si>
    <t>Švietimo įstaigų energinių išteklių efektyvinimas</t>
  </si>
  <si>
    <t>10.02.03.04.01.</t>
  </si>
  <si>
    <t>Komunalinių paslaugų (šildymo, vandens, nuotekų) įsigijimas</t>
  </si>
  <si>
    <t>Šildoma įstaigų</t>
  </si>
  <si>
    <t>10.02.03.04.02.</t>
  </si>
  <si>
    <t>Aptarnaujamų įstaigų skaičius</t>
  </si>
  <si>
    <t>Atsinaujinančių energijos išteklių  panaudojimas švietimo įstaigų pastatuose</t>
  </si>
  <si>
    <t>10.02.03.04.04.</t>
  </si>
  <si>
    <t>Europos Sąjungos paramos lėšos</t>
  </si>
  <si>
    <t>Programų lėšų likučių laikinai laisvos lėšos  (apyvartos lėšų likutis)</t>
  </si>
  <si>
    <t>Įstaigų pajamos</t>
  </si>
  <si>
    <t>Pajamų imokų likutis</t>
  </si>
  <si>
    <t>Valstybės biudžeto specialiosios tikslinės dotacijos lėšos</t>
  </si>
  <si>
    <t>Kiti šaltiniai</t>
  </si>
  <si>
    <t>Valstybės biudžeto lėšos</t>
  </si>
  <si>
    <t>Savivaldybės biudžeto</t>
  </si>
  <si>
    <t>16</t>
  </si>
  <si>
    <t>UGDYMO PROCESO UŽTIKRINIMO PROGRAMA (NR. 10)</t>
  </si>
  <si>
    <r>
      <t>Asignavimų valdytoja</t>
    </r>
    <r>
      <rPr>
        <sz val="12"/>
        <rFont val="Times New Roman"/>
        <family val="1"/>
        <charset val="186"/>
      </rPr>
      <t xml:space="preserve"> –  Klaipėdos miesto savivaldybės administracija</t>
    </r>
  </si>
  <si>
    <t xml:space="preserve">2020 M.  KLAIPĖDOS MIESTO SAVIVALDYBĖS </t>
  </si>
  <si>
    <r>
      <rPr>
        <sz val="12"/>
        <rFont val="Times New Roman"/>
        <family val="1"/>
        <charset val="186"/>
      </rPr>
      <t>Iš</t>
    </r>
    <r>
      <rPr>
        <b/>
        <sz val="12"/>
        <rFont val="Times New Roman"/>
        <family val="1"/>
        <charset val="186"/>
      </rPr>
      <t xml:space="preserve"> 2020 m. planuotų </t>
    </r>
    <r>
      <rPr>
        <sz val="12"/>
        <rFont val="Times New Roman"/>
        <family val="1"/>
        <charset val="186"/>
      </rPr>
      <t xml:space="preserve">įgyvendinti 69 priemonių ir papriemonių (kurioms patvirtinti / skirti asignavimai):  </t>
    </r>
  </si>
  <si>
    <t xml:space="preserve"> (blogiau, nei planuota).</t>
  </si>
  <si>
    <t>BVS lėšos</t>
  </si>
  <si>
    <t>2020</t>
  </si>
  <si>
    <t>Bendrojo ugdymo mokyklų, kuriose įgyvendintos Bendrojo ugdymo mokyklų tinklo pertvarkos bendrojo plano priemonės</t>
  </si>
  <si>
    <t>7,00</t>
  </si>
  <si>
    <t>48,00</t>
  </si>
  <si>
    <t>50,00</t>
  </si>
  <si>
    <t>Įstaigų, kuriose užtikrintas ugdymo organizavimas, dalis</t>
  </si>
  <si>
    <t>100,00</t>
  </si>
  <si>
    <t>Per metus organizuotų neformaliojo vaikų ir suaugusiųjų švietimo programų (iš dalies finansuojamų)</t>
  </si>
  <si>
    <t>135,00</t>
  </si>
  <si>
    <t>91,00</t>
  </si>
  <si>
    <t>10.01.01.01.01.01.</t>
  </si>
  <si>
    <t>Ikimokyklinio ar priešmokyklinio ugdymo mokytojų, dirbančių vienoje ikimokyklinės įstaigos grupėje, etatų skaičiaus didinimas</t>
  </si>
  <si>
    <t>151</t>
  </si>
  <si>
    <t>47,00</t>
  </si>
  <si>
    <t>7 968,00</t>
  </si>
  <si>
    <t>8 611,00</t>
  </si>
  <si>
    <t>2020 m.: Faktiniai duomenys yra iš Mokinių registro</t>
  </si>
  <si>
    <t>3331</t>
  </si>
  <si>
    <t>Atleista mokytojų</t>
  </si>
  <si>
    <t>25,00</t>
  </si>
  <si>
    <t>24,00</t>
  </si>
  <si>
    <t>2020 m.: Iki 2020-12-31 atleisti 24 mokytojai iš 20 lopšelių-darželių.</t>
  </si>
  <si>
    <t>331</t>
  </si>
  <si>
    <t>Mokytojų, dirbančių vienoje ikimokyklinės įstaigos grupėje, etatų</t>
  </si>
  <si>
    <t>2,00</t>
  </si>
  <si>
    <t>321</t>
  </si>
  <si>
    <t>1413</t>
  </si>
  <si>
    <t>2</t>
  </si>
  <si>
    <t>323</t>
  </si>
  <si>
    <t>333</t>
  </si>
  <si>
    <t>141</t>
  </si>
  <si>
    <t>149</t>
  </si>
  <si>
    <t>32,00</t>
  </si>
  <si>
    <t>29,00</t>
  </si>
  <si>
    <t>1,00</t>
  </si>
  <si>
    <t>59,00</t>
  </si>
  <si>
    <t>27,00</t>
  </si>
  <si>
    <t>20,00</t>
  </si>
  <si>
    <t>31,00</t>
  </si>
  <si>
    <t>35,00</t>
  </si>
  <si>
    <t>46,00</t>
  </si>
  <si>
    <t>77,00</t>
  </si>
  <si>
    <t>17,00</t>
  </si>
  <si>
    <t>10.01.01.01.0110.</t>
  </si>
  <si>
    <t>4,00</t>
  </si>
  <si>
    <t>910,00</t>
  </si>
  <si>
    <t>869,00</t>
  </si>
  <si>
    <t>14214</t>
  </si>
  <si>
    <t>1 285,00</t>
  </si>
  <si>
    <t>378,00</t>
  </si>
  <si>
    <t>332</t>
  </si>
  <si>
    <t>3,00</t>
  </si>
  <si>
    <t>Psichologų etatų</t>
  </si>
  <si>
    <t>312</t>
  </si>
  <si>
    <t>334</t>
  </si>
  <si>
    <t>14101</t>
  </si>
  <si>
    <t>14123</t>
  </si>
  <si>
    <t>10.01.01.01.0201.</t>
  </si>
  <si>
    <t>49,00</t>
  </si>
  <si>
    <t>17 850,00</t>
  </si>
  <si>
    <t>18 319,00</t>
  </si>
  <si>
    <t>18 020,00</t>
  </si>
  <si>
    <t>324</t>
  </si>
  <si>
    <t>33,50</t>
  </si>
  <si>
    <t>2020 m.: Iki 2020-12-31 atleisti 48 mokytojai: 29 progimnazijose ir 19 mokytojų gimnazijose.</t>
  </si>
  <si>
    <t>311</t>
  </si>
  <si>
    <t>14511</t>
  </si>
  <si>
    <t>322</t>
  </si>
  <si>
    <t>3241</t>
  </si>
  <si>
    <t>169,00</t>
  </si>
  <si>
    <t>52,00</t>
  </si>
  <si>
    <t>45,00</t>
  </si>
  <si>
    <t>153,00</t>
  </si>
  <si>
    <t>136,00</t>
  </si>
  <si>
    <t>2020 m.: Faktiniai duomenys yra iš Mokinių registro.</t>
  </si>
  <si>
    <t>0,00</t>
  </si>
  <si>
    <t>647,00</t>
  </si>
  <si>
    <t>680,00</t>
  </si>
  <si>
    <t>39,00</t>
  </si>
  <si>
    <t>18,00</t>
  </si>
  <si>
    <t>6,00</t>
  </si>
  <si>
    <t>1311</t>
  </si>
  <si>
    <t>131</t>
  </si>
  <si>
    <t>10.01.01.01.0308.</t>
  </si>
  <si>
    <t>Stadionų ir sporto aikštynų (su dirbtinės žolės danga) priežiūros užtikrinimas</t>
  </si>
  <si>
    <t>5,00</t>
  </si>
  <si>
    <t>2020 m.: Stadionų priežiūros darbai vyko pagal planą. Vytauto Didžiojo gimnazija priežiūros paslaugą nusipirko pigiau, todėl liko nepanaudota lėšų.</t>
  </si>
  <si>
    <t>10.01.01.01.0310.</t>
  </si>
  <si>
    <t>BĮ Klaipėdos Gedminų progimnazijos dalyvavimo tarptautiniuose projektuose užtikrinimas</t>
  </si>
  <si>
    <t>Vykdoma projektų</t>
  </si>
  <si>
    <t>1418</t>
  </si>
  <si>
    <t>230,00</t>
  </si>
  <si>
    <t>140,00</t>
  </si>
  <si>
    <t>2020 m.: Įvyko 140 renginių. 20 renginių neįvyko dėl paskelbto karantino.</t>
  </si>
  <si>
    <t>5 560,00</t>
  </si>
  <si>
    <t>5 570,00</t>
  </si>
  <si>
    <t>90,00</t>
  </si>
  <si>
    <t>9 600,00</t>
  </si>
  <si>
    <t>13 572,00</t>
  </si>
  <si>
    <t>2020 m.: Aptarnautų asmenų skaičius padidėjo dėl to, kad tarnybos specialistai atliko 2 mikroklimato tyrimus miesto švietimo įstaigose (pirmasis tyrimas – 67 įstaigose, apklausti 2733 respondentai; antrasis tyrimas – 69 įstaigose, apklausti 2775 respondentai).</t>
  </si>
  <si>
    <t>23,00</t>
  </si>
  <si>
    <t>Įrengta papildomų darbo vietų</t>
  </si>
  <si>
    <t>2020 m.: Nuo kovo 1 d. įdarbinti 5 psichologai. Sukurtos 5 darbo vietos: nupirkti 5 kompiuteriai, įrengtas darbo kabinetas.</t>
  </si>
  <si>
    <t>150,00</t>
  </si>
  <si>
    <t>144,00</t>
  </si>
  <si>
    <t>2020 m.: Sumažėjo darželinio amžiaus vaikų skaičius (iki 77), mokinių skaičius (32), suaugusiųjų skaičius (iki 35), iš viso sumažėjo 6 ugdytiniais.</t>
  </si>
  <si>
    <t>2020 m.: Iki 2020-12-31 buvo atleistas 1 mokytojas.</t>
  </si>
  <si>
    <t>670,00</t>
  </si>
  <si>
    <t>717,00</t>
  </si>
  <si>
    <t>2020 m.: Įvyko 717 renginių, iš kurių 406 (56,6 proc.) vyko nuotoliniu būdu. Renginių skaičius padidėjo dėl to, kad dalyviams buvo patogu renginių laiką ir trukmę priderinti prie tiesioginio darbo laiko. Padidėjo renginių, kuriuose buvo mokoma dirbti įvairiomis skaitmeninėmis priemonėmis ir prisijungimo platformomis, skaičius.</t>
  </si>
  <si>
    <t>30,00</t>
  </si>
  <si>
    <t>13 000,00</t>
  </si>
  <si>
    <t>17 900,00</t>
  </si>
  <si>
    <t>2020 m.: Išduota 17 900 kvalifikacijos pažymėjimų. Kadangi per metus įvyko 50 renginių daugiau nei planuota, tai padidėjo ir kvalifikacijos renginių dalyvių, kuriems buvo išduoti kvalifikacijos pažymėjimai, skaičius. Seminarai buvo organizuojami nuotoliniu būdu, todėl dalyvių skaičius galėjo būti didesnis nei seminarų, vykdomų kontaktiniu būdu.</t>
  </si>
  <si>
    <t>110,00</t>
  </si>
  <si>
    <t>2020 m.: Priemonė įvykdyta.</t>
  </si>
  <si>
    <t>10.01.01.01.09./2018</t>
  </si>
  <si>
    <t>133</t>
  </si>
  <si>
    <t>1 215,00</t>
  </si>
  <si>
    <t>1 222,00</t>
  </si>
  <si>
    <t>2020 m.: Faktiniai duomenys iš Mokinių registro</t>
  </si>
  <si>
    <t>1 990,00</t>
  </si>
  <si>
    <t>1 958,00</t>
  </si>
  <si>
    <t>507,00</t>
  </si>
  <si>
    <t>2020 m.: Įstaigos 2020-09-01 pateikė faktinį lankančių vaikų, kuriems priklauso kompensacija, skaičių. Pagal tai bus planuojamos lėšos ir 2021 metams.</t>
  </si>
  <si>
    <t>Mokytojų padėjėjų</t>
  </si>
  <si>
    <t>11,00</t>
  </si>
  <si>
    <t>10.01.01.01.17.</t>
  </si>
  <si>
    <t>Mokytojų persikvalifikavimo studijų išlaidų apmokėjimas</t>
  </si>
  <si>
    <t>98,00</t>
  </si>
  <si>
    <t>90,98</t>
  </si>
  <si>
    <t>210,00</t>
  </si>
  <si>
    <t>123,00</t>
  </si>
  <si>
    <t>8,00</t>
  </si>
  <si>
    <t>Sporto klasių veiklos užtikrinimas (iki 2019 m. Sporto klasių steigimas)</t>
  </si>
  <si>
    <t>120,00</t>
  </si>
  <si>
    <t>124,00</t>
  </si>
  <si>
    <t>155</t>
  </si>
  <si>
    <t>Programoje dalyvaujančių vaikų</t>
  </si>
  <si>
    <t>Mokytojų, įgijusių kompetencijas</t>
  </si>
  <si>
    <t>15,00</t>
  </si>
  <si>
    <t>2020 m.: Dėl ekstremalios situacijos mokytojų kompetencijų tobulinimas perkeltas į 2021 m.</t>
  </si>
  <si>
    <t>2,15</t>
  </si>
  <si>
    <t>Įsigyta laboratorinės įrangos ir priemonių</t>
  </si>
  <si>
    <t>51,00</t>
  </si>
  <si>
    <t>Neformaliojo vaikų ir suaugusiųjų švietimo organizavimas</t>
  </si>
  <si>
    <t>Ugdymo proceso užtikrinimas biudžetinėse sporto mokyklose</t>
  </si>
  <si>
    <t>3 054,00</t>
  </si>
  <si>
    <t>5 600,00</t>
  </si>
  <si>
    <t>5 801,00</t>
  </si>
  <si>
    <t>2020 m.: NVŠ programose dalyvavo 5801 vaikas. Faktiniai duomenys yra iš mokinių registro.</t>
  </si>
  <si>
    <t>141160</t>
  </si>
  <si>
    <t>Programų skaičius</t>
  </si>
  <si>
    <t>14116</t>
  </si>
  <si>
    <t>10.01.01.03.01.</t>
  </si>
  <si>
    <t>540,00</t>
  </si>
  <si>
    <t>2020 m.: Mieste veikė 39 mokomųjų dalykų metodiniai būreliai, kurių  pirmininkai dirbo nuo sausio iki birželio ir nuo rugsėjo iki gruodžio. Apmokėjimas už vadovavimą metodiniams būreliams vyko du kartus per metus (birželio ir gruodžio mėn.).</t>
  </si>
  <si>
    <t>10.01.01.01.23.</t>
  </si>
  <si>
    <t>5 800,00</t>
  </si>
  <si>
    <t>6 205,00</t>
  </si>
  <si>
    <t>2020 m.: Įsigyti 6205 elektroninių mokinio pažymėjimai. Pažymėjimų įsigyta daugiau nei numatyta dėl naujų mokinių atvykimo mokslo metų eigoje ir moksleivių migravimo į kitas miesto bendrojo ugdymo įstaigas. Dalis lėšų  nepanaudota dėl sudėtingų karantino sąlygų ir darbo nuotoliniu būdu.</t>
  </si>
  <si>
    <t>2020 m.: Sistema administruojama pagal 2018 m. balandžio 3 d. pasirašytą paslaugų sutartį.</t>
  </si>
  <si>
    <t>10.01.01.07.01.</t>
  </si>
  <si>
    <t>92,00</t>
  </si>
  <si>
    <t>2020 m.: Apmokėjimas įvykdytas pagal pasirašytą sutartį.</t>
  </si>
  <si>
    <t>Atnaujintų savivaldybės bendrojo ugdymo mokyklų sporto aikštynų</t>
  </si>
  <si>
    <t>0,30</t>
  </si>
  <si>
    <t>2020 m.: Hermano Zudermano gimnazijos sporto aikštyno statybos atnaujinimo darbai pradėti spalio mėn. 2020 m.  atlikta ~ 30 proc. darbų.</t>
  </si>
  <si>
    <t>Savivaldybės įstaigos, kuriose patalpos pritaikytos neįgalių vaikų ugdymui</t>
  </si>
  <si>
    <t>2020 m.: Įrengti pandusai Klaipėdos vaikų laisvalaikio centro klubuose: „Liepsnelė“, „Saulutė“, „Švyturys“ ir „Žuvėdra“.</t>
  </si>
  <si>
    <t>Savivaldybės ikimokyklinio ugdymo įstaigų, kuriose atnaujintos lauko aikštelės ir įrenginiai</t>
  </si>
  <si>
    <t>Bendrojo ugdymo mokyklų, kuriose įrengtos išmaniosios klasės</t>
  </si>
  <si>
    <t>12,00</t>
  </si>
  <si>
    <t>2020 m.: Techninis projektas parengtas, statybą leidžiantis dokumentas gautas 2020-12-21.</t>
  </si>
  <si>
    <t>2020 m.: Baigtas „Sendvario“ progimnazijos sporto salės remontas, įsigyti baldai sporto salei su prieigomis, sporto  inventorius. 2020-06-23 pasirašyta Rangos sutartis „Varpo“ gimnazijos ir Liudviko Stulpino progimnazijos  sporto salių remonto darbams. Rangos darbų atlikimas pagal sutartį vėluoja, bus skaičiuojami delspinigiai. Taip pat atidėti baldų ir įrangos pirkimai dėl nebaigtų remonto darbų. Įsigytos ir pakabintos švieslentės „Varpo“ gimnazijos ir Liudviko Stulpino progimnazijos sporto salėms (sporto salių sienos baigtos tvarkyti).</t>
  </si>
  <si>
    <t>SB(ES-VB)</t>
  </si>
  <si>
    <t>132</t>
  </si>
  <si>
    <t>1321</t>
  </si>
  <si>
    <t>Atliktas stogo remontas, 700 kv. m</t>
  </si>
  <si>
    <t>2020 m.: 2020-06-04 pasirašyta Rangos sutartis, pagal kurią parengtas techninis projektas, atlikti dalies stogo remonto darbų (800 kv. m), įrengta rekuperacinė vėdinimo sistema sporto salėje.</t>
  </si>
  <si>
    <t>14114</t>
  </si>
  <si>
    <t>14,00</t>
  </si>
  <si>
    <t>2020 m.: 2019-06-19 pasirašyta Rangos sutartis, darbų trukmė 16 mėn. su galimybe darbų atlikimo terminą pratęsti 2 mėn. Dėl sklype esančių neiškeltų inžinerinių tinklų 2019-09-09 pasirašytas papildomas susitarimas dėl sutarties vykdymo sustabdymo ir atnaujintas tik 2020-05-11. Šiuo metu vykdomi grunto išvežimo darbai, polių įrengimas, D1 kelio sankasos įrengimas, automobilių aikštelių pagrindų įrengimas, apšvietimo tinklų įrengimas, laikančiojo konstrukcinio karkaso įrengimo darbai.</t>
  </si>
  <si>
    <t>2020 m.: 2020-09-14 pasirašyta Hermano Zudermano sporto aikštyno statybos darbų sutartis. Darbai pradėti spalio mėn. 2020 m.  atlikta ~ 30 proc. darbų.</t>
  </si>
  <si>
    <t>10.02.01.01.11.</t>
  </si>
  <si>
    <t>Klaipėdos Vytauto Didžiojo gimnazijos S. Daukanto g. 31 pastato patalpų einamasis remontas bei vėdinimo sistemos įrengimas senajame pastato korpuse</t>
  </si>
  <si>
    <t>Atlikta rekonstravimo darbų</t>
  </si>
  <si>
    <t>2020 m.: Atlikti stogo dalies keitimo darbai, vidaus patalpų, elektros instaliacijos remonto darbai bei papildomi balkono remonto darbai.</t>
  </si>
  <si>
    <t>Įrengta vėdinimo sistema</t>
  </si>
  <si>
    <t>2020 m.: Atlikti ventiliacinės sistemos remonto darbai.</t>
  </si>
  <si>
    <t>70,00</t>
  </si>
  <si>
    <t>2020 m.: 2020-10-01 nutraukta sutartis su rangovu, vykdančiu Klaipėdos „Žaliakalnio“ gimnazijos pastato inžinerinių sistemų ir vidaus patalpų remonto darbus. Pagal rangos sutartį buvo atlikta  apytiksliai 56 proc. darbų. Nupirkta likusių ir papildomų remonto darbų kiekių nustatymo paslauga šiame objekte, pritaikant 2020-03-23 preliminariosios sutarties įkainių darbus, atsižvelgiant į atliktos statinio dalinės ekspertizės išvadas. 2020-11-03 pasirašyta nauja rangos sutartis dėl remonto darbų. Pagal šią sutartį iki metų pabaigos atlikta apie 20 proc. darbų. 2020-11-18 pasirašyta sutartis dėl šilumos sistemos montavimo darbų. Darbai atlikti. 2020-11-23 pasirašyta sutartis dėl šilumos punkto montavimo darbų. Darbai atlikti. Pagal 2020-12-18 Tiekėjų apklausos pažymą  nupirkta šilumos tiekimo apskaitos projekto paslauga. Darbų pabaiga numatoma 2021 m. II ketv.</t>
  </si>
  <si>
    <t>Sporto salių atnaujinimas</t>
  </si>
  <si>
    <t>2020 m.: Parengtas Klaipėdos „Versmės“ progimnazijos sporto salės atnaujinimo projektas. Darbams 2020 m. nebuvo skirta lėšų.</t>
  </si>
  <si>
    <t>10,00</t>
  </si>
  <si>
    <t>Ikimokyklinio ir priešmokyklinio ugdymo prieinamumo didinimas Klaipėdos mieste</t>
  </si>
  <si>
    <t>2020 m.: Parengtas techninis projektas, statybos leidimas gautas 2020-02-05.</t>
  </si>
  <si>
    <t>2020 m.: Atlikti visi statybos darbai pagal pasirašytą rangos darbų sutartį 2019-11-04 (ir sudarytus papildomus susitarimus), ruošiama techninė dokumentacija objekto pridavimui.</t>
  </si>
  <si>
    <t>80,00</t>
  </si>
  <si>
    <t>60,00</t>
  </si>
  <si>
    <t>2020 m.: 2020-04-29 pasirašyta Rangos sutartis. Kultūros paveldo statinio modernizavimo metu susidurta su nenumatytomis problemomis: 1) nuardžius sporto salės stogo dangą, gegnes, pakabinamą lubų konstrukciją, paaiškėjo, kad esama medinė santvarinė konstrukcija yra vietomis supuvusi. Reikėjo atlikti santvarinės konstrukcijos, turinčios vertingųjų savybių, remonto darbus; 2) pradėjus žemės darbus lauko buitinių nuotekų įrengimui, atkasta kapavietė, trukdanti kloti nuotekų vamzdžius, todėl buvo keičiama buitinių nuotekų įrengimo trasa. Tai pakoregavo planuotų darbų eigą ir terminus. Dėl minėtų nenumatytų aplinkybių planuojamas Rangos sutarties pratęsimas iki 2021-04-07.</t>
  </si>
  <si>
    <t>Įsigyta įrangos</t>
  </si>
  <si>
    <t>2020 m.: Įrangą planuojama įsigyti atlikus rangos darbus.</t>
  </si>
  <si>
    <t>26,00</t>
  </si>
  <si>
    <t>2020 m.: Suplanuotos lėšos panaudotos, patalpos atnaujintos.</t>
  </si>
  <si>
    <t>Klaipėdos "Gilijos" pradinei mokyklai perduotų patalpų pritaikymas mokyklos reikmėms</t>
  </si>
  <si>
    <t>10.02.01.04.09.</t>
  </si>
  <si>
    <t>Klaipėdos lopšelio-darželio "Žuvėdra" patalpų pritaikymas ugdymo reikmėms</t>
  </si>
  <si>
    <t>10.02.01.05.</t>
  </si>
  <si>
    <t>Vėdinimo ir kondicionavimo sistemų egzaminų centruose įrengimas</t>
  </si>
  <si>
    <t>10.02.01.05.01.</t>
  </si>
  <si>
    <t>Egzaminų centrų skaičius</t>
  </si>
  <si>
    <t>2020 m.: Įvykdyta pagal planą.</t>
  </si>
  <si>
    <t>390,00</t>
  </si>
  <si>
    <t>2020 m.: Tiekėjas pagal pasirašytą sutartį prievoles turėjo atlikti iki 2020-09-29. Modulinės ikimokyklinio ugdymo grupės nėra išnuomotos, kadangi tiekėjas vėluoja atlikti pagal sutartį jam priskirtus įsipareigojimus. Kadangi darbai buvo pradėti metų pabaigoje, darbus atlikti iš dalies trukdė ir klimatinės sąlygos. Tiekėjui už vėlavimą skaičiuojami delspinigiai.</t>
  </si>
  <si>
    <t>Įrengta nuomai grupių ikimokykliniam ir priešmokykliniam ugdymui</t>
  </si>
  <si>
    <t>Išnuomota modulinių kompleksų</t>
  </si>
  <si>
    <t>10.02.02.01.02.</t>
  </si>
  <si>
    <t>Klaipėdos „Žaliakalnio“ gimnazijos baldų ir įrangos atnaujinimas</t>
  </si>
  <si>
    <t>573,00</t>
  </si>
  <si>
    <t>2020 m.: Įstaiga įsigijo visus planuotus baldus (mokyklinius suolus, kėdes, valgyklos baldus, stelažus, konferencines kėdes, spintas, seifus) pagal planą.</t>
  </si>
  <si>
    <t>10.02.02.01.03.</t>
  </si>
  <si>
    <t>13,00</t>
  </si>
  <si>
    <t>19,00</t>
  </si>
  <si>
    <t>2020 m.: Virtuvės įrengimus įsigijo šios įstaigos: lopšeliai-darželiai: „Alksniukas“ (1vnt.), „Čiauškutė“ (2 vnt.), „Rūta“ (2 vnt.), „Ąžuoliukas“ (3 vnt.), „Eglutė“ (2 vnt.), „Gintarėlis“ (3 vnt.), „Pumpurėlis“ (4 vnt.), „Radastėlė“ (1 vnt.), „Želmenėlis“ (1 vnt.), „Žemuogėlė“ (1 vnt.), „Žiburėlis“ (1 vnt.), „Saulutės“ mokykla-darželis (3 vnt.), „Žilvitis“ (2 vnt.).</t>
  </si>
  <si>
    <t>10.02.02.02.</t>
  </si>
  <si>
    <t>Švietimo paslaugų modernizavimo 2018–2021 m. programos priemonių įgyvendinimas</t>
  </si>
  <si>
    <t>10.02.02.02.01.</t>
  </si>
  <si>
    <t>Įsigyta kompiuterių</t>
  </si>
  <si>
    <t>2020 m.: Jūrų kadetų mokykla įsigijo 5  kompiuterius ir  pamokų tvarkaraščių kūrimo kompiuterinės programos licenciją.</t>
  </si>
  <si>
    <t>10.02.02.02.02.</t>
  </si>
  <si>
    <t>10.02.02.02.03.</t>
  </si>
  <si>
    <t>Neformaliojo švietimo ir pagalbos įstaigų aprūpinimas mobilia-interaktyvia įranga</t>
  </si>
  <si>
    <t>22,00</t>
  </si>
  <si>
    <t>10.02.03.01.0101.</t>
  </si>
  <si>
    <t>Atliktas patalpų remontas</t>
  </si>
  <si>
    <t>2020 m.: Atlikti šilumos sistemos iškėlimo, montavimo ir apdailos darbai. Koridorių remontą Jūrų kadetų mokykla atliko pati.</t>
  </si>
  <si>
    <t>93,00</t>
  </si>
  <si>
    <t>2020 m.: Paslaugos atliekama pagal planą.</t>
  </si>
  <si>
    <t>1551</t>
  </si>
  <si>
    <t>37,70</t>
  </si>
  <si>
    <t>2020 m.: Paslauga atliekama pagal planą.</t>
  </si>
  <si>
    <t>101,00</t>
  </si>
  <si>
    <t>10.02.03.01.08.</t>
  </si>
  <si>
    <t>Mokymo įstaigų vidaus patalpų remontas po šiluminės renovacijos</t>
  </si>
  <si>
    <t>Įstaigų, kuriose suremontuotos patalpos, skaičius</t>
  </si>
  <si>
    <t>9,00</t>
  </si>
  <si>
    <t>33,00</t>
  </si>
  <si>
    <t>2020 m.: Paslauga vykdoma pagal planą - langai buvo valomi du kartus.</t>
  </si>
  <si>
    <t>10.02.03.01.17.</t>
  </si>
  <si>
    <t>Dušinių prie mokyklų sporto salių atnaujinimas EUROPIADOS pasiruošimui</t>
  </si>
  <si>
    <t>2020 m.: Darbai įvykdyti 3 įstaigose: „Pajūrio“ ir P. Mašioto progimnazijose, H. Zudermano gimnazijoje.</t>
  </si>
  <si>
    <t>10.02.03.01.18.</t>
  </si>
  <si>
    <t>Sporto aikštynų priežiūra</t>
  </si>
  <si>
    <t>Prižiūrima aikštynų</t>
  </si>
  <si>
    <t>2020 m.: Atlikti „Verdenės“ progimnazijos, Kretingos g. 22, sporto aikštyno futbolo aikštės  apšvietimo priežiūros darbai (prožektorių pritvirtinimas, sureguliavimas, paskirstymo skydų profilaktika). Likusi suma sutaupyta po viešųjų pirkimų.</t>
  </si>
  <si>
    <t>300,00</t>
  </si>
  <si>
    <t>327,00</t>
  </si>
  <si>
    <t>2020 m.: Vaikų vežiojimas vyko pagal patvirtintą ugdymo procesą. Vaikų skaičius, kuriems kompensuojamos pavėžėjimo išlaidos, nuolat kinta dėl vaikų sergamumo, tėvų vežiojimo ir kitų priežasčių. Lėšų likutis susidarė dėl ugdymo proceso vykdymo nuotoliniu būdu metų III ketvirtį.</t>
  </si>
  <si>
    <t>79,00</t>
  </si>
  <si>
    <t>2020 m.: Eksploatacijos paslauga vykdoma pagal planą.</t>
  </si>
  <si>
    <t>Patvirtintas finansų auditas</t>
  </si>
  <si>
    <t>10.02.03.05.</t>
  </si>
  <si>
    <t>10.02.03.05.01.</t>
  </si>
  <si>
    <t>2020 m.: Priemonė vykdoma pagal planą. Sutaupyta dėl palankių oro sąlygų.</t>
  </si>
  <si>
    <t>Europos Sąjungos paramos lėšos SB(VB)</t>
  </si>
  <si>
    <t>2020 m.: 96 NVŠ teikėjai pateikė prašymus vykdyti programas.</t>
  </si>
  <si>
    <t>2020 m.: Buvo vykdomos  102 vasaros poilsio programos.</t>
  </si>
  <si>
    <t>2020 m.: Įrengtos išmaniosios klasės Simono Dacho, Gedminų, Maksimo Gorkio, Prano Mašioto, Martyno Mažvydo, „Santarvės“, Sendvario, Liudviko Stulpino, „Verdenės“, „Versmės“, Gabijos“, „Pajūrio“, „Saulėtekio“, Vitės, „Smeltės“, Tauralaukio, „Vyturio“  progimnazijose, Baltijos ir Vydūno gimnazijose bei „Gilijos“ pradinėje mokykloje. Įsigyti nešiojamieji kompiuteriai (20 vnt.), planšetiniai kompiuteriai (550 vnt.) ir jų krovimo stotys (20 vnt.), interaktyvūs ekranai (20 vnt.) ir bevielio tinklo prieigos įrenginiai (19 vnt.).</t>
  </si>
  <si>
    <t xml:space="preserve">2020 m.: Su Regos ugdymo centru 48 </t>
  </si>
  <si>
    <t>neįvykdyta –</t>
  </si>
  <si>
    <t xml:space="preserve">2020 m.: ŠVIS‘e skaičiuojama vieną kartą per metus 2020 m. spalio 1 d. 5 sporto mokyklose buvo  registruoti  3054  mokiniai. </t>
  </si>
  <si>
    <t xml:space="preserve">2020 m.: Faktiniai duomenys yra iš Mokinių registro </t>
  </si>
  <si>
    <t>Klaipėdos miesto savivaldybės 2020–2022 m. 
strateginio veiklos plano įgyvendinimo            2020 m. ataskaitos dalis</t>
  </si>
  <si>
    <t>Švietimo skyrius, Planavimo ir analizės skyrius, Tarpinstitucinio koordinavimo grupė, Informacinių technologijų skyrius, Projektų skyrius, Turto valdymo skyrius,  Statybos ir infrastruktūros plėtros skyrius, Statinių administravimo skyrius, vyriausiasis patarėjas G. Dovidaitis.</t>
  </si>
  <si>
    <t>Efekto / Rezultato / Produkto</t>
  </si>
  <si>
    <t>Ugdymo proceso ir aplinkos užtikrinimas nevalstybinėse ikimokyklinio ugdymo įstaigose – VšĮ „Mažųjų pasaulis“</t>
  </si>
  <si>
    <t>Ugdymo proceso ir aplinkos užtikrinimas nevalstybinėse ikimokyklinio ugdymo įstaigose – VšĮ „Jūrų žvaigždutė“</t>
  </si>
  <si>
    <t>Ugdymo proceso ir aplinkos užtikrinimas nevalstybinėse ikimokyklinio ugdymo įstaigose  – VšĮ „Pasakėlė“</t>
  </si>
  <si>
    <t>Ugdymo proceso ir aplinkos užtikrinimas nevalstybinėse ikimokyklinio ugdymo įstaigose – UAB „Vaikų giraitė“</t>
  </si>
  <si>
    <t>Ugdymo proceso ir aplinkos užtikrinimas nevalstybinėse ikimokyklinio ugdymo įstaigose – VšĮ „Niektauza“</t>
  </si>
  <si>
    <t>Ugdymo proceso ir aplinkos užtikrinimas nevalstybinėse ikimokyklinio ugdymo įstaigose – VšĮ „Saulė ir mėnulis“</t>
  </si>
  <si>
    <t>Ugdymo proceso ir aplinkos užtikrinimas nevalstybinėse ikimokyklinio ugdymo įstaigose – VšĮ „Šv. Pranciškaus paukšteliai“</t>
  </si>
  <si>
    <t>Ugdymo proceso ir aplinkos užtikrinimas nevalstybinėse ikimokyklinio ugdymo įstaigose – VšĮ „Mažieji lazeriukai“</t>
  </si>
  <si>
    <t>Ugdymo proceso ir aplinkos užtikrinimas nevalstybinėse ikimokyklinio ugdymo įstaigose – VšĮ „Laimingų vaikų pilis“</t>
  </si>
  <si>
    <t>Ugdymo proceso ir aplinkos užtikrinimas nevalstybinėse bendrojo ugdymo mokyklose – VšĮ „Vaivorykštės tako“ gimnazija</t>
  </si>
  <si>
    <t>Ugdymo proceso ir aplinkos užtikrinimas nevalstybinėse bendrojo ugdymo mokyklose – VšĮ daugiafunkcinis centras-pagrindinė mokykla „Svetliačiok“</t>
  </si>
  <si>
    <t>Ugdymo proceso ir aplinkos užtikrinimas nevalstybinėse bendrojo ugdymo mokyklose – VšĮ Klaipėdos „Universa Via“ tarptautinė mokykla</t>
  </si>
  <si>
    <t>Ugdymo proceso ir aplinkos užtikrinimas nevalstybinėse bendrojo ugdymo mokyklose – VšĮ Klaipėdos licėjus</t>
  </si>
  <si>
    <t>Ugdymo proceso ir aplinkos užtikrinimas nevalstybinėse bendrojo ugdymo mokyklose – VšĮ Pajūrio Valdorfo bendruomenė</t>
  </si>
  <si>
    <t>Ugdymo proceso ir aplinkos užtikrinimas nevalstybinėse bendrojo ugdymo mokyklose – UAB Mažasis Klaipėdos licėjus</t>
  </si>
  <si>
    <t>Biudžetinės įstaigos Klaipėdos jūrų kadetų mokyklos steigimas – ugdymo proceso ir aplinkos užtikrinimas</t>
  </si>
  <si>
    <t>Universitetinių klasių veiklos organizavimas (2020 m. – Baltijos ir „Žemynos“ gimnazijose)</t>
  </si>
  <si>
    <t>Savivaldybės biudžetinės įstaigos bandomojo energijos vartojimo efektyvumo didinimo projekto įgyvendinimas (2020 m. – l.-d. „Klevelis“ kap. remontas)</t>
  </si>
  <si>
    <t>Biudžetinės įstaigos Klaipėdos jūrų kadetų mokyklos steigimas – patalpų pritaikymas</t>
  </si>
  <si>
    <t>Europos Sąjungos paramos lėšos (savivaldybės biudžetas)</t>
  </si>
  <si>
    <t>Pertvarkos plano priemonės 2020 m. įgyvendintos šiose mokyklose: VšĮ „Universa Via“ ir Klaipėdos licėjuje pradėtos įgyvendinti tarptautinio bakalaureato programos; Baltijos gimnazijoje – formuojamos universitetinės inžinerinio ugdymo klasės; „Aukuro“ gimnazijoje – suformuotos pagrindinio ugdymo II dalies ir vidurinio ugdymo kartu su sporto ugdymu klasės. Planuotos pertvarkos priemonės neįgyvendintos 3 bendrojo ugdymo mokyklose: „Žemynos“, Vytauto Didžiojo gimnazijoje (nesuformuotos universitetinės klasės), Tauralaukio progimnazijoje (dėl nepastatytos naujos mokyklos šiaurinėje miesto dalyje).</t>
  </si>
  <si>
    <t xml:space="preserve">2020 m.: Padidėjo specialiųjų poreikių vaikų skaičius ir teikiamos pagalbos teikimo apimtis Klaipėdos mieste. Taip pat Pedagoginės psichologinės tarnybos ikimokyklinės psichologinės pagalbos skyriuje padidėjo pagalbą teikiančių specialistų skaičius – nuo kovo 1 d. įdarbinti 5 psichologai. 
</t>
  </si>
  <si>
    <t xml:space="preserve">2020 m.: 2 auklėtojų etatai nuo rugsėjo 1 d. įvesti 8 ikimokyklinio ugdymo įstaigose: lopšeliuose-darželiuose  „Alksniukas“, „Ąžuoliukas“, „Klevelis“, „Obelėlė“, „Puriena“, „Sakalėlis“, „Želmenėlis“ ir „Varpelio“ mokykloje-darželyje. </t>
  </si>
  <si>
    <t>2020 m.: „Gilijos“ pradinė mokykla ir 3 mokyklos-darželiai</t>
  </si>
  <si>
    <t>2020 m.: Iki 2020-12-31 atleista Marijos Montessori mokykla-darželis 1 mokytoja ir 2 mokytojai „Gilijos“ pradinėje mokykloje.</t>
  </si>
  <si>
    <t>2020 m.: Iš viso 32 bendrojo ugdymo mokyklose – 18319, „Gilijos“ pradinėje – 544, 3 mokyklose-darželiuose – 325. Iš viso 36 bendrojo ugdymo įstaigose – 19188 mokiniai.</t>
  </si>
  <si>
    <t>2020 m.: 32 – be „Gilijos“ pradinės mokyklos ir 3 mokyklų-darželių.</t>
  </si>
  <si>
    <t xml:space="preserve">2020 m.: Šioje programoje dalyvauja 6 mokyklos („Gilijos“ pradinė mokykla, „Versmės“, Simono Dacho, „Verdenės“ ir „Pajūrio“ progimnazijos, H. Zudermano gimnazija). Dėl COVID-19 ne visos veiklos vyko pagal nustatytą grafiką, veiklos ir  nepanaudotų lėšų likutis perkeltas į 2021 m. </t>
  </si>
  <si>
    <t xml:space="preserve">2020 m.: Įvykdyti 2 projektai („Gyvoji mokykla: erdvė kurti, augti, būti“ ir „Žmogaus teisės: pažadinkime pilietiškumą“), dėl pandemijos likusiųjų dviejų projektų („Mokausi kitaip!“ ir „Europos istorijos lobiai“) baigiamosios veiklos bus įvykdytos 2021 m. 2020 m. projektų įgyvendinimui buvo skirta 105 tūkst. Eur ES ir 20,9 tūkst. Eur apyvartinių SB(ES) lėšų. </t>
  </si>
  <si>
    <t>2020 m.: Iš viso 6 įstaigose – 4670 vaikų, AJE (atviros jaunimo erdvės) – 300 jaunuolių, AVE (atviros vaikų erdvės) – 500 vaikų. Bendras vaikų skaičius – 5570.</t>
  </si>
  <si>
    <t>2020 m.: Suorganizuota 30 renginių, iš kurių 25 – nuotoliniu būdu. Dėl ekstremalios situacijos paskelbimo ir vykdant Sveikatos apsaugos ministro – valstybės lygio ekstremalios situacijos operacijų vadovo sprendimus, renginiai (praktiniai mokymai, projektai, parodos) nuo kovo mėn. buvo organizuoti nuotoliniu būdu.</t>
  </si>
  <si>
    <t xml:space="preserve">Projektas vyko 2016-2018 m. Pietų Baltijos šalių ekologiniame projekte dalyvavo 45 7–8 klasių mokiniai. 2019 m. po visų atskaitų pateikimo VRM pervedė likutį 7,5 proc. 2020 m. parodytos lėšos buvo atkeltos neišleistos lėšos iš 2019 m. </t>
  </si>
  <si>
    <t>2020 m.: Dėl įvesto karantino ne visos planuotos lėšos panaudotos, nes ugdymo įstaigose nebuvo vykdomas ugdymo procesas. Lankomumas – kovo mėn. sudarė 27,1 %, balandžio mėn. - 0 %, gegužės mėn. – 4,0 %, lapkričio mėn. – 49,2 %, gruodžio mėn. – 54,9 % (2020 m. vidutinis lankomumas – 49,1 %).</t>
  </si>
  <si>
    <t>2020 m.: Mokytojų padėjėjai dirba VšĮ „Svetliačiok“ – 8 (papildomas etatas įvestas nuo 2020-09-01), VšĮ „Vaivorykštės takas“ – 2, Klaipėdos licėjuje – 1.</t>
  </si>
  <si>
    <t>2020 m.: Dėl pandemijos 2020 m. dalis veiklų ir lėšų perkeltos į 2021 m. Projekto veiklos pratęstos iki 2021 m. balandžio 3 d. 2020 m. rugsėjo 14 d. įvyko terapinių edukacinių erdvių japoniško sodo stiliumi atidarymas ir pristatymas visuomenei. 2020 m. rugsėjo 16–17 d. organizuotas nuotolinis tarptautinis seminaras „Socialinės įtraukties priemonių įvairinimas ir keitimasis patirtimi“, kuriame dalyvavo projekto partneriai. Atlikti sodo parengimo žiemai darbai: sutvarkyti želdiniai, durpėmis apsaugoti augalai ir kt.</t>
  </si>
  <si>
    <t>2020 m.: Per metus atvykusių mokinių 4 daugiau negu išvykusių. Per karantiną 105 ugdymo dienų mokiniai nebuvo maitinami ir vežiojami į treniruotes.</t>
  </si>
  <si>
    <t>2020 m.: Tarptautinės bakalaureato (IB)  programos akredituotos 1–4, 11–12 klasių mokiniams. Lietuvos Rerpublikos švietimo, mokslo ir sporto ministro sutikimą vykdyti IB programą 11–12 kl. gavo Klaipėdos licėjus, 1–4 kl. – VšĮ „Universa Via“ tarptautinė mokykla.</t>
  </si>
  <si>
    <t>2020 m.: Baltijos gimnazijoje įsteigta 2,15 etato. „Žemynos“ gimnazijoje 2020 m. nepatvirtintas universitetinių klasių modelis. Šį modelį planuojama patvirtinti nuo 2021 m. rugsėjo 1 d.</t>
  </si>
  <si>
    <t>2020 m.: Baltijos gimnazijos laboratorijoje įrengti maitinimo šaltiniai, įsigytas daugiafunkcis 3D spausdintuvas, bakteriologinis inkubatorius, magnetinės maišyklės, elektrostatinės indukcijos mašina, lęšių rinkinys, preparatų rinkiniai ir kt.</t>
  </si>
  <si>
    <t>2020 m.: Lauko žaidimų aikštelės ir įrengimai atnaujinti 8 ikimokyklinio ugdymo įstaigose (l.-d. „Alksniukas“, „Liepaitė“, „Pingvinukas“, Pumpurėlis“, „Radastėlė“, „Sakalėlis, „Žemuogėlė“, „Žuvėdra“). Įrengta 19 lauko  žaidimų įrenginių, įsigyta 16 pavėsinių. 6 įstaigose ( l.-d.  „Alksniukas“, „Liepaitė“, „Radastėlė“, „Sakalėlis“, ‚‚Žemuogėlė“, „Žuvėdra“) atnaujinta žaidimų aikštelių danga.</t>
  </si>
  <si>
    <t>2020 m.: Hermano Zudermano gimnazijos sporto paskirties inžinerinių statinių Debreceno g. 29 rekonstravimo supaprastintas statybos projektas patvirtintas ir gautas statybų leidimas. Vitės sporto aikštyno projektavimo darbai pristabdyti dėl gauto Geologinės tarnybos reikalavimo užteršto dirvožemio Vitės progimnazijos sporto aikštyno teritorijoje sutvarkymo veiksmų. Aplinkosaugos skyriui  atlikus detalius ekogeologiniai tyrimus ir  parengus užterštos teritorijos sutvarkymo planą, jį patvirtinus  regioniniame Aplinkos apsaugos departamente, bus tęsiami sporto paskirties inžinerinių statinių J. Janonio g. 32 (Vitės progimnazijos) supaprastinto statybos projekto rengimo procedūros. Preliminari statybų darbų   pradžia – 2021 m. II ketv.</t>
  </si>
  <si>
    <t>2020 m.: Karalienės Luizės centro teatro studijos „Aušra“ padalinių bei vaikų laisvalaikio centro klubo „Draugystė“ pandusų įrengimui reikalinga darbų projektavimo paslauga, derinimas ir leidimas, todėl šiose įstaigose nebuvo įrengti pandusai.</t>
  </si>
  <si>
    <t>2020 m.: Atlikti šie remonto darbai: Pajūrio progimnazijos virtuvės remontas, „Smeltės“ progimnazijos aktų salės remontas, „Saulėtekio“ progimnazijos koridoriaus, laiptinės  ir grindų dangos remontas, „Gabijos“ progimnazijos grindų dangos remontas, „Ąžuolyno“ gimnazijos grindų dangos remontas ir elektros instaliacijos remonto darbai, l.-d. „Dobiliukas“ – 4 laiptinių remontas, l.-d. „Volungėlė“ – 4 laiptinių remontas,  l.-d. „Papartėlis“ – 3 koridorių remontas, l.-d. „Šaltinėlis“ – 4 laiptinių remontas, l.-d. „Šermukšnėlė“ laiptinių, koridoriaus remontas, l.-d. „Aitvarėlis“ – 4 laiptinių remontas, l.-d. Sakalėlis“ – virtuvės ventiliacijos remontas, l.-d. „Aitvarėlio“ fasado remontas, l.-d. „Bitutė“ lauko durų remontas, l.-d. „Obelėlė“ laiptų pakopų (2 laiptinės) remonto darbai, l.-d. „Eglutė“ koridorių remontas (avarinis remontas), l.-d. „Obelėlė“ tvoros perkėlimo darbai, „Pajūrio“ progimnazijos išorės sienų ir angokraščių siūlių hermetizavimas, „Saulėtekio“ progimnazijos fasado remonto darbai, l.-d. „Inkarėlis“ laiptinės remonto darbai.</t>
  </si>
  <si>
    <t>2020 m.: Atlikti darbai: l.-d. „Eglutė“, „Versmė“, „Nykštukas“, „Kregždutė“, „Pakalnutė“, „Šaltinėlis“, „Žilvitis“, „Pušaitė“, „Aitvarėlis“, „Žiburėlis“, „Linelis“, „Dobiliukas“, “Gintarėlis“, „Sakalėlis“, „Pumpurėlis“, „Atžalynas“, „Bitutė“, „Berželis“, „Bangelė“, „Giliukas“, „Radastėlė“ ir „Švyturėlis“; m. -d. „Varpelis“ ir „Saulutė“; „Vyturio“, Maksimo Gorkio, Simono Dacho, “Pajūrio“, „Saulėtekio“, „Sendvario“ ir „Aukuro“ progimnazijose; Vydūno, „Žemynos“, „Aitvaro“, Martyno Mažvydo gimnazijose; Klaipėdos moksleivių saviraiškos centre; Regos ugdymo centre.</t>
  </si>
  <si>
    <t>2020 m.: Atlikti darbai: l.-d. „Eglutė“ – išorinių laiptų pakopų remontas evakuaciniuose išėjimuose, Moksleivių saviraiškos centre – gaisrinės saugos sistemos remontas, l.-d. „Alksniukas“ – pakeisti darbai iš laiptų remonto į durų montavimą, dėl planuojamų    2021 m. renovacijos darbų, l.-d. „Traukinukas“ – išorinių laiptų pakopų remontas evakuaciniuose išėjimuose.</t>
  </si>
  <si>
    <t>2020 m.: Darbai atlikti 12 įstaigų: „Varpo“ , Vydūno ir Suaugusiųjų gimnazijose, „Saulėtekio“ progimnazijoje, l.-d. „Sakalėlis“, „Alksniukas“, „Pakalnutė“, „Pumpurėlis“, „Pagrandukas“, „Du gaideliai“, “„Bangelė“, „Nykštukas“.</t>
  </si>
  <si>
    <t>2020 m.: Darbai atlikti: l.-d. „Radastėlė“ – el.instaliacijos ir apšvietimo remontas, l.-d. „Bangelė“ –  rūsio elektros instaliacijos remontas (po avarijos), Regos ugdymo centre –lauko apšvietimo remontas, l.-d. „Kregždutė“  – el. instaliacijos ir apšvietimo remontas, l.-d. „Pagrandukas" - elektros instaliacijos remontas,  l.-d. „Nykštukas“ – elektros instaliacijos remontas, Vitės progimnazijoje – teritorijos apšvietimo remontas, l.-d. „Papartėlis“ – teritorijos apšvietimo remontas, Gabijos progimnazijoje – elektros instaliacijos remonto darbai, darželyje „Gintarėlis“ – teritorijos apšvietimo remonto darbai (bokštelio nuoma), l.-d. „Sakalėlis“ – teritorijos apšvietimas. Likusi suma sutaupyta po viešųjų pirkimų.</t>
  </si>
  <si>
    <t>2020 m.: Rangos darbų pradėti nepavyko dėl pernelyg užsitęsusių rangos darbų pirkimo procedūrų, vyko teisminiai procesai (ginčas su  tiekėju, kurio pasiūlymas buvo atmestas). Rangos darbų sutartis pasirašyta 2020-11-12, tačiau teko stabdyti rangos sutartį, kol nebuvo atlaisvintos l.-d. „Svirpliukas“ patalpos.</t>
  </si>
  <si>
    <t>2020 m.: Atlikti remono darbai 13 įstaigų: „Aitvaro“ gimnazijoje – lauko lietaus sistemos ir parapetų, l.-d. „Čiauškutė“ – lauko lietaus sistemos ir parapetų, Pajūrio progimnazijoje – įėjimo stogelio ir fasado, Jūrų kadetų mokykloje – stogo, l.-d. „Pušaitė“ – plokščiojo stogo ir lauko lietaus nuvedimo sistemų, Moksleivių saviraiškos centre – stogo įlajos keitimo, Mažvydo progimnazijoje – plokščio stogo, Regos ugdymo centre – sujungiamųjų korpusų naujos lauko lietaus nuvedimo sistemos įrengimo, l.-d. „Sakalėlis“ – stogo ir lietaus nuvedimo sistemos, Saulėtekio progimnazijos – plokščio stogo, l.-d. "Volungėlė" – lietaus nuvedimo sistemos, Smeltės progimnazijos – parapetų, Varpo gimnazijos – lietaus nuvedimo sistemos remonto darbai.</t>
  </si>
  <si>
    <t>2020 m.: Parengti 2 įstaigų techn. projektai: l.-d. „Dobiliukas“ ir „Švyturėlis“. Statybos leidimas gautas spalio pabaigoje. Rangos darbų sutartis abiem objektams pasirašyta 2020-12-21. Darbai bus atlikti 2021 m.</t>
  </si>
  <si>
    <t>2020 m.: Darbai užbaigti šiose įstaigose: „Žaliakalnio“ gimnazijjoje, l.-d. „Radastėlė“ ir.  l.-d. „Pingvinukas.</t>
  </si>
  <si>
    <t>2020 m.: I ketvirtį į kitas patalpas perkeltas  l.-d. „Klevelis“, kuris  III ketv. perkeltas atgal į renovuotas patalpas. l.-d. „Svirpliukas“ nebuvo perkeltas į kitas patalpas dėl to, kad Klaipėdos miesto savivaldybės administracijai buvo pateiktas ieškinys teisme dėl rangos darbų pirkimo procedūrų, kurios buvo sustabdytos keliems mėnesiams. Dėl inžinerinių tinklų sprendinių derinimo nebuvo pradėtas modulinių ikimokyklinio ugdymo grupių įrengimas. Skirtos lėšos buvo panaudotos „Žaliakalnio“ gimnazijos baldų pervežimui.</t>
  </si>
  <si>
    <t>2020 m.: l.-d. „Aitvarėlis“ parengtas projektas</t>
  </si>
  <si>
    <t>2020 m.: l.-d. „Ąžuoliukas“ ir „Verdenės“ progimnazijoje atlikti saulės elektrinių montavimo darbai.</t>
  </si>
  <si>
    <t>Europos Sąjungos paramos lėšų likutis (savivaldybės biudžetas)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</si>
</sst>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409]General"/>
    <numFmt numFmtId="167" formatCode="[$-10427]#,##0.00;\-#,##0.00;&quot;&quot;"/>
  </numFmts>
  <fonts count="13" x14ac:knownFonts="1">
    <font>
      <sz val="10"/>
      <name val="Arial"/>
      <charset val="186"/>
    </font>
    <font>
      <sz val="10"/>
      <name val="Arial"/>
      <family val="2"/>
      <charset val="186"/>
    </font>
    <font>
      <sz val="10"/>
      <name val="Times New Roman"/>
      <family val="1"/>
      <charset val="186"/>
    </font>
    <font>
      <sz val="12"/>
      <name val="Times New Roman"/>
      <family val="1"/>
      <charset val="186"/>
    </font>
    <font>
      <b/>
      <sz val="12"/>
      <name val="Times New Roman"/>
      <family val="1"/>
    </font>
    <font>
      <sz val="10"/>
      <color theme="0"/>
      <name val="Times New Roman"/>
      <family val="1"/>
      <charset val="186"/>
    </font>
    <font>
      <b/>
      <sz val="12"/>
      <name val="Times New Roman"/>
      <family val="1"/>
      <charset val="186"/>
    </font>
    <font>
      <sz val="11"/>
      <color rgb="FF000000"/>
      <name val="Calibri"/>
      <family val="2"/>
      <scheme val="minor"/>
    </font>
    <font>
      <sz val="9"/>
      <name val="Times New Roman"/>
      <family val="1"/>
    </font>
    <font>
      <b/>
      <sz val="11"/>
      <name val="Times New Roman"/>
      <family val="1"/>
    </font>
    <font>
      <sz val="11"/>
      <color rgb="FF000000"/>
      <name val="Calibri"/>
      <family val="2"/>
      <charset val="186"/>
    </font>
    <font>
      <b/>
      <sz val="10"/>
      <color rgb="FF000000"/>
      <name val="Times New Roman"/>
      <family val="1"/>
      <charset val="186"/>
    </font>
    <font>
      <sz val="10"/>
      <color rgb="FF00000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BF9C3"/>
        <bgColor rgb="FFFBF9C3"/>
      </patternFill>
    </fill>
    <fill>
      <patternFill patternType="solid">
        <fgColor rgb="FFC2EFC5"/>
        <bgColor rgb="FFC2EFC5"/>
      </patternFill>
    </fill>
    <fill>
      <patternFill patternType="solid">
        <fgColor rgb="FFEBEBEB"/>
        <bgColor rgb="FFEBEBEB"/>
      </patternFill>
    </fill>
    <fill>
      <patternFill patternType="solid">
        <fgColor rgb="FFBCB5F8"/>
        <bgColor rgb="FFBCB5F8"/>
      </patternFill>
    </fill>
  </fills>
  <borders count="25">
    <border>
      <left/>
      <right/>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1" fillId="0" borderId="0"/>
    <xf numFmtId="0" fontId="7" fillId="0" borderId="0"/>
    <xf numFmtId="166" fontId="10" fillId="0" borderId="0" applyBorder="0" applyProtection="0"/>
  </cellStyleXfs>
  <cellXfs count="158">
    <xf numFmtId="0" fontId="0" fillId="0" borderId="0" xfId="0"/>
    <xf numFmtId="0" fontId="8" fillId="2" borderId="0" xfId="0" applyFont="1" applyFill="1" applyBorder="1" applyAlignment="1">
      <alignment vertical="top"/>
    </xf>
    <xf numFmtId="0" fontId="1" fillId="2" borderId="0" xfId="0" applyFont="1" applyFill="1"/>
    <xf numFmtId="0" fontId="9" fillId="2" borderId="0" xfId="0" applyFont="1" applyFill="1" applyBorder="1" applyAlignment="1">
      <alignment horizontal="left" vertical="top" wrapText="1"/>
    </xf>
    <xf numFmtId="0" fontId="1" fillId="2" borderId="0" xfId="0" applyFont="1" applyFill="1" applyAlignment="1">
      <alignment vertical="top"/>
    </xf>
    <xf numFmtId="165" fontId="3" fillId="2" borderId="0" xfId="0" applyNumberFormat="1" applyFont="1" applyFill="1" applyBorder="1" applyAlignment="1">
      <alignment horizontal="right" vertical="top"/>
    </xf>
    <xf numFmtId="1" fontId="3" fillId="2" borderId="0" xfId="0" applyNumberFormat="1" applyFont="1" applyFill="1" applyBorder="1" applyAlignment="1">
      <alignment horizontal="center" vertical="top"/>
    </xf>
    <xf numFmtId="0" fontId="3" fillId="2" borderId="0" xfId="0" applyFont="1" applyFill="1"/>
    <xf numFmtId="165" fontId="3" fillId="2" borderId="0" xfId="0" applyNumberFormat="1" applyFont="1" applyFill="1" applyBorder="1" applyAlignment="1">
      <alignment horizontal="right"/>
    </xf>
    <xf numFmtId="1" fontId="3" fillId="2" borderId="0" xfId="0" applyNumberFormat="1" applyFont="1" applyFill="1" applyBorder="1" applyAlignment="1">
      <alignment horizontal="center"/>
    </xf>
    <xf numFmtId="0" fontId="3" fillId="2" borderId="0" xfId="0" applyFont="1" applyFill="1" applyAlignment="1">
      <alignment horizontal="left" wrapText="1"/>
    </xf>
    <xf numFmtId="0" fontId="1" fillId="2" borderId="0" xfId="0" applyFont="1" applyFill="1" applyBorder="1" applyAlignment="1">
      <alignment horizontal="left"/>
    </xf>
    <xf numFmtId="0" fontId="1" fillId="2" borderId="0" xfId="0" applyFont="1" applyFill="1" applyAlignment="1">
      <alignment horizontal="right"/>
    </xf>
    <xf numFmtId="0" fontId="1" fillId="2" borderId="0" xfId="0" applyFont="1" applyFill="1" applyAlignment="1">
      <alignment horizontal="center"/>
    </xf>
    <xf numFmtId="0" fontId="2" fillId="2" borderId="0" xfId="0" applyFont="1" applyFill="1"/>
    <xf numFmtId="0" fontId="11" fillId="5" borderId="2" xfId="0" applyNumberFormat="1" applyFont="1" applyFill="1" applyBorder="1" applyAlignment="1" applyProtection="1">
      <alignment vertical="top" wrapText="1" readingOrder="1"/>
      <protection locked="0"/>
    </xf>
    <xf numFmtId="0" fontId="11" fillId="5" borderId="3" xfId="0" applyNumberFormat="1" applyFont="1" applyFill="1" applyBorder="1" applyAlignment="1" applyProtection="1">
      <alignment horizontal="center" vertical="top" wrapText="1" readingOrder="1"/>
      <protection locked="0"/>
    </xf>
    <xf numFmtId="0" fontId="11" fillId="6" borderId="2" xfId="0" applyNumberFormat="1" applyFont="1" applyFill="1" applyBorder="1" applyAlignment="1" applyProtection="1">
      <alignment vertical="top" wrapText="1" readingOrder="1"/>
      <protection locked="0"/>
    </xf>
    <xf numFmtId="0" fontId="11" fillId="6" borderId="3" xfId="0" applyNumberFormat="1" applyFont="1" applyFill="1" applyBorder="1" applyAlignment="1" applyProtection="1">
      <alignment horizontal="center" vertical="top" wrapText="1" readingOrder="1"/>
      <protection locked="0"/>
    </xf>
    <xf numFmtId="0" fontId="12" fillId="0" borderId="2" xfId="0" applyNumberFormat="1" applyFont="1" applyFill="1" applyBorder="1" applyAlignment="1" applyProtection="1">
      <alignment vertical="top" wrapText="1" readingOrder="1"/>
      <protection locked="0"/>
    </xf>
    <xf numFmtId="0" fontId="12" fillId="0" borderId="3" xfId="0" applyNumberFormat="1" applyFont="1" applyFill="1" applyBorder="1" applyAlignment="1" applyProtection="1">
      <alignment horizontal="center" vertical="top" wrapText="1" readingOrder="1"/>
      <protection locked="0"/>
    </xf>
    <xf numFmtId="0" fontId="12" fillId="0" borderId="6" xfId="0" applyNumberFormat="1" applyFont="1" applyFill="1" applyBorder="1" applyAlignment="1" applyProtection="1">
      <alignment horizontal="center" vertical="top" wrapText="1" readingOrder="1"/>
      <protection locked="0"/>
    </xf>
    <xf numFmtId="0" fontId="12" fillId="0" borderId="5" xfId="0" applyNumberFormat="1" applyFont="1" applyFill="1" applyBorder="1" applyAlignment="1" applyProtection="1">
      <alignment vertical="top" wrapText="1" readingOrder="1"/>
      <protection locked="0"/>
    </xf>
    <xf numFmtId="0" fontId="12" fillId="0" borderId="0" xfId="0" applyNumberFormat="1" applyFont="1" applyFill="1" applyAlignment="1" applyProtection="1">
      <alignment vertical="top" wrapText="1" readingOrder="1"/>
      <protection locked="0"/>
    </xf>
    <xf numFmtId="0" fontId="12" fillId="0" borderId="0" xfId="0" applyNumberFormat="1" applyFont="1" applyFill="1" applyAlignment="1" applyProtection="1">
      <alignment horizontal="center" vertical="top" wrapText="1" readingOrder="1"/>
      <protection locked="0"/>
    </xf>
    <xf numFmtId="0" fontId="12" fillId="0" borderId="0" xfId="0" applyNumberFormat="1" applyFont="1" applyFill="1" applyAlignment="1" applyProtection="1">
      <alignment wrapText="1" readingOrder="1"/>
    </xf>
    <xf numFmtId="0" fontId="12" fillId="0" borderId="6" xfId="0" applyNumberFormat="1" applyFont="1" applyFill="1" applyBorder="1" applyAlignment="1" applyProtection="1">
      <alignment vertical="top" wrapText="1" readingOrder="1"/>
      <protection locked="0"/>
    </xf>
    <xf numFmtId="0" fontId="11" fillId="7" borderId="6" xfId="0" applyNumberFormat="1" applyFont="1" applyFill="1" applyBorder="1" applyAlignment="1" applyProtection="1">
      <alignment vertical="top" wrapText="1" readingOrder="1"/>
      <protection locked="0"/>
    </xf>
    <xf numFmtId="0" fontId="12" fillId="4" borderId="3" xfId="0" applyNumberFormat="1" applyFont="1" applyFill="1" applyBorder="1" applyAlignment="1" applyProtection="1">
      <alignment horizontal="center" vertical="top" wrapText="1" readingOrder="1"/>
      <protection locked="0"/>
    </xf>
    <xf numFmtId="0" fontId="12" fillId="4" borderId="6" xfId="0" applyNumberFormat="1" applyFont="1" applyFill="1" applyBorder="1" applyAlignment="1" applyProtection="1">
      <alignment horizontal="center" vertical="top" wrapText="1" readingOrder="1"/>
      <protection locked="0"/>
    </xf>
    <xf numFmtId="0" fontId="12" fillId="4" borderId="2" xfId="0" applyNumberFormat="1" applyFont="1" applyFill="1" applyBorder="1" applyAlignment="1" applyProtection="1">
      <alignment vertical="top" wrapText="1" readingOrder="1"/>
      <protection locked="0"/>
    </xf>
    <xf numFmtId="0" fontId="12" fillId="0" borderId="0" xfId="0" applyNumberFormat="1" applyFont="1" applyFill="1" applyAlignment="1" applyProtection="1">
      <alignment horizontal="right" wrapText="1" readingOrder="1"/>
    </xf>
    <xf numFmtId="0" fontId="11" fillId="5" borderId="3" xfId="0" applyNumberFormat="1" applyFont="1" applyFill="1" applyBorder="1" applyAlignment="1" applyProtection="1">
      <alignment vertical="top" wrapText="1" readingOrder="1"/>
      <protection locked="0"/>
    </xf>
    <xf numFmtId="0" fontId="11" fillId="5" borderId="3" xfId="0" applyNumberFormat="1" applyFont="1" applyFill="1" applyBorder="1" applyAlignment="1" applyProtection="1">
      <alignment horizontal="left" vertical="top" wrapText="1" readingOrder="1"/>
      <protection locked="0"/>
    </xf>
    <xf numFmtId="164" fontId="11" fillId="5" borderId="3" xfId="0" applyNumberFormat="1" applyFont="1" applyFill="1" applyBorder="1" applyAlignment="1" applyProtection="1">
      <alignment horizontal="right" vertical="top" wrapText="1" readingOrder="1"/>
    </xf>
    <xf numFmtId="0" fontId="11" fillId="5" borderId="4" xfId="0" applyNumberFormat="1" applyFont="1" applyFill="1" applyBorder="1" applyAlignment="1" applyProtection="1">
      <alignment horizontal="left" vertical="top" wrapText="1" readingOrder="1"/>
      <protection locked="0"/>
    </xf>
    <xf numFmtId="0" fontId="11" fillId="8" borderId="2" xfId="0" applyNumberFormat="1" applyFont="1" applyFill="1" applyBorder="1" applyAlignment="1" applyProtection="1">
      <alignment vertical="top" wrapText="1" readingOrder="1"/>
      <protection locked="0"/>
    </xf>
    <xf numFmtId="0" fontId="11" fillId="8" borderId="3" xfId="0" applyNumberFormat="1" applyFont="1" applyFill="1" applyBorder="1" applyAlignment="1" applyProtection="1">
      <alignment vertical="top" wrapText="1" readingOrder="1"/>
      <protection locked="0"/>
    </xf>
    <xf numFmtId="0" fontId="11" fillId="8" borderId="3" xfId="0" applyNumberFormat="1" applyFont="1" applyFill="1" applyBorder="1" applyAlignment="1" applyProtection="1">
      <alignment horizontal="left" vertical="top" wrapText="1" readingOrder="1"/>
      <protection locked="0"/>
    </xf>
    <xf numFmtId="164" fontId="11" fillId="8" borderId="3" xfId="0" applyNumberFormat="1" applyFont="1" applyFill="1" applyBorder="1" applyAlignment="1" applyProtection="1">
      <alignment horizontal="right" vertical="top" wrapText="1" readingOrder="1"/>
    </xf>
    <xf numFmtId="0" fontId="12" fillId="0" borderId="6" xfId="0" applyNumberFormat="1" applyFont="1" applyFill="1" applyBorder="1" applyAlignment="1" applyProtection="1">
      <alignment horizontal="left" vertical="top" wrapText="1" readingOrder="1"/>
      <protection locked="0"/>
    </xf>
    <xf numFmtId="164" fontId="5" fillId="0" borderId="6" xfId="0" applyNumberFormat="1" applyFont="1" applyFill="1" applyBorder="1" applyAlignment="1" applyProtection="1">
      <alignment horizontal="right" vertical="top" wrapText="1" readingOrder="1"/>
      <protection locked="0"/>
    </xf>
    <xf numFmtId="0" fontId="12" fillId="0" borderId="7" xfId="0" applyNumberFormat="1" applyFont="1" applyFill="1" applyBorder="1" applyAlignment="1" applyProtection="1">
      <alignment horizontal="left" vertical="top" wrapText="1" readingOrder="1"/>
      <protection locked="0"/>
    </xf>
    <xf numFmtId="0" fontId="11" fillId="6" borderId="3" xfId="0" applyNumberFormat="1" applyFont="1" applyFill="1" applyBorder="1" applyAlignment="1" applyProtection="1">
      <alignment vertical="top" wrapText="1" readingOrder="1"/>
      <protection locked="0"/>
    </xf>
    <xf numFmtId="0" fontId="11" fillId="6" borderId="3" xfId="0" applyNumberFormat="1" applyFont="1" applyFill="1" applyBorder="1" applyAlignment="1" applyProtection="1">
      <alignment horizontal="left" vertical="top" wrapText="1" readingOrder="1"/>
      <protection locked="0"/>
    </xf>
    <xf numFmtId="164" fontId="11" fillId="6" borderId="3" xfId="0" applyNumberFormat="1" applyFont="1" applyFill="1" applyBorder="1" applyAlignment="1" applyProtection="1">
      <alignment horizontal="right" vertical="top" wrapText="1" readingOrder="1"/>
    </xf>
    <xf numFmtId="0" fontId="11" fillId="6" borderId="4" xfId="0" applyNumberFormat="1" applyFont="1" applyFill="1" applyBorder="1" applyAlignment="1" applyProtection="1">
      <alignment horizontal="left" vertical="top" wrapText="1" readingOrder="1"/>
      <protection locked="0"/>
    </xf>
    <xf numFmtId="0" fontId="12" fillId="0" borderId="3" xfId="0" applyNumberFormat="1" applyFont="1" applyFill="1" applyBorder="1" applyAlignment="1" applyProtection="1">
      <alignment vertical="top" wrapText="1" readingOrder="1"/>
      <protection locked="0"/>
    </xf>
    <xf numFmtId="0" fontId="12" fillId="0" borderId="3" xfId="0" applyNumberFormat="1" applyFont="1" applyFill="1" applyBorder="1" applyAlignment="1" applyProtection="1">
      <alignment horizontal="left" vertical="top" wrapText="1" readingOrder="1"/>
      <protection locked="0"/>
    </xf>
    <xf numFmtId="164" fontId="12" fillId="0" borderId="3" xfId="0" applyNumberFormat="1" applyFont="1" applyFill="1" applyBorder="1" applyAlignment="1" applyProtection="1">
      <alignment horizontal="right" vertical="top" wrapText="1" readingOrder="1"/>
    </xf>
    <xf numFmtId="0" fontId="12" fillId="0" borderId="4" xfId="0" applyNumberFormat="1" applyFont="1" applyFill="1" applyBorder="1" applyAlignment="1" applyProtection="1">
      <alignment horizontal="left" vertical="top" wrapText="1" readingOrder="1"/>
      <protection locked="0"/>
    </xf>
    <xf numFmtId="164" fontId="12" fillId="0" borderId="3" xfId="0" applyNumberFormat="1" applyFont="1" applyFill="1" applyBorder="1" applyAlignment="1" applyProtection="1">
      <alignment horizontal="right" vertical="top" wrapText="1" readingOrder="1"/>
      <protection locked="0"/>
    </xf>
    <xf numFmtId="164" fontId="12" fillId="0" borderId="6" xfId="0" applyNumberFormat="1" applyFont="1" applyFill="1" applyBorder="1" applyAlignment="1" applyProtection="1">
      <alignment horizontal="right" vertical="top" wrapText="1" readingOrder="1"/>
      <protection locked="0"/>
    </xf>
    <xf numFmtId="164" fontId="12" fillId="2" borderId="3" xfId="0" applyNumberFormat="1" applyFont="1" applyFill="1" applyBorder="1" applyAlignment="1" applyProtection="1">
      <alignment horizontal="right" vertical="top" wrapText="1" readingOrder="1"/>
      <protection locked="0"/>
    </xf>
    <xf numFmtId="0" fontId="12" fillId="4" borderId="6" xfId="0" applyNumberFormat="1" applyFont="1" applyFill="1" applyBorder="1" applyAlignment="1" applyProtection="1">
      <alignment horizontal="left" vertical="top" wrapText="1" readingOrder="1"/>
      <protection locked="0"/>
    </xf>
    <xf numFmtId="0" fontId="12" fillId="4" borderId="7" xfId="0" applyNumberFormat="1" applyFont="1" applyFill="1" applyBorder="1" applyAlignment="1" applyProtection="1">
      <alignment horizontal="left" vertical="top" wrapText="1" readingOrder="1"/>
      <protection locked="0"/>
    </xf>
    <xf numFmtId="0" fontId="12" fillId="2" borderId="2" xfId="0" applyNumberFormat="1" applyFont="1" applyFill="1" applyBorder="1" applyAlignment="1" applyProtection="1">
      <alignment vertical="top" wrapText="1" readingOrder="1"/>
      <protection locked="0"/>
    </xf>
    <xf numFmtId="0" fontId="12" fillId="2" borderId="3" xfId="0" applyNumberFormat="1" applyFont="1" applyFill="1" applyBorder="1" applyAlignment="1" applyProtection="1">
      <alignment vertical="top" wrapText="1" readingOrder="1"/>
      <protection locked="0"/>
    </xf>
    <xf numFmtId="0" fontId="12" fillId="3" borderId="6" xfId="0" applyNumberFormat="1" applyFont="1" applyFill="1" applyBorder="1" applyAlignment="1" applyProtection="1">
      <alignment horizontal="left" vertical="top" wrapText="1" readingOrder="1"/>
      <protection locked="0"/>
    </xf>
    <xf numFmtId="0" fontId="12" fillId="3" borderId="6" xfId="0" applyNumberFormat="1" applyFont="1" applyFill="1" applyBorder="1" applyAlignment="1" applyProtection="1">
      <alignment horizontal="center" vertical="top" wrapText="1" readingOrder="1"/>
      <protection locked="0"/>
    </xf>
    <xf numFmtId="0" fontId="12" fillId="3" borderId="7" xfId="0" applyNumberFormat="1" applyFont="1" applyFill="1" applyBorder="1" applyAlignment="1" applyProtection="1">
      <alignment horizontal="left" vertical="top" wrapText="1" readingOrder="1"/>
      <protection locked="0"/>
    </xf>
    <xf numFmtId="0" fontId="12" fillId="4" borderId="3" xfId="0" applyNumberFormat="1" applyFont="1" applyFill="1" applyBorder="1" applyAlignment="1" applyProtection="1">
      <alignment vertical="top" wrapText="1" readingOrder="1"/>
      <protection locked="0"/>
    </xf>
    <xf numFmtId="0" fontId="12" fillId="4" borderId="3" xfId="0" applyNumberFormat="1" applyFont="1" applyFill="1" applyBorder="1" applyAlignment="1" applyProtection="1">
      <alignment horizontal="left" vertical="top" wrapText="1" readingOrder="1"/>
      <protection locked="0"/>
    </xf>
    <xf numFmtId="0" fontId="12" fillId="4" borderId="4" xfId="0" applyNumberFormat="1" applyFont="1" applyFill="1" applyBorder="1" applyAlignment="1" applyProtection="1">
      <alignment horizontal="left" vertical="top" wrapText="1" readingOrder="1"/>
      <protection locked="0"/>
    </xf>
    <xf numFmtId="0" fontId="12" fillId="0" borderId="8" xfId="0" applyNumberFormat="1" applyFont="1" applyFill="1" applyBorder="1" applyAlignment="1" applyProtection="1">
      <alignment vertical="top" wrapText="1" readingOrder="1"/>
      <protection locked="0"/>
    </xf>
    <xf numFmtId="0" fontId="12" fillId="0" borderId="9" xfId="0" applyNumberFormat="1" applyFont="1" applyFill="1" applyBorder="1" applyAlignment="1" applyProtection="1">
      <alignment vertical="top" wrapText="1" readingOrder="1"/>
      <protection locked="0"/>
    </xf>
    <xf numFmtId="0" fontId="12" fillId="0" borderId="9" xfId="0" applyNumberFormat="1" applyFont="1" applyFill="1" applyBorder="1" applyAlignment="1" applyProtection="1">
      <alignment horizontal="left" vertical="top" wrapText="1" readingOrder="1"/>
      <protection locked="0"/>
    </xf>
    <xf numFmtId="164" fontId="12" fillId="0" borderId="9" xfId="0" applyNumberFormat="1" applyFont="1" applyFill="1" applyBorder="1" applyAlignment="1" applyProtection="1">
      <alignment horizontal="right" vertical="top" wrapText="1" readingOrder="1"/>
      <protection locked="0"/>
    </xf>
    <xf numFmtId="0" fontId="12" fillId="0" borderId="9" xfId="0" applyNumberFormat="1" applyFont="1" applyFill="1" applyBorder="1" applyAlignment="1" applyProtection="1">
      <alignment horizontal="center" vertical="top" wrapText="1" readingOrder="1"/>
      <protection locked="0"/>
    </xf>
    <xf numFmtId="0" fontId="12" fillId="0" borderId="10" xfId="0" applyNumberFormat="1" applyFont="1" applyFill="1" applyBorder="1" applyAlignment="1" applyProtection="1">
      <alignment horizontal="left" vertical="top" wrapText="1" readingOrder="1"/>
      <protection locked="0"/>
    </xf>
    <xf numFmtId="0" fontId="12" fillId="0" borderId="0" xfId="0" applyNumberFormat="1" applyFont="1" applyFill="1" applyAlignment="1" applyProtection="1">
      <alignment horizontal="left" vertical="top" wrapText="1" readingOrder="1"/>
      <protection locked="0"/>
    </xf>
    <xf numFmtId="164" fontId="12" fillId="0" borderId="0" xfId="0" applyNumberFormat="1" applyFont="1" applyFill="1" applyAlignment="1" applyProtection="1">
      <alignment horizontal="right" vertical="top" wrapText="1" readingOrder="1"/>
      <protection locked="0"/>
    </xf>
    <xf numFmtId="0" fontId="11" fillId="0" borderId="6" xfId="0" applyNumberFormat="1" applyFont="1" applyFill="1" applyBorder="1" applyAlignment="1" applyProtection="1">
      <alignment horizontal="center" vertical="top" wrapText="1" readingOrder="1"/>
    </xf>
    <xf numFmtId="0" fontId="12" fillId="0" borderId="0" xfId="0" applyNumberFormat="1" applyFont="1" applyFill="1" applyAlignment="1" applyProtection="1">
      <alignment vertical="top" wrapText="1" readingOrder="1"/>
    </xf>
    <xf numFmtId="167" fontId="12" fillId="0" borderId="6" xfId="0" applyNumberFormat="1" applyFont="1" applyFill="1" applyBorder="1" applyAlignment="1" applyProtection="1">
      <alignment horizontal="right" vertical="top" wrapText="1" readingOrder="1"/>
      <protection locked="0"/>
    </xf>
    <xf numFmtId="0" fontId="11" fillId="7" borderId="6" xfId="0" applyNumberFormat="1" applyFont="1" applyFill="1" applyBorder="1" applyAlignment="1" applyProtection="1">
      <alignment horizontal="right" vertical="top" wrapText="1" readingOrder="1"/>
      <protection locked="0"/>
    </xf>
    <xf numFmtId="167" fontId="11" fillId="7" borderId="6" xfId="0" applyNumberFormat="1" applyFont="1" applyFill="1" applyBorder="1" applyAlignment="1" applyProtection="1">
      <alignment horizontal="right" vertical="top" wrapText="1" readingOrder="1"/>
    </xf>
    <xf numFmtId="0" fontId="12" fillId="3" borderId="3" xfId="0" applyNumberFormat="1" applyFont="1" applyFill="1" applyBorder="1" applyAlignment="1" applyProtection="1">
      <alignment horizontal="left" vertical="top" wrapText="1" readingOrder="1"/>
      <protection locked="0"/>
    </xf>
    <xf numFmtId="0" fontId="12" fillId="3" borderId="3" xfId="0" applyNumberFormat="1" applyFont="1" applyFill="1" applyBorder="1" applyAlignment="1" applyProtection="1">
      <alignment horizontal="center" vertical="top" wrapText="1" readingOrder="1"/>
      <protection locked="0"/>
    </xf>
    <xf numFmtId="0" fontId="12" fillId="3" borderId="2" xfId="0" applyNumberFormat="1" applyFont="1" applyFill="1" applyBorder="1" applyAlignment="1" applyProtection="1">
      <alignment vertical="top" wrapText="1" readingOrder="1"/>
      <protection locked="0"/>
    </xf>
    <xf numFmtId="0" fontId="12" fillId="3" borderId="3" xfId="0" applyNumberFormat="1" applyFont="1" applyFill="1" applyBorder="1" applyAlignment="1" applyProtection="1">
      <alignment vertical="top" wrapText="1" readingOrder="1"/>
      <protection locked="0"/>
    </xf>
    <xf numFmtId="0" fontId="12" fillId="2" borderId="4" xfId="0" applyNumberFormat="1" applyFont="1" applyFill="1" applyBorder="1" applyAlignment="1" applyProtection="1">
      <alignment horizontal="left" vertical="top" wrapText="1" readingOrder="1"/>
      <protection locked="0"/>
    </xf>
    <xf numFmtId="0" fontId="12" fillId="8" borderId="4" xfId="0" applyNumberFormat="1" applyFont="1" applyFill="1" applyBorder="1" applyAlignment="1" applyProtection="1">
      <alignment horizontal="left" vertical="top" wrapText="1" readingOrder="1"/>
      <protection locked="0"/>
    </xf>
    <xf numFmtId="2" fontId="12" fillId="0" borderId="0" xfId="0" applyNumberFormat="1" applyFont="1" applyFill="1" applyAlignment="1" applyProtection="1">
      <alignment wrapText="1" readingOrder="1"/>
    </xf>
    <xf numFmtId="2" fontId="11" fillId="0" borderId="9" xfId="0" applyNumberFormat="1" applyFont="1" applyFill="1" applyBorder="1" applyAlignment="1" applyProtection="1">
      <alignment horizontal="center" vertical="top" wrapText="1" readingOrder="1"/>
    </xf>
    <xf numFmtId="2" fontId="11" fillId="5" borderId="3" xfId="0" applyNumberFormat="1" applyFont="1" applyFill="1" applyBorder="1" applyAlignment="1" applyProtection="1">
      <alignment horizontal="right" vertical="top" wrapText="1" readingOrder="1"/>
      <protection locked="0"/>
    </xf>
    <xf numFmtId="2" fontId="12" fillId="0" borderId="6" xfId="0" applyNumberFormat="1" applyFont="1" applyFill="1" applyBorder="1" applyAlignment="1" applyProtection="1">
      <alignment horizontal="right" vertical="top" wrapText="1" readingOrder="1"/>
      <protection locked="0"/>
    </xf>
    <xf numFmtId="2" fontId="11" fillId="6" borderId="3" xfId="0" applyNumberFormat="1" applyFont="1" applyFill="1" applyBorder="1" applyAlignment="1" applyProtection="1">
      <alignment horizontal="right" vertical="top" wrapText="1" readingOrder="1"/>
      <protection locked="0"/>
    </xf>
    <xf numFmtId="2" fontId="12" fillId="0" borderId="3" xfId="0" applyNumberFormat="1" applyFont="1" applyFill="1" applyBorder="1" applyAlignment="1" applyProtection="1">
      <alignment horizontal="right" vertical="top" wrapText="1" readingOrder="1"/>
      <protection locked="0"/>
    </xf>
    <xf numFmtId="2" fontId="12" fillId="4" borderId="6" xfId="0" applyNumberFormat="1" applyFont="1" applyFill="1" applyBorder="1" applyAlignment="1" applyProtection="1">
      <alignment horizontal="right" vertical="top" wrapText="1" readingOrder="1"/>
      <protection locked="0"/>
    </xf>
    <xf numFmtId="2" fontId="12" fillId="3" borderId="6" xfId="0" applyNumberFormat="1" applyFont="1" applyFill="1" applyBorder="1" applyAlignment="1" applyProtection="1">
      <alignment horizontal="right" vertical="top" wrapText="1" readingOrder="1"/>
      <protection locked="0"/>
    </xf>
    <xf numFmtId="2" fontId="12" fillId="2" borderId="3" xfId="0" applyNumberFormat="1" applyFont="1" applyFill="1" applyBorder="1" applyAlignment="1" applyProtection="1">
      <alignment horizontal="right" vertical="top" wrapText="1" readingOrder="1"/>
      <protection locked="0"/>
    </xf>
    <xf numFmtId="2" fontId="2" fillId="2" borderId="3" xfId="0" applyNumberFormat="1" applyFont="1" applyFill="1" applyBorder="1" applyAlignment="1" applyProtection="1">
      <alignment horizontal="right" vertical="top" wrapText="1" readingOrder="1"/>
      <protection locked="0"/>
    </xf>
    <xf numFmtId="2" fontId="12" fillId="4" borderId="3" xfId="0" applyNumberFormat="1" applyFont="1" applyFill="1" applyBorder="1" applyAlignment="1" applyProtection="1">
      <alignment horizontal="right" vertical="top" wrapText="1" readingOrder="1"/>
      <protection locked="0"/>
    </xf>
    <xf numFmtId="2" fontId="12" fillId="3" borderId="3" xfId="0" applyNumberFormat="1" applyFont="1" applyFill="1" applyBorder="1" applyAlignment="1" applyProtection="1">
      <alignment horizontal="right" vertical="top" wrapText="1" readingOrder="1"/>
      <protection locked="0"/>
    </xf>
    <xf numFmtId="2" fontId="12" fillId="0" borderId="9" xfId="0" applyNumberFormat="1" applyFont="1" applyFill="1" applyBorder="1" applyAlignment="1" applyProtection="1">
      <alignment horizontal="right" vertical="top" wrapText="1" readingOrder="1"/>
      <protection locked="0"/>
    </xf>
    <xf numFmtId="2" fontId="12" fillId="0" borderId="0" xfId="0" applyNumberFormat="1" applyFont="1" applyFill="1" applyAlignment="1" applyProtection="1">
      <alignment horizontal="right" vertical="top" wrapText="1" readingOrder="1"/>
      <protection locked="0"/>
    </xf>
    <xf numFmtId="0" fontId="12" fillId="8" borderId="3" xfId="0" applyNumberFormat="1" applyFont="1" applyFill="1" applyBorder="1" applyAlignment="1" applyProtection="1">
      <alignment horizontal="left" vertical="top" wrapText="1" readingOrder="1"/>
      <protection locked="0"/>
    </xf>
    <xf numFmtId="0" fontId="12" fillId="8" borderId="3" xfId="0" applyNumberFormat="1" applyFont="1" applyFill="1" applyBorder="1" applyAlignment="1" applyProtection="1">
      <alignment horizontal="center" vertical="top" wrapText="1" readingOrder="1"/>
      <protection locked="0"/>
    </xf>
    <xf numFmtId="2" fontId="12" fillId="8" borderId="3" xfId="0" applyNumberFormat="1" applyFont="1" applyFill="1" applyBorder="1" applyAlignment="1" applyProtection="1">
      <alignment horizontal="right" vertical="top" wrapText="1" readingOrder="1"/>
      <protection locked="0"/>
    </xf>
    <xf numFmtId="2" fontId="2" fillId="0" borderId="3" xfId="0" applyNumberFormat="1" applyFont="1" applyFill="1" applyBorder="1" applyAlignment="1" applyProtection="1">
      <alignment horizontal="right" vertical="top" wrapText="1" readingOrder="1"/>
      <protection locked="0"/>
    </xf>
    <xf numFmtId="2" fontId="2" fillId="0" borderId="6" xfId="0" applyNumberFormat="1" applyFont="1" applyFill="1" applyBorder="1" applyAlignment="1" applyProtection="1">
      <alignment horizontal="right" vertical="top" wrapText="1" readingOrder="1"/>
      <protection locked="0"/>
    </xf>
    <xf numFmtId="0" fontId="12" fillId="2" borderId="7" xfId="0" applyNumberFormat="1" applyFont="1" applyFill="1" applyBorder="1" applyAlignment="1" applyProtection="1">
      <alignment horizontal="left" vertical="top" wrapText="1" readingOrder="1"/>
      <protection locked="0"/>
    </xf>
    <xf numFmtId="0" fontId="3" fillId="2" borderId="0" xfId="0" applyFont="1" applyFill="1" applyAlignment="1">
      <alignment horizontal="left" vertical="top" wrapText="1"/>
    </xf>
    <xf numFmtId="0" fontId="3" fillId="2" borderId="0" xfId="1" applyFont="1" applyFill="1" applyBorder="1" applyAlignment="1">
      <alignment horizontal="left" wrapText="1"/>
    </xf>
    <xf numFmtId="0" fontId="3" fillId="2" borderId="0" xfId="1" applyFont="1" applyFill="1" applyAlignment="1">
      <alignment horizontal="left" vertical="center" wrapText="1"/>
    </xf>
    <xf numFmtId="0" fontId="6" fillId="2" borderId="0" xfId="0" applyFont="1" applyFill="1" applyBorder="1" applyAlignment="1">
      <alignment horizontal="left" vertical="top" wrapText="1"/>
    </xf>
    <xf numFmtId="0" fontId="4" fillId="2" borderId="0" xfId="0" applyFont="1" applyFill="1" applyAlignment="1">
      <alignment horizontal="center" vertical="top"/>
    </xf>
    <xf numFmtId="0" fontId="4" fillId="2" borderId="0" xfId="0" applyFont="1" applyFill="1" applyAlignment="1">
      <alignment horizontal="center" vertical="top" wrapText="1"/>
    </xf>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2" fillId="0" borderId="11" xfId="0" applyNumberFormat="1" applyFont="1" applyFill="1" applyBorder="1" applyAlignment="1" applyProtection="1">
      <alignment horizontal="left" vertical="top" wrapText="1" readingOrder="1"/>
      <protection locked="0"/>
    </xf>
    <xf numFmtId="0" fontId="12" fillId="0" borderId="22" xfId="0" applyNumberFormat="1" applyFont="1" applyFill="1" applyBorder="1" applyAlignment="1" applyProtection="1">
      <alignment horizontal="left" vertical="top" wrapText="1" readingOrder="1"/>
      <protection locked="0"/>
    </xf>
    <xf numFmtId="0" fontId="12" fillId="0" borderId="17" xfId="0" applyNumberFormat="1" applyFont="1" applyFill="1" applyBorder="1" applyAlignment="1" applyProtection="1">
      <alignment horizontal="left" vertical="top" wrapText="1" readingOrder="1"/>
      <protection locked="0"/>
    </xf>
    <xf numFmtId="0" fontId="12" fillId="0" borderId="19" xfId="0" applyNumberFormat="1" applyFont="1" applyFill="1" applyBorder="1" applyAlignment="1" applyProtection="1">
      <alignment vertical="top" wrapText="1" readingOrder="1"/>
      <protection locked="0"/>
    </xf>
    <xf numFmtId="0" fontId="12" fillId="0" borderId="16" xfId="0" applyNumberFormat="1" applyFont="1" applyFill="1" applyBorder="1" applyAlignment="1" applyProtection="1">
      <alignment vertical="top" wrapText="1" readingOrder="1"/>
      <protection locked="0"/>
    </xf>
    <xf numFmtId="0" fontId="12" fillId="0" borderId="21" xfId="0" applyNumberFormat="1" applyFont="1" applyFill="1" applyBorder="1" applyAlignment="1" applyProtection="1">
      <alignment vertical="top" wrapText="1" readingOrder="1"/>
      <protection locked="0"/>
    </xf>
    <xf numFmtId="0" fontId="12" fillId="0" borderId="19" xfId="0" applyNumberFormat="1" applyFont="1" applyFill="1" applyBorder="1" applyAlignment="1" applyProtection="1">
      <alignment horizontal="left" vertical="top" wrapText="1" readingOrder="1"/>
      <protection locked="0"/>
    </xf>
    <xf numFmtId="0" fontId="12" fillId="0" borderId="16" xfId="0" applyNumberFormat="1" applyFont="1" applyFill="1" applyBorder="1" applyAlignment="1" applyProtection="1">
      <alignment horizontal="left" vertical="top" wrapText="1" readingOrder="1"/>
      <protection locked="0"/>
    </xf>
    <xf numFmtId="0" fontId="12" fillId="0" borderId="21" xfId="0" applyNumberFormat="1" applyFont="1" applyFill="1" applyBorder="1" applyAlignment="1" applyProtection="1">
      <alignment horizontal="left" vertical="top" wrapText="1" readingOrder="1"/>
      <protection locked="0"/>
    </xf>
    <xf numFmtId="0" fontId="11" fillId="0" borderId="1" xfId="0" applyNumberFormat="1" applyFont="1" applyFill="1" applyBorder="1" applyAlignment="1" applyProtection="1">
      <alignment horizontal="center" vertical="top" wrapText="1" readingOrder="1"/>
      <protection locked="0"/>
    </xf>
    <xf numFmtId="0" fontId="12" fillId="4" borderId="11" xfId="0" applyNumberFormat="1" applyFont="1" applyFill="1" applyBorder="1" applyAlignment="1" applyProtection="1">
      <alignment horizontal="left" vertical="top" wrapText="1" readingOrder="1"/>
      <protection locked="0"/>
    </xf>
    <xf numFmtId="0" fontId="12" fillId="4" borderId="22" xfId="0" applyNumberFormat="1" applyFont="1" applyFill="1" applyBorder="1" applyAlignment="1" applyProtection="1">
      <alignment horizontal="left" vertical="top" wrapText="1" readingOrder="1"/>
      <protection locked="0"/>
    </xf>
    <xf numFmtId="0" fontId="12" fillId="4" borderId="12" xfId="0" applyNumberFormat="1" applyFont="1" applyFill="1" applyBorder="1" applyAlignment="1" applyProtection="1">
      <alignment horizontal="left" vertical="top" wrapText="1" readingOrder="1"/>
      <protection locked="0"/>
    </xf>
    <xf numFmtId="0" fontId="12" fillId="4" borderId="20" xfId="0" applyNumberFormat="1" applyFont="1" applyFill="1" applyBorder="1" applyAlignment="1" applyProtection="1">
      <alignment horizontal="left" vertical="top" wrapText="1" readingOrder="1"/>
      <protection locked="0"/>
    </xf>
    <xf numFmtId="0" fontId="12" fillId="4" borderId="15" xfId="0" applyNumberFormat="1" applyFont="1" applyFill="1" applyBorder="1" applyAlignment="1" applyProtection="1">
      <alignment horizontal="left" vertical="top" wrapText="1" readingOrder="1"/>
      <protection locked="0"/>
    </xf>
    <xf numFmtId="0" fontId="12" fillId="4" borderId="21" xfId="0" applyNumberFormat="1" applyFont="1" applyFill="1" applyBorder="1" applyAlignment="1" applyProtection="1">
      <alignment horizontal="left" vertical="top" wrapText="1" readingOrder="1"/>
      <protection locked="0"/>
    </xf>
    <xf numFmtId="0" fontId="12" fillId="3" borderId="19" xfId="0" applyNumberFormat="1" applyFont="1" applyFill="1" applyBorder="1" applyAlignment="1" applyProtection="1">
      <alignment horizontal="left" vertical="top" wrapText="1" readingOrder="1"/>
      <protection locked="0"/>
    </xf>
    <xf numFmtId="0" fontId="12" fillId="3" borderId="16" xfId="0" applyNumberFormat="1" applyFont="1" applyFill="1" applyBorder="1" applyAlignment="1" applyProtection="1">
      <alignment horizontal="left" vertical="top" wrapText="1" readingOrder="1"/>
      <protection locked="0"/>
    </xf>
    <xf numFmtId="0" fontId="12" fillId="3" borderId="21" xfId="0" applyNumberFormat="1" applyFont="1" applyFill="1" applyBorder="1" applyAlignment="1" applyProtection="1">
      <alignment horizontal="left" vertical="top" wrapText="1" readingOrder="1"/>
      <protection locked="0"/>
    </xf>
    <xf numFmtId="0" fontId="12" fillId="0" borderId="12" xfId="0" applyNumberFormat="1" applyFont="1" applyFill="1" applyBorder="1" applyAlignment="1" applyProtection="1">
      <alignment horizontal="left" vertical="top" wrapText="1" readingOrder="1"/>
      <protection locked="0"/>
    </xf>
    <xf numFmtId="0" fontId="12" fillId="0" borderId="18" xfId="0" applyNumberFormat="1" applyFont="1" applyFill="1" applyBorder="1" applyAlignment="1" applyProtection="1">
      <alignment horizontal="left" vertical="top" wrapText="1" readingOrder="1"/>
      <protection locked="0"/>
    </xf>
    <xf numFmtId="0" fontId="12" fillId="0" borderId="13" xfId="0" applyNumberFormat="1" applyFont="1" applyFill="1" applyBorder="1" applyAlignment="1" applyProtection="1">
      <alignment horizontal="left" vertical="top" wrapText="1" readingOrder="1"/>
      <protection locked="0"/>
    </xf>
    <xf numFmtId="0" fontId="12" fillId="0" borderId="14" xfId="0" applyNumberFormat="1" applyFont="1" applyFill="1" applyBorder="1" applyAlignment="1" applyProtection="1">
      <alignment horizontal="left" vertical="top" wrapText="1" readingOrder="1"/>
      <protection locked="0"/>
    </xf>
    <xf numFmtId="0" fontId="12" fillId="0" borderId="20" xfId="0" applyNumberFormat="1" applyFont="1" applyFill="1" applyBorder="1" applyAlignment="1" applyProtection="1">
      <alignment horizontal="left" vertical="top" wrapText="1" readingOrder="1"/>
      <protection locked="0"/>
    </xf>
    <xf numFmtId="0" fontId="12" fillId="0" borderId="15" xfId="0" applyNumberFormat="1" applyFont="1" applyFill="1" applyBorder="1" applyAlignment="1" applyProtection="1">
      <alignment horizontal="left" vertical="top" wrapText="1" readingOrder="1"/>
      <protection locked="0"/>
    </xf>
    <xf numFmtId="3" fontId="3" fillId="0" borderId="0" xfId="0" applyNumberFormat="1" applyFont="1" applyAlignment="1">
      <alignment horizontal="center" vertical="top" wrapText="1"/>
    </xf>
    <xf numFmtId="3" fontId="6" fillId="0" borderId="0" xfId="0" applyNumberFormat="1" applyFont="1" applyBorder="1" applyAlignment="1">
      <alignment horizontal="center" vertical="center" wrapText="1"/>
    </xf>
    <xf numFmtId="0" fontId="11" fillId="0" borderId="2" xfId="0" applyNumberFormat="1" applyFont="1" applyFill="1" applyBorder="1" applyAlignment="1" applyProtection="1">
      <alignment horizontal="center" vertical="top" wrapText="1" readingOrder="1"/>
    </xf>
    <xf numFmtId="0" fontId="11" fillId="0" borderId="5" xfId="0" applyNumberFormat="1" applyFont="1" applyFill="1" applyBorder="1" applyAlignment="1" applyProtection="1">
      <alignment horizontal="center" vertical="top" wrapText="1" readingOrder="1"/>
    </xf>
    <xf numFmtId="0" fontId="11" fillId="0" borderId="8" xfId="0" applyNumberFormat="1" applyFont="1" applyFill="1" applyBorder="1" applyAlignment="1" applyProtection="1">
      <alignment horizontal="center" vertical="top" wrapText="1" readingOrder="1"/>
    </xf>
    <xf numFmtId="0" fontId="11" fillId="0" borderId="3" xfId="0" applyNumberFormat="1" applyFont="1" applyFill="1" applyBorder="1" applyAlignment="1" applyProtection="1">
      <alignment horizontal="center" vertical="top" wrapText="1" readingOrder="1"/>
    </xf>
    <xf numFmtId="0" fontId="11" fillId="0" borderId="6" xfId="0" applyNumberFormat="1" applyFont="1" applyFill="1" applyBorder="1" applyAlignment="1" applyProtection="1">
      <alignment horizontal="center" vertical="top" wrapText="1" readingOrder="1"/>
    </xf>
    <xf numFmtId="0" fontId="11" fillId="0" borderId="9" xfId="0" applyNumberFormat="1" applyFont="1" applyFill="1" applyBorder="1" applyAlignment="1" applyProtection="1">
      <alignment horizontal="center" vertical="top" wrapText="1" readingOrder="1"/>
    </xf>
    <xf numFmtId="0" fontId="11" fillId="0" borderId="4" xfId="0" applyNumberFormat="1" applyFont="1" applyFill="1" applyBorder="1" applyAlignment="1" applyProtection="1">
      <alignment horizontal="center" vertical="top" wrapText="1" readingOrder="1"/>
    </xf>
    <xf numFmtId="2" fontId="11" fillId="0" borderId="6" xfId="0" applyNumberFormat="1" applyFont="1" applyFill="1" applyBorder="1" applyAlignment="1" applyProtection="1">
      <alignment horizontal="center" vertical="top" wrapText="1" readingOrder="1"/>
    </xf>
    <xf numFmtId="0" fontId="11" fillId="0" borderId="7" xfId="0" applyNumberFormat="1" applyFont="1" applyFill="1" applyBorder="1" applyAlignment="1" applyProtection="1">
      <alignment horizontal="center" vertical="top" wrapText="1" readingOrder="1"/>
    </xf>
    <xf numFmtId="0" fontId="11" fillId="0" borderId="10" xfId="0" applyNumberFormat="1" applyFont="1" applyFill="1" applyBorder="1" applyAlignment="1" applyProtection="1">
      <alignment horizontal="center" vertical="top" wrapText="1" readingOrder="1"/>
    </xf>
    <xf numFmtId="0" fontId="12" fillId="4" borderId="13" xfId="0" applyNumberFormat="1" applyFont="1" applyFill="1" applyBorder="1" applyAlignment="1" applyProtection="1">
      <alignment horizontal="left" vertical="top" wrapText="1" readingOrder="1"/>
      <protection locked="0"/>
    </xf>
    <xf numFmtId="0" fontId="2" fillId="4" borderId="19" xfId="0" applyNumberFormat="1" applyFont="1" applyFill="1" applyBorder="1" applyAlignment="1" applyProtection="1">
      <alignment horizontal="left" vertical="top" wrapText="1" readingOrder="1"/>
      <protection locked="0"/>
    </xf>
    <xf numFmtId="0" fontId="2" fillId="4" borderId="16" xfId="0" applyNumberFormat="1" applyFont="1" applyFill="1" applyBorder="1" applyAlignment="1" applyProtection="1">
      <alignment horizontal="left" vertical="top" wrapText="1" readingOrder="1"/>
      <protection locked="0"/>
    </xf>
    <xf numFmtId="0" fontId="2" fillId="4" borderId="21" xfId="0" applyNumberFormat="1" applyFont="1" applyFill="1" applyBorder="1" applyAlignment="1" applyProtection="1">
      <alignment horizontal="left" vertical="top" wrapText="1" readingOrder="1"/>
      <protection locked="0"/>
    </xf>
    <xf numFmtId="0" fontId="12" fillId="0" borderId="23" xfId="0" applyNumberFormat="1" applyFont="1" applyFill="1" applyBorder="1" applyAlignment="1" applyProtection="1">
      <alignment horizontal="left" vertical="top" wrapText="1" readingOrder="1"/>
      <protection locked="0"/>
    </xf>
    <xf numFmtId="0" fontId="12" fillId="0" borderId="24" xfId="0" applyNumberFormat="1" applyFont="1" applyFill="1" applyBorder="1" applyAlignment="1" applyProtection="1">
      <alignment horizontal="left" vertical="top" wrapText="1" readingOrder="1"/>
      <protection locked="0"/>
    </xf>
    <xf numFmtId="0" fontId="2" fillId="2" borderId="19" xfId="0" applyNumberFormat="1" applyFont="1" applyFill="1" applyBorder="1" applyAlignment="1" applyProtection="1">
      <alignment horizontal="left" vertical="top" wrapText="1" readingOrder="1"/>
      <protection locked="0"/>
    </xf>
    <xf numFmtId="0" fontId="2" fillId="2" borderId="16" xfId="0" applyNumberFormat="1" applyFont="1" applyFill="1" applyBorder="1" applyAlignment="1" applyProtection="1">
      <alignment horizontal="left" vertical="top" wrapText="1" readingOrder="1"/>
      <protection locked="0"/>
    </xf>
    <xf numFmtId="0" fontId="2" fillId="2" borderId="21" xfId="0" applyNumberFormat="1" applyFont="1" applyFill="1" applyBorder="1" applyAlignment="1" applyProtection="1">
      <alignment horizontal="left" vertical="top" wrapText="1" readingOrder="1"/>
      <protection locked="0"/>
    </xf>
    <xf numFmtId="0" fontId="12" fillId="4" borderId="14" xfId="0" applyNumberFormat="1" applyFont="1" applyFill="1" applyBorder="1" applyAlignment="1" applyProtection="1">
      <alignment horizontal="left" vertical="top" wrapText="1" readingOrder="1"/>
      <protection locked="0"/>
    </xf>
  </cellXfs>
  <cellStyles count="4">
    <cellStyle name="Excel Built-in Normal" xfId="3"/>
    <cellStyle name="Įprastas" xfId="0" builtinId="0"/>
    <cellStyle name="Įprastas 2" xfId="1"/>
    <cellStyle name="Normal" xfId="2"/>
  </cellStyles>
  <dxfs count="0"/>
  <tableStyles count="0" defaultTableStyle="TableStyleMedium2" defaultPivotStyle="PivotStyleLight16"/>
  <colors>
    <mruColors>
      <color rgb="FFCCCCFF"/>
      <color rgb="FF9999FF"/>
      <color rgb="FFFFCCFF"/>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b="1">
                <a:latin typeface="Times New Roman" panose="02020603050405020304" pitchFamily="18" charset="0"/>
                <a:cs typeface="Times New Roman" panose="02020603050405020304" pitchFamily="18" charset="0"/>
              </a:rPr>
              <a:t>2020 m. SVP programos Nr. 10 įvykdymas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067704727956712E-2"/>
          <c:y val="0.31993605033898448"/>
          <c:w val="0.91744871696863139"/>
          <c:h val="0.64960231456216488"/>
        </c:manualLayout>
      </c:layout>
      <c:pie3DChart>
        <c:varyColors val="1"/>
        <c:ser>
          <c:idx val="0"/>
          <c:order val="0"/>
          <c:dPt>
            <c:idx val="0"/>
            <c:bubble3D val="0"/>
            <c:spPr>
              <a:solidFill>
                <a:sysClr val="window" lastClr="FFFF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3-F7F4-4976-B6F1-D8E353AAF46B}"/>
              </c:ext>
            </c:extLst>
          </c:dPt>
          <c:dPt>
            <c:idx val="1"/>
            <c:bubble3D val="0"/>
            <c:spPr>
              <a:solidFill>
                <a:schemeClr val="tx2">
                  <a:lumMod val="20000"/>
                  <a:lumOff val="80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F-F7F4-4976-B6F1-D8E353AAF46B}"/>
              </c:ext>
            </c:extLst>
          </c:dPt>
          <c:dPt>
            <c:idx val="2"/>
            <c:bubble3D val="0"/>
            <c:spPr>
              <a:solidFill>
                <a:srgbClr val="FFCC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D-F7F4-4976-B6F1-D8E353AAF46B}"/>
              </c:ext>
            </c:extLst>
          </c:dPt>
          <c:dPt>
            <c:idx val="3"/>
            <c:bubble3D val="0"/>
            <c:spPr>
              <a:solidFill>
                <a:schemeClr val="bg1">
                  <a:lumMod val="85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6-642A-4482-916C-B92AC18CA243}"/>
              </c:ext>
            </c:extLst>
          </c:dPt>
          <c:dLbls>
            <c:dLbl>
              <c:idx val="0"/>
              <c:layout>
                <c:manualLayout>
                  <c:x val="0.17844663167104111"/>
                  <c:y val="-3.5761154855643044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7F4-4976-B6F1-D8E353AAF46B}"/>
                </c:ext>
              </c:extLst>
            </c:dLbl>
            <c:dLbl>
              <c:idx val="1"/>
              <c:layout>
                <c:manualLayout>
                  <c:x val="-0.16509930433453099"/>
                  <c:y val="2.497648190015851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7F4-4976-B6F1-D8E353AAF46B}"/>
                </c:ext>
              </c:extLst>
            </c:dLbl>
            <c:dLbl>
              <c:idx val="2"/>
              <c:layout>
                <c:manualLayout>
                  <c:x val="-4.6074657334499877E-2"/>
                  <c:y val="-6.381757326205786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F7F4-4976-B6F1-D8E353AAF46B}"/>
                </c:ext>
              </c:extLst>
            </c:dLbl>
            <c:dLbl>
              <c:idx val="3"/>
              <c:layout>
                <c:manualLayout>
                  <c:x val="0.17564741907261591"/>
                  <c:y val="-2.17515471116569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42A-4482-916C-B92AC18CA243}"/>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Ataskaita!$A$9:$A$11</c:f>
              <c:strCache>
                <c:ptCount val="3"/>
                <c:pt idx="0">
                  <c:v>faktiškai įvykdyta –</c:v>
                </c:pt>
                <c:pt idx="1">
                  <c:v>iš dalies įvykdyta –</c:v>
                </c:pt>
                <c:pt idx="2">
                  <c:v>neįvykdyta –</c:v>
                </c:pt>
              </c:strCache>
            </c:strRef>
          </c:cat>
          <c:val>
            <c:numRef>
              <c:f>Ataskaita!$B$9:$B$11</c:f>
              <c:numCache>
                <c:formatCode>0</c:formatCode>
                <c:ptCount val="3"/>
                <c:pt idx="0">
                  <c:v>59</c:v>
                </c:pt>
                <c:pt idx="1">
                  <c:v>9</c:v>
                </c:pt>
                <c:pt idx="2">
                  <c:v>1</c:v>
                </c:pt>
              </c:numCache>
            </c:numRef>
          </c:val>
          <c:extLst>
            <c:ext xmlns:c16="http://schemas.microsoft.com/office/drawing/2014/chart" uri="{C3380CC4-5D6E-409C-BE32-E72D297353CC}">
              <c16:uniqueId val="{00000000-F7F4-4976-B6F1-D8E353AAF46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11</xdr:row>
      <xdr:rowOff>85725</xdr:rowOff>
    </xdr:from>
    <xdr:to>
      <xdr:col>4</xdr:col>
      <xdr:colOff>304800</xdr:colOff>
      <xdr:row>26</xdr:row>
      <xdr:rowOff>771525</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zoomScaleNormal="100" workbookViewId="0">
      <selection activeCell="A7" sqref="A7:E7"/>
    </sheetView>
  </sheetViews>
  <sheetFormatPr defaultColWidth="9.21875" defaultRowHeight="13.2" x14ac:dyDescent="0.25"/>
  <cols>
    <col min="1" max="1" width="45.77734375" style="2" customWidth="1"/>
    <col min="2" max="2" width="11.21875" style="2" customWidth="1"/>
    <col min="3" max="4" width="9.21875" style="2"/>
    <col min="5" max="5" width="13.77734375" style="2" customWidth="1"/>
    <col min="6" max="16384" width="9.21875" style="2"/>
  </cols>
  <sheetData>
    <row r="1" spans="1:5" ht="74.25" customHeight="1" x14ac:dyDescent="0.25">
      <c r="B1" s="103" t="s">
        <v>558</v>
      </c>
      <c r="C1" s="103"/>
      <c r="D1" s="103"/>
      <c r="E1" s="103"/>
    </row>
    <row r="2" spans="1:5" s="1" customFormat="1" ht="15.6" x14ac:dyDescent="0.25">
      <c r="A2" s="107" t="s">
        <v>281</v>
      </c>
      <c r="B2" s="107"/>
      <c r="C2" s="107"/>
      <c r="D2" s="107"/>
      <c r="E2" s="107"/>
    </row>
    <row r="3" spans="1:5" s="1" customFormat="1" ht="15.6" x14ac:dyDescent="0.25">
      <c r="A3" s="108" t="s">
        <v>39</v>
      </c>
      <c r="B3" s="108"/>
      <c r="C3" s="108"/>
      <c r="D3" s="108"/>
      <c r="E3" s="108"/>
    </row>
    <row r="4" spans="1:5" s="1" customFormat="1" ht="35.25" customHeight="1" x14ac:dyDescent="0.25">
      <c r="A4" s="107" t="s">
        <v>40</v>
      </c>
      <c r="B4" s="107"/>
      <c r="C4" s="107"/>
      <c r="D4" s="107"/>
      <c r="E4" s="107"/>
    </row>
    <row r="5" spans="1:5" ht="30" customHeight="1" x14ac:dyDescent="0.25">
      <c r="A5" s="109" t="s">
        <v>280</v>
      </c>
      <c r="B5" s="109"/>
      <c r="C5" s="109"/>
      <c r="D5" s="109"/>
      <c r="E5" s="109"/>
    </row>
    <row r="6" spans="1:5" s="1" customFormat="1" ht="13.8" x14ac:dyDescent="0.25">
      <c r="A6" s="3" t="s">
        <v>41</v>
      </c>
    </row>
    <row r="7" spans="1:5" s="1" customFormat="1" ht="74.25" customHeight="1" x14ac:dyDescent="0.25">
      <c r="A7" s="110" t="s">
        <v>559</v>
      </c>
      <c r="B7" s="110"/>
      <c r="C7" s="110"/>
      <c r="D7" s="110"/>
      <c r="E7" s="110"/>
    </row>
    <row r="8" spans="1:5" s="4" customFormat="1" ht="36.75" customHeight="1" x14ac:dyDescent="0.25">
      <c r="A8" s="106" t="s">
        <v>282</v>
      </c>
      <c r="B8" s="106"/>
      <c r="C8" s="106"/>
      <c r="D8" s="106"/>
    </row>
    <row r="9" spans="1:5" s="7" customFormat="1" ht="15.6" x14ac:dyDescent="0.3">
      <c r="A9" s="5" t="s">
        <v>42</v>
      </c>
      <c r="B9" s="6">
        <v>59</v>
      </c>
      <c r="C9" s="103" t="s">
        <v>43</v>
      </c>
      <c r="D9" s="103"/>
      <c r="E9" s="103"/>
    </row>
    <row r="10" spans="1:5" s="7" customFormat="1" ht="15.6" x14ac:dyDescent="0.3">
      <c r="A10" s="8" t="s">
        <v>44</v>
      </c>
      <c r="B10" s="9">
        <v>9</v>
      </c>
      <c r="C10" s="7" t="s">
        <v>283</v>
      </c>
    </row>
    <row r="11" spans="1:5" s="7" customFormat="1" ht="15.6" x14ac:dyDescent="0.3">
      <c r="A11" s="5" t="s">
        <v>555</v>
      </c>
      <c r="B11" s="6">
        <v>1</v>
      </c>
      <c r="C11" s="10"/>
      <c r="D11" s="10"/>
      <c r="E11" s="10"/>
    </row>
    <row r="12" spans="1:5" x14ac:dyDescent="0.25">
      <c r="A12" s="11"/>
    </row>
    <row r="13" spans="1:5" x14ac:dyDescent="0.25">
      <c r="A13" s="11"/>
    </row>
    <row r="15" spans="1:5" x14ac:dyDescent="0.25">
      <c r="A15" s="12"/>
      <c r="B15" s="13"/>
    </row>
    <row r="16" spans="1:5" x14ac:dyDescent="0.25">
      <c r="A16" s="12"/>
      <c r="B16" s="13"/>
    </row>
    <row r="17" spans="1:17" x14ac:dyDescent="0.25">
      <c r="A17" s="12"/>
      <c r="B17" s="13"/>
    </row>
    <row r="23" spans="1:17" x14ac:dyDescent="0.25">
      <c r="Q23" s="14"/>
    </row>
    <row r="27" spans="1:17" ht="66.75" customHeight="1" x14ac:dyDescent="0.25"/>
    <row r="28" spans="1:17" ht="40.5" customHeight="1" x14ac:dyDescent="0.3">
      <c r="A28" s="104" t="s">
        <v>48</v>
      </c>
      <c r="B28" s="104"/>
      <c r="C28" s="104"/>
      <c r="D28" s="104"/>
      <c r="E28" s="104"/>
    </row>
    <row r="29" spans="1:17" ht="32.25" customHeight="1" x14ac:dyDescent="0.25">
      <c r="A29" s="105" t="s">
        <v>45</v>
      </c>
      <c r="B29" s="105"/>
      <c r="C29" s="105"/>
      <c r="D29" s="105"/>
      <c r="E29" s="105"/>
    </row>
    <row r="30" spans="1:17" ht="32.25" customHeight="1" x14ac:dyDescent="0.25">
      <c r="A30" s="105" t="s">
        <v>46</v>
      </c>
      <c r="B30" s="105"/>
      <c r="C30" s="105"/>
      <c r="D30" s="105"/>
      <c r="E30" s="105"/>
    </row>
    <row r="31" spans="1:17" ht="32.25" customHeight="1" x14ac:dyDescent="0.25">
      <c r="A31" s="105" t="s">
        <v>47</v>
      </c>
      <c r="B31" s="105"/>
      <c r="C31" s="105"/>
      <c r="D31" s="105"/>
      <c r="E31" s="105"/>
    </row>
  </sheetData>
  <mergeCells count="12">
    <mergeCell ref="B1:E1"/>
    <mergeCell ref="A8:D8"/>
    <mergeCell ref="A2:E2"/>
    <mergeCell ref="A3:E3"/>
    <mergeCell ref="A4:E4"/>
    <mergeCell ref="A5:E5"/>
    <mergeCell ref="A7:E7"/>
    <mergeCell ref="C9:E9"/>
    <mergeCell ref="A28:E28"/>
    <mergeCell ref="A29:E29"/>
    <mergeCell ref="A30:E30"/>
    <mergeCell ref="A31:E31"/>
  </mergeCells>
  <printOptions horizontalCentered="1"/>
  <pageMargins left="0.70866141732283472" right="0.11811023622047245"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7"/>
  <sheetViews>
    <sheetView zoomScaleNormal="100" workbookViewId="0">
      <selection activeCell="B318" sqref="B318"/>
    </sheetView>
  </sheetViews>
  <sheetFormatPr defaultColWidth="8.77734375" defaultRowHeight="13.2" x14ac:dyDescent="0.25"/>
  <cols>
    <col min="1" max="1" width="11.21875" style="25" customWidth="1"/>
    <col min="2" max="2" width="34.21875" style="25" customWidth="1"/>
    <col min="3" max="3" width="11" style="25" customWidth="1"/>
    <col min="4" max="4" width="11.44140625" style="25" customWidth="1"/>
    <col min="5" max="5" width="11.21875" style="25" customWidth="1"/>
    <col min="6" max="6" width="11.77734375" style="25" customWidth="1"/>
    <col min="7" max="7" width="10.44140625" style="25" customWidth="1"/>
    <col min="8" max="8" width="8" style="25" customWidth="1"/>
    <col min="9" max="9" width="25.44140625" style="25" customWidth="1"/>
    <col min="10" max="10" width="7.77734375" style="25" customWidth="1"/>
    <col min="11" max="11" width="9.21875" style="83" customWidth="1"/>
    <col min="12" max="12" width="8.77734375" style="83" customWidth="1"/>
    <col min="13" max="13" width="44.77734375" style="25" customWidth="1"/>
    <col min="14" max="16384" width="8.77734375" style="25"/>
  </cols>
  <sheetData>
    <row r="1" spans="1:13" ht="15.6" customHeight="1" x14ac:dyDescent="0.25">
      <c r="A1" s="136" t="s">
        <v>38</v>
      </c>
      <c r="B1" s="136"/>
      <c r="C1" s="136"/>
      <c r="D1" s="136"/>
      <c r="E1" s="136"/>
      <c r="F1" s="136"/>
      <c r="G1" s="136"/>
      <c r="H1" s="136"/>
      <c r="I1" s="136"/>
      <c r="J1" s="136"/>
      <c r="K1" s="136"/>
      <c r="L1" s="136"/>
      <c r="M1" s="136"/>
    </row>
    <row r="2" spans="1:13" ht="15.6" customHeight="1" x14ac:dyDescent="0.25">
      <c r="A2" s="137" t="s">
        <v>279</v>
      </c>
      <c r="B2" s="137"/>
      <c r="C2" s="137"/>
      <c r="D2" s="137"/>
      <c r="E2" s="137"/>
      <c r="F2" s="137"/>
      <c r="G2" s="137"/>
      <c r="H2" s="137"/>
      <c r="I2" s="137"/>
      <c r="J2" s="137"/>
      <c r="K2" s="137"/>
      <c r="L2" s="137"/>
      <c r="M2" s="137"/>
    </row>
    <row r="3" spans="1:13" ht="13.8" thickBot="1" x14ac:dyDescent="0.3">
      <c r="M3" s="31" t="s">
        <v>31</v>
      </c>
    </row>
    <row r="4" spans="1:13" s="73" customFormat="1" x14ac:dyDescent="0.25">
      <c r="A4" s="138" t="s">
        <v>69</v>
      </c>
      <c r="B4" s="141" t="s">
        <v>70</v>
      </c>
      <c r="C4" s="141" t="s">
        <v>71</v>
      </c>
      <c r="D4" s="141" t="s">
        <v>284</v>
      </c>
      <c r="E4" s="141" t="s">
        <v>72</v>
      </c>
      <c r="F4" s="141" t="s">
        <v>73</v>
      </c>
      <c r="G4" s="141" t="s">
        <v>74</v>
      </c>
      <c r="H4" s="141" t="s">
        <v>75</v>
      </c>
      <c r="I4" s="141" t="s">
        <v>560</v>
      </c>
      <c r="J4" s="141"/>
      <c r="K4" s="141"/>
      <c r="L4" s="141"/>
      <c r="M4" s="144"/>
    </row>
    <row r="5" spans="1:13" s="73" customFormat="1" x14ac:dyDescent="0.25">
      <c r="A5" s="139"/>
      <c r="B5" s="142"/>
      <c r="C5" s="142"/>
      <c r="D5" s="142"/>
      <c r="E5" s="142"/>
      <c r="F5" s="142"/>
      <c r="G5" s="142"/>
      <c r="H5" s="142"/>
      <c r="I5" s="142" t="s">
        <v>76</v>
      </c>
      <c r="J5" s="142" t="s">
        <v>77</v>
      </c>
      <c r="K5" s="145" t="s">
        <v>285</v>
      </c>
      <c r="L5" s="145"/>
      <c r="M5" s="146" t="s">
        <v>78</v>
      </c>
    </row>
    <row r="6" spans="1:13" s="73" customFormat="1" ht="13.8" thickBot="1" x14ac:dyDescent="0.3">
      <c r="A6" s="140"/>
      <c r="B6" s="143"/>
      <c r="C6" s="143"/>
      <c r="D6" s="143"/>
      <c r="E6" s="143"/>
      <c r="F6" s="143"/>
      <c r="G6" s="143"/>
      <c r="H6" s="143"/>
      <c r="I6" s="143"/>
      <c r="J6" s="143"/>
      <c r="K6" s="84" t="s">
        <v>20</v>
      </c>
      <c r="L6" s="84" t="s">
        <v>79</v>
      </c>
      <c r="M6" s="147"/>
    </row>
    <row r="7" spans="1:13" ht="13.8" thickBot="1" x14ac:dyDescent="0.3">
      <c r="A7" s="15" t="s">
        <v>3</v>
      </c>
      <c r="B7" s="32" t="s">
        <v>80</v>
      </c>
      <c r="C7" s="33"/>
      <c r="D7" s="33"/>
      <c r="E7" s="34">
        <f>E8+E194</f>
        <v>104243.1</v>
      </c>
      <c r="F7" s="34">
        <f>F8+F194</f>
        <v>107256.5</v>
      </c>
      <c r="G7" s="34">
        <f>G8+G194-0.1</f>
        <v>102066.7</v>
      </c>
      <c r="H7" s="34">
        <f>H8+H194+0.1</f>
        <v>5189.8</v>
      </c>
      <c r="I7" s="33"/>
      <c r="J7" s="16"/>
      <c r="K7" s="85"/>
      <c r="L7" s="85"/>
      <c r="M7" s="35"/>
    </row>
    <row r="8" spans="1:13" ht="158.4" x14ac:dyDescent="0.25">
      <c r="A8" s="36" t="s">
        <v>81</v>
      </c>
      <c r="B8" s="37" t="s">
        <v>82</v>
      </c>
      <c r="C8" s="38"/>
      <c r="D8" s="38"/>
      <c r="E8" s="39">
        <f>SUM(E9:E12)</f>
        <v>91713.1</v>
      </c>
      <c r="F8" s="39">
        <f>SUM(F9:F12)</f>
        <v>96191.4</v>
      </c>
      <c r="G8" s="39">
        <f>SUM(G9:G12)</f>
        <v>93151</v>
      </c>
      <c r="H8" s="39">
        <f>SUM(H9:H12)</f>
        <v>3040.3999999999996</v>
      </c>
      <c r="I8" s="97" t="s">
        <v>286</v>
      </c>
      <c r="J8" s="98" t="s">
        <v>84</v>
      </c>
      <c r="K8" s="99" t="s">
        <v>287</v>
      </c>
      <c r="L8" s="99">
        <v>4</v>
      </c>
      <c r="M8" s="82" t="s">
        <v>581</v>
      </c>
    </row>
    <row r="9" spans="1:13" ht="85.95" customHeight="1" x14ac:dyDescent="0.25">
      <c r="A9" s="22"/>
      <c r="B9" s="26"/>
      <c r="C9" s="40"/>
      <c r="D9" s="40"/>
      <c r="E9" s="41">
        <v>0</v>
      </c>
      <c r="F9" s="41">
        <v>0</v>
      </c>
      <c r="G9" s="41">
        <v>0</v>
      </c>
      <c r="H9" s="41">
        <v>0</v>
      </c>
      <c r="I9" s="40" t="s">
        <v>85</v>
      </c>
      <c r="J9" s="21" t="s">
        <v>83</v>
      </c>
      <c r="K9" s="86" t="s">
        <v>288</v>
      </c>
      <c r="L9" s="86" t="s">
        <v>289</v>
      </c>
      <c r="M9" s="102" t="s">
        <v>582</v>
      </c>
    </row>
    <row r="10" spans="1:13" ht="26.4" x14ac:dyDescent="0.25">
      <c r="A10" s="22"/>
      <c r="B10" s="26"/>
      <c r="C10" s="40"/>
      <c r="D10" s="40"/>
      <c r="E10" s="41">
        <v>0</v>
      </c>
      <c r="F10" s="41">
        <v>0</v>
      </c>
      <c r="G10" s="41">
        <v>0</v>
      </c>
      <c r="H10" s="41">
        <v>0</v>
      </c>
      <c r="I10" s="40" t="s">
        <v>290</v>
      </c>
      <c r="J10" s="21" t="s">
        <v>83</v>
      </c>
      <c r="K10" s="86" t="s">
        <v>291</v>
      </c>
      <c r="L10" s="86" t="s">
        <v>291</v>
      </c>
      <c r="M10" s="42"/>
    </row>
    <row r="11" spans="1:13" ht="53.4" thickBot="1" x14ac:dyDescent="0.3">
      <c r="A11" s="22"/>
      <c r="B11" s="26"/>
      <c r="C11" s="40"/>
      <c r="D11" s="40"/>
      <c r="E11" s="41">
        <v>0</v>
      </c>
      <c r="F11" s="41">
        <v>0</v>
      </c>
      <c r="G11" s="41">
        <v>0</v>
      </c>
      <c r="H11" s="41">
        <v>0</v>
      </c>
      <c r="I11" s="40" t="s">
        <v>292</v>
      </c>
      <c r="J11" s="21" t="s">
        <v>84</v>
      </c>
      <c r="K11" s="86" t="s">
        <v>293</v>
      </c>
      <c r="L11" s="86" t="s">
        <v>294</v>
      </c>
      <c r="M11" s="42"/>
    </row>
    <row r="12" spans="1:13" ht="27" thickBot="1" x14ac:dyDescent="0.3">
      <c r="A12" s="17" t="s">
        <v>86</v>
      </c>
      <c r="B12" s="43" t="s">
        <v>30</v>
      </c>
      <c r="C12" s="44"/>
      <c r="D12" s="44"/>
      <c r="E12" s="45">
        <f>E13+E173+E183+E186+E188+E190+E192</f>
        <v>91713.1</v>
      </c>
      <c r="F12" s="45">
        <f>F13+F173+F183+F186+F188+F190+F192</f>
        <v>96191.4</v>
      </c>
      <c r="G12" s="45">
        <f>G13+G173+G183+G186+G188+G190+G192+0.1</f>
        <v>93151</v>
      </c>
      <c r="H12" s="45">
        <f>H13+H173+H183+H186+H188+H190+H192-0.2</f>
        <v>3040.3999999999996</v>
      </c>
      <c r="I12" s="44"/>
      <c r="J12" s="18"/>
      <c r="K12" s="87"/>
      <c r="L12" s="87"/>
      <c r="M12" s="46"/>
    </row>
    <row r="13" spans="1:13" ht="27" thickBot="1" x14ac:dyDescent="0.3">
      <c r="A13" s="19" t="s">
        <v>87</v>
      </c>
      <c r="B13" s="47" t="s">
        <v>15</v>
      </c>
      <c r="C13" s="48"/>
      <c r="D13" s="48"/>
      <c r="E13" s="49">
        <f>E14+E15+E28+E30+E32+E34+E36+E38+E40+E41+E42+E61+E64+E86+E89+E92+E95+E98+E101+E105+E106+E109+E110+E120+E129+E137+E142+E144+E147+E148+E150+E152+E155+E158+E159+E163+E165+E166+E169+E171</f>
        <v>90510.000000000015</v>
      </c>
      <c r="F13" s="49">
        <f>F14+F15+F28+F30+F32+F34+F36+F38+F40+F41+F42+F61+F64+F86+F89+F92+F95+F98+F101+F105+F106+F109+F110+F120+F129+F137+F142+F144+F147+F148+F150+F152+F155+F158+F159+F163+F165+F166+F169+F171</f>
        <v>94372</v>
      </c>
      <c r="G13" s="49">
        <f>G14+G15+G28+G30+G32+G34+G36+G38+G40+G41+G42+G61+G64+G86+G89+G92+G95+G98+G101+G105+G106+G109+G110+G120+G129+G137+G142+G144+G147+G148+G150+G152+G155+G158+G159+G163+G165+G166+G169+G171-0.2</f>
        <v>91444.9</v>
      </c>
      <c r="H13" s="49">
        <f>H14+H15+H28+H30+H32+H34+H36+H38+H40+H41+H42+H61+H64+H86+H89+H92+H95+H98+H101+H105+H106+H109+H110+H120+H129+H137+H142+H144+H147+H148+H150+H152+H155+H158+H159+H163+H165+H166+H169+H171+0.2</f>
        <v>2927.2</v>
      </c>
      <c r="I13" s="48"/>
      <c r="J13" s="20"/>
      <c r="K13" s="88"/>
      <c r="L13" s="88"/>
      <c r="M13" s="50"/>
    </row>
    <row r="14" spans="1:13" ht="40.200000000000003" thickBot="1" x14ac:dyDescent="0.3">
      <c r="A14" s="19" t="s">
        <v>295</v>
      </c>
      <c r="B14" s="47" t="s">
        <v>296</v>
      </c>
      <c r="C14" s="48" t="s">
        <v>4</v>
      </c>
      <c r="D14" s="48" t="s">
        <v>297</v>
      </c>
      <c r="E14" s="51">
        <v>198.5</v>
      </c>
      <c r="F14" s="51">
        <v>0</v>
      </c>
      <c r="G14" s="51">
        <v>0</v>
      </c>
      <c r="H14" s="51">
        <v>0</v>
      </c>
      <c r="I14" s="48"/>
      <c r="J14" s="20"/>
      <c r="K14" s="88"/>
      <c r="L14" s="88"/>
      <c r="M14" s="50"/>
    </row>
    <row r="15" spans="1:13" ht="28.2" customHeight="1" x14ac:dyDescent="0.25">
      <c r="A15" s="111" t="s">
        <v>88</v>
      </c>
      <c r="B15" s="130" t="s">
        <v>89</v>
      </c>
      <c r="C15" s="48"/>
      <c r="D15" s="48"/>
      <c r="E15" s="49">
        <f>SUM(E16:E27)</f>
        <v>31191.600000000002</v>
      </c>
      <c r="F15" s="49">
        <f>SUM(F16:F27)+0.1</f>
        <v>32536.800000000003</v>
      </c>
      <c r="G15" s="49">
        <f>SUM(G16:G27)</f>
        <v>31440.000000000004</v>
      </c>
      <c r="H15" s="49">
        <f>SUM(H16:H27)</f>
        <v>1096.8</v>
      </c>
      <c r="I15" s="48" t="s">
        <v>90</v>
      </c>
      <c r="J15" s="20" t="s">
        <v>91</v>
      </c>
      <c r="K15" s="88" t="s">
        <v>298</v>
      </c>
      <c r="L15" s="88">
        <v>48</v>
      </c>
      <c r="M15" s="50" t="s">
        <v>554</v>
      </c>
    </row>
    <row r="16" spans="1:13" x14ac:dyDescent="0.25">
      <c r="A16" s="113"/>
      <c r="B16" s="131"/>
      <c r="C16" s="40" t="s">
        <v>4</v>
      </c>
      <c r="D16" s="40" t="s">
        <v>297</v>
      </c>
      <c r="E16" s="52">
        <v>18157.5</v>
      </c>
      <c r="F16" s="52">
        <v>18379.400000000001</v>
      </c>
      <c r="G16" s="52">
        <v>18296.5</v>
      </c>
      <c r="H16" s="52">
        <v>82.9</v>
      </c>
      <c r="I16" s="40" t="s">
        <v>92</v>
      </c>
      <c r="J16" s="21" t="s">
        <v>91</v>
      </c>
      <c r="K16" s="86" t="s">
        <v>299</v>
      </c>
      <c r="L16" s="86" t="s">
        <v>300</v>
      </c>
      <c r="M16" s="42" t="s">
        <v>301</v>
      </c>
    </row>
    <row r="17" spans="1:13" ht="26.4" x14ac:dyDescent="0.25">
      <c r="A17" s="22"/>
      <c r="B17" s="26"/>
      <c r="C17" s="40" t="s">
        <v>27</v>
      </c>
      <c r="D17" s="40" t="s">
        <v>302</v>
      </c>
      <c r="E17" s="52">
        <v>30</v>
      </c>
      <c r="F17" s="52">
        <v>30</v>
      </c>
      <c r="G17" s="52">
        <v>30</v>
      </c>
      <c r="H17" s="52">
        <v>0</v>
      </c>
      <c r="I17" s="40" t="s">
        <v>303</v>
      </c>
      <c r="J17" s="21" t="s">
        <v>84</v>
      </c>
      <c r="K17" s="86" t="s">
        <v>304</v>
      </c>
      <c r="L17" s="86" t="s">
        <v>305</v>
      </c>
      <c r="M17" s="42" t="s">
        <v>306</v>
      </c>
    </row>
    <row r="18" spans="1:13" ht="14.55" customHeight="1" x14ac:dyDescent="0.25">
      <c r="A18" s="22"/>
      <c r="B18" s="26"/>
      <c r="C18" s="40" t="s">
        <v>14</v>
      </c>
      <c r="D18" s="40" t="s">
        <v>307</v>
      </c>
      <c r="E18" s="52">
        <v>3620.4</v>
      </c>
      <c r="F18" s="52">
        <v>3620.4</v>
      </c>
      <c r="G18" s="52">
        <v>2723</v>
      </c>
      <c r="H18" s="52">
        <v>897.4</v>
      </c>
      <c r="I18" s="153" t="s">
        <v>308</v>
      </c>
      <c r="J18" s="21" t="s">
        <v>84</v>
      </c>
      <c r="K18" s="86" t="s">
        <v>309</v>
      </c>
      <c r="L18" s="86" t="s">
        <v>309</v>
      </c>
      <c r="M18" s="135" t="s">
        <v>583</v>
      </c>
    </row>
    <row r="19" spans="1:13" x14ac:dyDescent="0.25">
      <c r="A19" s="22"/>
      <c r="B19" s="26"/>
      <c r="C19" s="40" t="s">
        <v>14</v>
      </c>
      <c r="D19" s="40" t="s">
        <v>310</v>
      </c>
      <c r="E19" s="52">
        <v>36.200000000000003</v>
      </c>
      <c r="F19" s="52">
        <v>36.200000000000003</v>
      </c>
      <c r="G19" s="52">
        <v>15.3</v>
      </c>
      <c r="H19" s="52">
        <v>20.9</v>
      </c>
      <c r="I19" s="133"/>
      <c r="J19" s="21"/>
      <c r="K19" s="86"/>
      <c r="L19" s="86"/>
      <c r="M19" s="118"/>
    </row>
    <row r="20" spans="1:13" x14ac:dyDescent="0.25">
      <c r="A20" s="22"/>
      <c r="B20" s="26"/>
      <c r="C20" s="40" t="s">
        <v>5</v>
      </c>
      <c r="D20" s="40" t="s">
        <v>311</v>
      </c>
      <c r="E20" s="52"/>
      <c r="F20" s="52">
        <v>89.6</v>
      </c>
      <c r="G20" s="52">
        <v>88.4</v>
      </c>
      <c r="H20" s="52">
        <v>1.2</v>
      </c>
      <c r="I20" s="133"/>
      <c r="J20" s="21"/>
      <c r="K20" s="86"/>
      <c r="L20" s="86"/>
      <c r="M20" s="118"/>
    </row>
    <row r="21" spans="1:13" x14ac:dyDescent="0.25">
      <c r="A21" s="22"/>
      <c r="B21" s="26"/>
      <c r="C21" s="40" t="s">
        <v>18</v>
      </c>
      <c r="D21" s="40" t="s">
        <v>312</v>
      </c>
      <c r="E21" s="52"/>
      <c r="F21" s="52">
        <v>198.9</v>
      </c>
      <c r="G21" s="52">
        <v>110.5</v>
      </c>
      <c r="H21" s="52">
        <v>88.5</v>
      </c>
      <c r="I21" s="133"/>
      <c r="J21" s="21"/>
      <c r="K21" s="86"/>
      <c r="L21" s="86"/>
      <c r="M21" s="118"/>
    </row>
    <row r="22" spans="1:13" x14ac:dyDescent="0.25">
      <c r="A22" s="22"/>
      <c r="B22" s="26"/>
      <c r="C22" s="40" t="s">
        <v>27</v>
      </c>
      <c r="D22" s="40" t="s">
        <v>313</v>
      </c>
      <c r="E22" s="52">
        <v>5.9</v>
      </c>
      <c r="F22" s="52">
        <v>5.9</v>
      </c>
      <c r="G22" s="52">
        <v>5.9</v>
      </c>
      <c r="H22" s="52"/>
      <c r="I22" s="133"/>
      <c r="J22" s="21"/>
      <c r="K22" s="86"/>
      <c r="L22" s="86"/>
      <c r="M22" s="118"/>
    </row>
    <row r="23" spans="1:13" x14ac:dyDescent="0.25">
      <c r="A23" s="22"/>
      <c r="B23" s="26"/>
      <c r="C23" s="40" t="s">
        <v>27</v>
      </c>
      <c r="D23" s="40" t="s">
        <v>314</v>
      </c>
      <c r="E23" s="52">
        <v>157.6</v>
      </c>
      <c r="F23" s="52">
        <v>157.6</v>
      </c>
      <c r="G23" s="52">
        <v>157.4</v>
      </c>
      <c r="H23" s="52">
        <v>0.2</v>
      </c>
      <c r="I23" s="133"/>
      <c r="J23" s="21"/>
      <c r="K23" s="86"/>
      <c r="L23" s="86"/>
      <c r="M23" s="118"/>
    </row>
    <row r="24" spans="1:13" x14ac:dyDescent="0.25">
      <c r="A24" s="22"/>
      <c r="B24" s="26"/>
      <c r="C24" s="40" t="s">
        <v>5</v>
      </c>
      <c r="D24" s="40" t="s">
        <v>315</v>
      </c>
      <c r="E24" s="52">
        <v>9184</v>
      </c>
      <c r="F24" s="52">
        <v>10010.6</v>
      </c>
      <c r="G24" s="52">
        <v>10007.799999999999</v>
      </c>
      <c r="H24" s="52">
        <v>2.8</v>
      </c>
      <c r="I24" s="133"/>
      <c r="J24" s="21"/>
      <c r="K24" s="86"/>
      <c r="L24" s="86"/>
      <c r="M24" s="118"/>
    </row>
    <row r="25" spans="1:13" x14ac:dyDescent="0.25">
      <c r="A25" s="22"/>
      <c r="B25" s="26"/>
      <c r="C25" s="40" t="s">
        <v>18</v>
      </c>
      <c r="D25" s="40" t="s">
        <v>278</v>
      </c>
      <c r="E25" s="52"/>
      <c r="F25" s="52">
        <v>3</v>
      </c>
      <c r="G25" s="52">
        <v>3</v>
      </c>
      <c r="H25" s="52"/>
      <c r="I25" s="133"/>
      <c r="J25" s="21"/>
      <c r="K25" s="86"/>
      <c r="L25" s="86"/>
      <c r="M25" s="118"/>
    </row>
    <row r="26" spans="1:13" x14ac:dyDescent="0.25">
      <c r="A26" s="22"/>
      <c r="B26" s="26"/>
      <c r="C26" s="40" t="s">
        <v>1</v>
      </c>
      <c r="D26" s="40" t="s">
        <v>316</v>
      </c>
      <c r="E26" s="52"/>
      <c r="F26" s="52">
        <v>3</v>
      </c>
      <c r="G26" s="52">
        <v>1.7</v>
      </c>
      <c r="H26" s="52">
        <v>1.3</v>
      </c>
      <c r="I26" s="133"/>
      <c r="J26" s="21"/>
      <c r="K26" s="86"/>
      <c r="L26" s="86"/>
      <c r="M26" s="118"/>
    </row>
    <row r="27" spans="1:13" ht="13.8" thickBot="1" x14ac:dyDescent="0.3">
      <c r="A27" s="22"/>
      <c r="B27" s="26"/>
      <c r="C27" s="40" t="s">
        <v>2</v>
      </c>
      <c r="D27" s="40" t="s">
        <v>60</v>
      </c>
      <c r="E27" s="52"/>
      <c r="F27" s="52">
        <v>2.1</v>
      </c>
      <c r="G27" s="52">
        <v>0.5</v>
      </c>
      <c r="H27" s="52">
        <v>1.6</v>
      </c>
      <c r="I27" s="134"/>
      <c r="J27" s="21"/>
      <c r="K27" s="86"/>
      <c r="L27" s="86"/>
      <c r="M27" s="119"/>
    </row>
    <row r="28" spans="1:13" ht="30.6" customHeight="1" x14ac:dyDescent="0.25">
      <c r="A28" s="111" t="s">
        <v>93</v>
      </c>
      <c r="B28" s="130" t="s">
        <v>561</v>
      </c>
      <c r="C28" s="48" t="s">
        <v>5</v>
      </c>
      <c r="D28" s="48" t="s">
        <v>315</v>
      </c>
      <c r="E28" s="49">
        <f>SUM(E29:E29)+56.3</f>
        <v>56.3</v>
      </c>
      <c r="F28" s="49">
        <f>SUM(F29:F29)+55.5</f>
        <v>55.5</v>
      </c>
      <c r="G28" s="49">
        <f>SUM(G29:G29)+55.5</f>
        <v>55.5</v>
      </c>
      <c r="H28" s="49">
        <f>SUM(H29:H29)</f>
        <v>0</v>
      </c>
      <c r="I28" s="48" t="s">
        <v>92</v>
      </c>
      <c r="J28" s="20" t="s">
        <v>91</v>
      </c>
      <c r="K28" s="88" t="s">
        <v>317</v>
      </c>
      <c r="L28" s="88" t="s">
        <v>318</v>
      </c>
      <c r="M28" s="50" t="s">
        <v>301</v>
      </c>
    </row>
    <row r="29" spans="1:13" ht="13.8" thickBot="1" x14ac:dyDescent="0.3">
      <c r="A29" s="112"/>
      <c r="B29" s="134"/>
      <c r="C29" s="40"/>
      <c r="D29" s="40"/>
      <c r="E29" s="41">
        <v>0</v>
      </c>
      <c r="F29" s="41">
        <v>0</v>
      </c>
      <c r="G29" s="41">
        <v>0</v>
      </c>
      <c r="H29" s="41">
        <v>0</v>
      </c>
      <c r="I29" s="40" t="s">
        <v>94</v>
      </c>
      <c r="J29" s="21" t="s">
        <v>91</v>
      </c>
      <c r="K29" s="86" t="s">
        <v>319</v>
      </c>
      <c r="L29" s="86" t="s">
        <v>319</v>
      </c>
      <c r="M29" s="42"/>
    </row>
    <row r="30" spans="1:13" ht="30" customHeight="1" x14ac:dyDescent="0.25">
      <c r="A30" s="111" t="s">
        <v>95</v>
      </c>
      <c r="B30" s="130" t="s">
        <v>562</v>
      </c>
      <c r="C30" s="48" t="s">
        <v>5</v>
      </c>
      <c r="D30" s="48" t="s">
        <v>315</v>
      </c>
      <c r="E30" s="49">
        <f>SUM(E31:E31)+100.4</f>
        <v>100.4</v>
      </c>
      <c r="F30" s="49">
        <f>SUM(F31:F31)+112.4</f>
        <v>112.4</v>
      </c>
      <c r="G30" s="49">
        <f>SUM(G31:G31)+112.4</f>
        <v>112.4</v>
      </c>
      <c r="H30" s="49">
        <f>SUM(H31:H31)</f>
        <v>0</v>
      </c>
      <c r="I30" s="48" t="s">
        <v>92</v>
      </c>
      <c r="J30" s="20" t="s">
        <v>91</v>
      </c>
      <c r="K30" s="88" t="s">
        <v>298</v>
      </c>
      <c r="L30" s="88" t="s">
        <v>320</v>
      </c>
      <c r="M30" s="50" t="s">
        <v>301</v>
      </c>
    </row>
    <row r="31" spans="1:13" ht="13.8" thickBot="1" x14ac:dyDescent="0.3">
      <c r="A31" s="112"/>
      <c r="B31" s="134"/>
      <c r="C31" s="40"/>
      <c r="D31" s="40"/>
      <c r="E31" s="41">
        <v>0</v>
      </c>
      <c r="F31" s="41">
        <v>0</v>
      </c>
      <c r="G31" s="41">
        <v>0</v>
      </c>
      <c r="H31" s="41">
        <v>0</v>
      </c>
      <c r="I31" s="40" t="s">
        <v>94</v>
      </c>
      <c r="J31" s="21" t="s">
        <v>91</v>
      </c>
      <c r="K31" s="86" t="s">
        <v>319</v>
      </c>
      <c r="L31" s="86" t="s">
        <v>319</v>
      </c>
      <c r="M31" s="42"/>
    </row>
    <row r="32" spans="1:13" ht="54" customHeight="1" x14ac:dyDescent="0.25">
      <c r="A32" s="111" t="s">
        <v>96</v>
      </c>
      <c r="B32" s="130" t="s">
        <v>563</v>
      </c>
      <c r="C32" s="48" t="s">
        <v>5</v>
      </c>
      <c r="D32" s="48" t="s">
        <v>315</v>
      </c>
      <c r="E32" s="49">
        <f>SUM(E33:E33)+149.4</f>
        <v>149.4</v>
      </c>
      <c r="F32" s="49">
        <f>SUM(F33:F33)+157.9</f>
        <v>157.9</v>
      </c>
      <c r="G32" s="49">
        <f>SUM(G33:G33)+157.9</f>
        <v>157.9</v>
      </c>
      <c r="H32" s="49">
        <f>SUM(H33:H33)</f>
        <v>0</v>
      </c>
      <c r="I32" s="48" t="s">
        <v>92</v>
      </c>
      <c r="J32" s="20" t="s">
        <v>91</v>
      </c>
      <c r="K32" s="100">
        <v>70</v>
      </c>
      <c r="L32" s="100">
        <v>70</v>
      </c>
      <c r="M32" s="50" t="s">
        <v>557</v>
      </c>
    </row>
    <row r="33" spans="1:13" ht="13.8" thickBot="1" x14ac:dyDescent="0.3">
      <c r="A33" s="112"/>
      <c r="B33" s="134"/>
      <c r="C33" s="40"/>
      <c r="D33" s="40"/>
      <c r="E33" s="41">
        <v>0</v>
      </c>
      <c r="F33" s="41">
        <v>0</v>
      </c>
      <c r="G33" s="41">
        <v>0</v>
      </c>
      <c r="H33" s="41">
        <v>0</v>
      </c>
      <c r="I33" s="40" t="s">
        <v>94</v>
      </c>
      <c r="J33" s="21" t="s">
        <v>91</v>
      </c>
      <c r="K33" s="86" t="s">
        <v>319</v>
      </c>
      <c r="L33" s="86" t="s">
        <v>319</v>
      </c>
      <c r="M33" s="42"/>
    </row>
    <row r="34" spans="1:13" ht="33.6" customHeight="1" x14ac:dyDescent="0.25">
      <c r="A34" s="111" t="s">
        <v>97</v>
      </c>
      <c r="B34" s="130" t="s">
        <v>564</v>
      </c>
      <c r="C34" s="48" t="s">
        <v>5</v>
      </c>
      <c r="D34" s="48" t="s">
        <v>315</v>
      </c>
      <c r="E34" s="49">
        <f>SUM(E35:E35)+47.8</f>
        <v>47.8</v>
      </c>
      <c r="F34" s="49">
        <f>SUM(F35:F35)+45</f>
        <v>45</v>
      </c>
      <c r="G34" s="49">
        <f>SUM(G35:G35)+44.9</f>
        <v>44.9</v>
      </c>
      <c r="H34" s="49">
        <f>SUM(H35:H35)+0.1</f>
        <v>0.1</v>
      </c>
      <c r="I34" s="48" t="s">
        <v>92</v>
      </c>
      <c r="J34" s="20" t="s">
        <v>91</v>
      </c>
      <c r="K34" s="88" t="s">
        <v>321</v>
      </c>
      <c r="L34" s="88" t="s">
        <v>322</v>
      </c>
      <c r="M34" s="50" t="s">
        <v>301</v>
      </c>
    </row>
    <row r="35" spans="1:13" ht="13.8" thickBot="1" x14ac:dyDescent="0.3">
      <c r="A35" s="112"/>
      <c r="B35" s="134"/>
      <c r="C35" s="40"/>
      <c r="D35" s="40"/>
      <c r="E35" s="41">
        <v>0</v>
      </c>
      <c r="F35" s="41">
        <v>0</v>
      </c>
      <c r="G35" s="41">
        <v>0</v>
      </c>
      <c r="H35" s="41">
        <v>0</v>
      </c>
      <c r="I35" s="40" t="s">
        <v>94</v>
      </c>
      <c r="J35" s="21" t="s">
        <v>91</v>
      </c>
      <c r="K35" s="86" t="s">
        <v>319</v>
      </c>
      <c r="L35" s="86" t="s">
        <v>319</v>
      </c>
      <c r="M35" s="42"/>
    </row>
    <row r="36" spans="1:13" ht="31.2" customHeight="1" x14ac:dyDescent="0.25">
      <c r="A36" s="111" t="s">
        <v>98</v>
      </c>
      <c r="B36" s="130" t="s">
        <v>565</v>
      </c>
      <c r="C36" s="48" t="s">
        <v>5</v>
      </c>
      <c r="D36" s="48" t="s">
        <v>315</v>
      </c>
      <c r="E36" s="49">
        <f>SUM(E37:E37)+49.1</f>
        <v>49.1</v>
      </c>
      <c r="F36" s="49">
        <f>SUM(F37:F37)+57.3</f>
        <v>57.3</v>
      </c>
      <c r="G36" s="49">
        <f>SUM(G37:G37)+57.2</f>
        <v>57.2</v>
      </c>
      <c r="H36" s="49">
        <f>SUM(H37:H37)+0.1</f>
        <v>0.1</v>
      </c>
      <c r="I36" s="48" t="s">
        <v>92</v>
      </c>
      <c r="J36" s="20" t="s">
        <v>91</v>
      </c>
      <c r="K36" s="88" t="s">
        <v>323</v>
      </c>
      <c r="L36" s="88" t="s">
        <v>324</v>
      </c>
      <c r="M36" s="50" t="s">
        <v>301</v>
      </c>
    </row>
    <row r="37" spans="1:13" ht="13.8" thickBot="1" x14ac:dyDescent="0.3">
      <c r="A37" s="112"/>
      <c r="B37" s="134"/>
      <c r="C37" s="40"/>
      <c r="D37" s="40"/>
      <c r="E37" s="41">
        <v>0</v>
      </c>
      <c r="F37" s="41">
        <v>0</v>
      </c>
      <c r="G37" s="41">
        <v>0</v>
      </c>
      <c r="H37" s="41">
        <v>0</v>
      </c>
      <c r="I37" s="40" t="s">
        <v>94</v>
      </c>
      <c r="J37" s="21" t="s">
        <v>91</v>
      </c>
      <c r="K37" s="86" t="s">
        <v>319</v>
      </c>
      <c r="L37" s="86" t="s">
        <v>319</v>
      </c>
      <c r="M37" s="42"/>
    </row>
    <row r="38" spans="1:13" ht="22.2" customHeight="1" x14ac:dyDescent="0.25">
      <c r="A38" s="111" t="s">
        <v>99</v>
      </c>
      <c r="B38" s="130" t="s">
        <v>566</v>
      </c>
      <c r="C38" s="48" t="s">
        <v>5</v>
      </c>
      <c r="D38" s="48" t="s">
        <v>315</v>
      </c>
      <c r="E38" s="49">
        <f>SUM(E39:E39)+72.7</f>
        <v>72.7</v>
      </c>
      <c r="F38" s="49">
        <f>SUM(F39:F39)+93.5</f>
        <v>93.5</v>
      </c>
      <c r="G38" s="49">
        <f>SUM(G39:G39)+93.5</f>
        <v>93.5</v>
      </c>
      <c r="H38" s="49">
        <f>SUM(H39:H39)</f>
        <v>0</v>
      </c>
      <c r="I38" s="48" t="s">
        <v>94</v>
      </c>
      <c r="J38" s="20" t="s">
        <v>91</v>
      </c>
      <c r="K38" s="88" t="s">
        <v>319</v>
      </c>
      <c r="L38" s="88" t="s">
        <v>319</v>
      </c>
      <c r="M38" s="50"/>
    </row>
    <row r="39" spans="1:13" ht="22.2" customHeight="1" thickBot="1" x14ac:dyDescent="0.3">
      <c r="A39" s="112"/>
      <c r="B39" s="134"/>
      <c r="C39" s="40"/>
      <c r="D39" s="40"/>
      <c r="E39" s="41">
        <v>0</v>
      </c>
      <c r="F39" s="41">
        <v>0</v>
      </c>
      <c r="G39" s="41">
        <v>0</v>
      </c>
      <c r="H39" s="41">
        <v>0</v>
      </c>
      <c r="I39" s="40" t="s">
        <v>92</v>
      </c>
      <c r="J39" s="21" t="s">
        <v>91</v>
      </c>
      <c r="K39" s="86" t="s">
        <v>325</v>
      </c>
      <c r="L39" s="101">
        <v>38</v>
      </c>
      <c r="M39" s="42" t="s">
        <v>557</v>
      </c>
    </row>
    <row r="40" spans="1:13" ht="43.95" customHeight="1" thickBot="1" x14ac:dyDescent="0.3">
      <c r="A40" s="19" t="s">
        <v>100</v>
      </c>
      <c r="B40" s="47" t="s">
        <v>567</v>
      </c>
      <c r="C40" s="48" t="s">
        <v>5</v>
      </c>
      <c r="D40" s="48" t="s">
        <v>315</v>
      </c>
      <c r="E40" s="51">
        <v>22.8</v>
      </c>
      <c r="F40" s="51">
        <v>31.8</v>
      </c>
      <c r="G40" s="51">
        <v>31.8</v>
      </c>
      <c r="H40" s="51">
        <v>0</v>
      </c>
      <c r="I40" s="48" t="s">
        <v>92</v>
      </c>
      <c r="J40" s="20" t="s">
        <v>91</v>
      </c>
      <c r="K40" s="88" t="s">
        <v>327</v>
      </c>
      <c r="L40" s="88" t="s">
        <v>305</v>
      </c>
      <c r="M40" s="50" t="s">
        <v>301</v>
      </c>
    </row>
    <row r="41" spans="1:13" ht="45.6" customHeight="1" thickBot="1" x14ac:dyDescent="0.3">
      <c r="A41" s="19" t="s">
        <v>328</v>
      </c>
      <c r="B41" s="47" t="s">
        <v>568</v>
      </c>
      <c r="C41" s="48" t="s">
        <v>5</v>
      </c>
      <c r="D41" s="48" t="s">
        <v>315</v>
      </c>
      <c r="E41" s="51">
        <v>0</v>
      </c>
      <c r="F41" s="51">
        <v>16.100000000000001</v>
      </c>
      <c r="G41" s="51">
        <v>16.100000000000001</v>
      </c>
      <c r="H41" s="51">
        <v>0</v>
      </c>
      <c r="I41" s="48"/>
      <c r="J41" s="20"/>
      <c r="K41" s="88"/>
      <c r="L41" s="88"/>
      <c r="M41" s="50"/>
    </row>
    <row r="42" spans="1:13" ht="30" customHeight="1" x14ac:dyDescent="0.25">
      <c r="A42" s="111" t="s">
        <v>101</v>
      </c>
      <c r="B42" s="130" t="s">
        <v>102</v>
      </c>
      <c r="C42" s="48"/>
      <c r="D42" s="48"/>
      <c r="E42" s="49">
        <f>SUM(E43:E60)</f>
        <v>3218.2000000000003</v>
      </c>
      <c r="F42" s="49">
        <f>SUM(F43:F60)</f>
        <v>3369.6000000000004</v>
      </c>
      <c r="G42" s="49">
        <f>SUM(G43:G60)-0.1</f>
        <v>3202.1000000000004</v>
      </c>
      <c r="H42" s="49">
        <f>SUM(H43:H60)+0.1</f>
        <v>167.49999999999997</v>
      </c>
      <c r="I42" s="48" t="s">
        <v>90</v>
      </c>
      <c r="J42" s="20" t="s">
        <v>91</v>
      </c>
      <c r="K42" s="88" t="s">
        <v>329</v>
      </c>
      <c r="L42" s="88" t="s">
        <v>329</v>
      </c>
      <c r="M42" s="50" t="s">
        <v>584</v>
      </c>
    </row>
    <row r="43" spans="1:13" x14ac:dyDescent="0.25">
      <c r="A43" s="132"/>
      <c r="B43" s="133"/>
      <c r="C43" s="40" t="s">
        <v>18</v>
      </c>
      <c r="D43" s="40" t="s">
        <v>312</v>
      </c>
      <c r="E43" s="52">
        <v>0</v>
      </c>
      <c r="F43" s="52">
        <v>24.1</v>
      </c>
      <c r="G43" s="52">
        <v>24.1</v>
      </c>
      <c r="H43" s="52">
        <v>0</v>
      </c>
      <c r="I43" s="40" t="s">
        <v>103</v>
      </c>
      <c r="J43" s="21" t="s">
        <v>84</v>
      </c>
      <c r="K43" s="86" t="s">
        <v>330</v>
      </c>
      <c r="L43" s="86" t="s">
        <v>331</v>
      </c>
      <c r="M43" s="42" t="s">
        <v>301</v>
      </c>
    </row>
    <row r="44" spans="1:13" ht="20.55" customHeight="1" x14ac:dyDescent="0.25">
      <c r="A44" s="113"/>
      <c r="B44" s="131"/>
      <c r="C44" s="40" t="s">
        <v>5</v>
      </c>
      <c r="D44" s="40" t="s">
        <v>332</v>
      </c>
      <c r="E44" s="52">
        <v>0</v>
      </c>
      <c r="F44" s="52">
        <v>1.4</v>
      </c>
      <c r="G44" s="52">
        <v>0.9</v>
      </c>
      <c r="H44" s="52">
        <v>0.5</v>
      </c>
      <c r="I44" s="40" t="s">
        <v>92</v>
      </c>
      <c r="J44" s="21" t="s">
        <v>91</v>
      </c>
      <c r="K44" s="86" t="s">
        <v>333</v>
      </c>
      <c r="L44" s="86" t="s">
        <v>334</v>
      </c>
      <c r="M44" s="42" t="s">
        <v>301</v>
      </c>
    </row>
    <row r="45" spans="1:13" ht="39.6" x14ac:dyDescent="0.25">
      <c r="A45" s="22"/>
      <c r="B45" s="26"/>
      <c r="C45" s="40" t="s">
        <v>14</v>
      </c>
      <c r="D45" s="40" t="s">
        <v>335</v>
      </c>
      <c r="E45" s="52">
        <v>39</v>
      </c>
      <c r="F45" s="52">
        <v>39</v>
      </c>
      <c r="G45" s="52">
        <v>16</v>
      </c>
      <c r="H45" s="52">
        <v>23</v>
      </c>
      <c r="I45" s="40" t="s">
        <v>303</v>
      </c>
      <c r="J45" s="21" t="s">
        <v>84</v>
      </c>
      <c r="K45" s="86" t="s">
        <v>336</v>
      </c>
      <c r="L45" s="86" t="s">
        <v>336</v>
      </c>
      <c r="M45" s="42" t="s">
        <v>585</v>
      </c>
    </row>
    <row r="46" spans="1:13" ht="13.2" customHeight="1" x14ac:dyDescent="0.25">
      <c r="A46" s="22"/>
      <c r="B46" s="26"/>
      <c r="C46" s="40" t="s">
        <v>4</v>
      </c>
      <c r="D46" s="40" t="s">
        <v>297</v>
      </c>
      <c r="E46" s="52">
        <v>1208.2</v>
      </c>
      <c r="F46" s="52">
        <v>1235.7</v>
      </c>
      <c r="G46" s="52">
        <v>1229.4000000000001</v>
      </c>
      <c r="H46" s="52">
        <v>6.3</v>
      </c>
      <c r="I46" s="40" t="s">
        <v>337</v>
      </c>
      <c r="J46" s="21" t="s">
        <v>84</v>
      </c>
      <c r="K46" s="86" t="s">
        <v>319</v>
      </c>
      <c r="L46" s="86" t="s">
        <v>319</v>
      </c>
      <c r="M46" s="42"/>
    </row>
    <row r="47" spans="1:13" ht="13.2" customHeight="1" x14ac:dyDescent="0.25">
      <c r="A47" s="22"/>
      <c r="B47" s="26"/>
      <c r="C47" s="40" t="s">
        <v>14</v>
      </c>
      <c r="D47" s="40" t="s">
        <v>310</v>
      </c>
      <c r="E47" s="52">
        <v>5.6</v>
      </c>
      <c r="F47" s="52">
        <v>5.6</v>
      </c>
      <c r="G47" s="52">
        <v>3.1</v>
      </c>
      <c r="H47" s="52">
        <v>2.5</v>
      </c>
      <c r="I47" s="40"/>
      <c r="J47" s="21"/>
      <c r="K47" s="86"/>
      <c r="L47" s="86"/>
      <c r="M47" s="42"/>
    </row>
    <row r="48" spans="1:13" ht="13.2" customHeight="1" x14ac:dyDescent="0.25">
      <c r="A48" s="22"/>
      <c r="B48" s="26"/>
      <c r="C48" s="40" t="s">
        <v>18</v>
      </c>
      <c r="D48" s="40" t="s">
        <v>278</v>
      </c>
      <c r="E48" s="52"/>
      <c r="F48" s="52">
        <v>0.4</v>
      </c>
      <c r="G48" s="52">
        <v>0.4</v>
      </c>
      <c r="H48" s="52"/>
      <c r="I48" s="40"/>
      <c r="J48" s="21"/>
      <c r="K48" s="86"/>
      <c r="L48" s="86"/>
      <c r="M48" s="42"/>
    </row>
    <row r="49" spans="1:13" ht="13.2" customHeight="1" x14ac:dyDescent="0.25">
      <c r="A49" s="22"/>
      <c r="B49" s="26"/>
      <c r="C49" s="40" t="s">
        <v>14</v>
      </c>
      <c r="D49" s="40" t="s">
        <v>307</v>
      </c>
      <c r="E49" s="52">
        <v>334.6</v>
      </c>
      <c r="F49" s="52">
        <v>334.6</v>
      </c>
      <c r="G49" s="52">
        <v>202</v>
      </c>
      <c r="H49" s="52">
        <v>132.6</v>
      </c>
      <c r="I49" s="40"/>
      <c r="J49" s="21"/>
      <c r="K49" s="86"/>
      <c r="L49" s="86"/>
      <c r="M49" s="42"/>
    </row>
    <row r="50" spans="1:13" ht="13.2" customHeight="1" x14ac:dyDescent="0.25">
      <c r="A50" s="22"/>
      <c r="B50" s="26"/>
      <c r="C50" s="40" t="s">
        <v>27</v>
      </c>
      <c r="D50" s="40" t="s">
        <v>314</v>
      </c>
      <c r="E50" s="52">
        <v>15.3</v>
      </c>
      <c r="F50" s="52">
        <v>15.3</v>
      </c>
      <c r="G50" s="52">
        <v>15.3</v>
      </c>
      <c r="H50" s="52"/>
      <c r="I50" s="40"/>
      <c r="J50" s="21"/>
      <c r="K50" s="86"/>
      <c r="L50" s="86"/>
      <c r="M50" s="42"/>
    </row>
    <row r="51" spans="1:13" ht="13.2" customHeight="1" x14ac:dyDescent="0.25">
      <c r="A51" s="22"/>
      <c r="B51" s="26"/>
      <c r="C51" s="40" t="s">
        <v>27</v>
      </c>
      <c r="D51" s="40" t="s">
        <v>313</v>
      </c>
      <c r="E51" s="52">
        <v>1.2</v>
      </c>
      <c r="F51" s="52">
        <v>1.2</v>
      </c>
      <c r="G51" s="52">
        <v>1.2</v>
      </c>
      <c r="H51" s="52"/>
      <c r="I51" s="40"/>
      <c r="J51" s="21"/>
      <c r="K51" s="86"/>
      <c r="L51" s="86"/>
      <c r="M51" s="42"/>
    </row>
    <row r="52" spans="1:13" ht="13.2" customHeight="1" x14ac:dyDescent="0.25">
      <c r="A52" s="22"/>
      <c r="B52" s="26"/>
      <c r="C52" s="40" t="s">
        <v>14</v>
      </c>
      <c r="D52" s="40" t="s">
        <v>338</v>
      </c>
      <c r="E52" s="52">
        <v>3</v>
      </c>
      <c r="F52" s="52">
        <v>3</v>
      </c>
      <c r="G52" s="52">
        <v>1.8</v>
      </c>
      <c r="H52" s="52">
        <v>1.2</v>
      </c>
      <c r="I52" s="40"/>
      <c r="J52" s="21"/>
      <c r="K52" s="86"/>
      <c r="L52" s="86"/>
      <c r="M52" s="42"/>
    </row>
    <row r="53" spans="1:13" ht="13.2" customHeight="1" x14ac:dyDescent="0.25">
      <c r="A53" s="22"/>
      <c r="B53" s="26"/>
      <c r="C53" s="40" t="s">
        <v>27</v>
      </c>
      <c r="D53" s="40" t="s">
        <v>339</v>
      </c>
      <c r="E53" s="52">
        <v>4.7</v>
      </c>
      <c r="F53" s="52">
        <v>4.7</v>
      </c>
      <c r="G53" s="52">
        <v>4.7</v>
      </c>
      <c r="H53" s="52"/>
      <c r="I53" s="40"/>
      <c r="J53" s="21"/>
      <c r="K53" s="86"/>
      <c r="L53" s="86"/>
      <c r="M53" s="42"/>
    </row>
    <row r="54" spans="1:13" ht="13.2" customHeight="1" x14ac:dyDescent="0.25">
      <c r="A54" s="22"/>
      <c r="B54" s="26"/>
      <c r="C54" s="40" t="s">
        <v>5</v>
      </c>
      <c r="D54" s="40" t="s">
        <v>315</v>
      </c>
      <c r="E54" s="52">
        <v>1604.7</v>
      </c>
      <c r="F54" s="52">
        <v>1677.9</v>
      </c>
      <c r="G54" s="52">
        <v>1677.5</v>
      </c>
      <c r="H54" s="52">
        <v>0.4</v>
      </c>
      <c r="I54" s="40"/>
      <c r="J54" s="21"/>
      <c r="K54" s="86"/>
      <c r="L54" s="86"/>
      <c r="M54" s="42"/>
    </row>
    <row r="55" spans="1:13" ht="13.2" customHeight="1" x14ac:dyDescent="0.25">
      <c r="A55" s="22"/>
      <c r="B55" s="26"/>
      <c r="C55" s="40" t="s">
        <v>2</v>
      </c>
      <c r="D55" s="40" t="s">
        <v>60</v>
      </c>
      <c r="E55" s="52"/>
      <c r="F55" s="52">
        <v>0.2</v>
      </c>
      <c r="G55" s="52">
        <v>0.1</v>
      </c>
      <c r="H55" s="52">
        <v>0.1</v>
      </c>
      <c r="I55" s="40"/>
      <c r="J55" s="21"/>
      <c r="K55" s="86"/>
      <c r="L55" s="86"/>
      <c r="M55" s="42"/>
    </row>
    <row r="56" spans="1:13" ht="13.2" customHeight="1" x14ac:dyDescent="0.25">
      <c r="A56" s="22"/>
      <c r="B56" s="26"/>
      <c r="C56" s="40" t="s">
        <v>5</v>
      </c>
      <c r="D56" s="40" t="s">
        <v>311</v>
      </c>
      <c r="E56" s="52"/>
      <c r="F56" s="52">
        <v>15.1</v>
      </c>
      <c r="G56" s="52">
        <v>14.8</v>
      </c>
      <c r="H56" s="52">
        <v>0.3</v>
      </c>
      <c r="I56" s="40"/>
      <c r="J56" s="21"/>
      <c r="K56" s="86"/>
      <c r="L56" s="86"/>
      <c r="M56" s="42"/>
    </row>
    <row r="57" spans="1:13" ht="13.2" customHeight="1" x14ac:dyDescent="0.25">
      <c r="A57" s="22"/>
      <c r="B57" s="26"/>
      <c r="C57" s="40" t="s">
        <v>27</v>
      </c>
      <c r="D57" s="40" t="s">
        <v>302</v>
      </c>
      <c r="E57" s="52">
        <v>1.9</v>
      </c>
      <c r="F57" s="52">
        <v>1.9</v>
      </c>
      <c r="G57" s="52">
        <v>1.9</v>
      </c>
      <c r="H57" s="52"/>
      <c r="I57" s="40"/>
      <c r="J57" s="21"/>
      <c r="K57" s="86"/>
      <c r="L57" s="86"/>
      <c r="M57" s="42"/>
    </row>
    <row r="58" spans="1:13" ht="13.2" customHeight="1" x14ac:dyDescent="0.25">
      <c r="A58" s="22"/>
      <c r="B58" s="26"/>
      <c r="C58" s="40" t="s">
        <v>1</v>
      </c>
      <c r="D58" s="40" t="s">
        <v>316</v>
      </c>
      <c r="E58" s="52"/>
      <c r="F58" s="52">
        <v>0.5</v>
      </c>
      <c r="G58" s="52"/>
      <c r="H58" s="52">
        <v>0.5</v>
      </c>
      <c r="I58" s="40"/>
      <c r="J58" s="21"/>
      <c r="K58" s="86"/>
      <c r="L58" s="86"/>
      <c r="M58" s="42"/>
    </row>
    <row r="59" spans="1:13" ht="13.2" customHeight="1" x14ac:dyDescent="0.25">
      <c r="A59" s="22"/>
      <c r="B59" s="26"/>
      <c r="C59" s="40" t="s">
        <v>5</v>
      </c>
      <c r="D59" s="40" t="s">
        <v>340</v>
      </c>
      <c r="E59" s="52"/>
      <c r="F59" s="52">
        <v>8.6</v>
      </c>
      <c r="G59" s="52">
        <v>8.6</v>
      </c>
      <c r="H59" s="52"/>
      <c r="I59" s="40"/>
      <c r="J59" s="21"/>
      <c r="K59" s="86"/>
      <c r="L59" s="86"/>
      <c r="M59" s="42"/>
    </row>
    <row r="60" spans="1:13" ht="13.2" customHeight="1" thickBot="1" x14ac:dyDescent="0.3">
      <c r="A60" s="22"/>
      <c r="B60" s="26"/>
      <c r="C60" s="40" t="s">
        <v>5</v>
      </c>
      <c r="D60" s="40" t="s">
        <v>341</v>
      </c>
      <c r="E60" s="52"/>
      <c r="F60" s="52">
        <v>0.4</v>
      </c>
      <c r="G60" s="52">
        <v>0.4</v>
      </c>
      <c r="H60" s="52"/>
      <c r="I60" s="40"/>
      <c r="J60" s="21"/>
      <c r="K60" s="86"/>
      <c r="L60" s="86"/>
      <c r="M60" s="42"/>
    </row>
    <row r="61" spans="1:13" ht="19.2" customHeight="1" x14ac:dyDescent="0.25">
      <c r="A61" s="111" t="s">
        <v>342</v>
      </c>
      <c r="B61" s="130" t="s">
        <v>569</v>
      </c>
      <c r="C61" s="48"/>
      <c r="D61" s="48"/>
      <c r="E61" s="49">
        <f>SUM(E62:E63)</f>
        <v>89.9</v>
      </c>
      <c r="F61" s="49">
        <f>SUM(F62:F63)</f>
        <v>105.8</v>
      </c>
      <c r="G61" s="49">
        <f>SUM(G62:G63)</f>
        <v>105.8</v>
      </c>
      <c r="H61" s="49">
        <f>SUM(H62:H63)</f>
        <v>0</v>
      </c>
      <c r="I61" s="48" t="s">
        <v>92</v>
      </c>
      <c r="J61" s="20" t="s">
        <v>91</v>
      </c>
      <c r="K61" s="88" t="s">
        <v>343</v>
      </c>
      <c r="L61" s="88" t="s">
        <v>326</v>
      </c>
      <c r="M61" s="50" t="s">
        <v>301</v>
      </c>
    </row>
    <row r="62" spans="1:13" x14ac:dyDescent="0.25">
      <c r="A62" s="132"/>
      <c r="B62" s="133"/>
      <c r="C62" s="40" t="s">
        <v>5</v>
      </c>
      <c r="D62" s="40" t="s">
        <v>315</v>
      </c>
      <c r="E62" s="52">
        <v>89.9</v>
      </c>
      <c r="F62" s="52">
        <v>105.7</v>
      </c>
      <c r="G62" s="52">
        <v>105.7</v>
      </c>
      <c r="H62" s="52">
        <v>0</v>
      </c>
      <c r="I62" s="40" t="s">
        <v>94</v>
      </c>
      <c r="J62" s="21" t="s">
        <v>91</v>
      </c>
      <c r="K62" s="86" t="s">
        <v>319</v>
      </c>
      <c r="L62" s="86" t="s">
        <v>319</v>
      </c>
      <c r="M62" s="42"/>
    </row>
    <row r="63" spans="1:13" ht="13.8" thickBot="1" x14ac:dyDescent="0.3">
      <c r="A63" s="112"/>
      <c r="B63" s="134"/>
      <c r="C63" s="40" t="s">
        <v>5</v>
      </c>
      <c r="D63" s="40" t="s">
        <v>340</v>
      </c>
      <c r="E63" s="52"/>
      <c r="F63" s="52">
        <v>0.1</v>
      </c>
      <c r="G63" s="52">
        <v>0.1</v>
      </c>
      <c r="H63" s="52"/>
      <c r="I63" s="40"/>
      <c r="J63" s="21"/>
      <c r="K63" s="86"/>
      <c r="L63" s="86"/>
      <c r="M63" s="42"/>
    </row>
    <row r="64" spans="1:13" ht="16.2" customHeight="1" x14ac:dyDescent="0.25">
      <c r="A64" s="111" t="s">
        <v>104</v>
      </c>
      <c r="B64" s="130" t="s">
        <v>105</v>
      </c>
      <c r="C64" s="48"/>
      <c r="D64" s="48"/>
      <c r="E64" s="49">
        <f>SUM(E65:E85)</f>
        <v>40968.699999999997</v>
      </c>
      <c r="F64" s="49">
        <f>SUM(F65:F85)+0.1</f>
        <v>43168.7</v>
      </c>
      <c r="G64" s="49">
        <f>SUM(G65:G85)-0.2</f>
        <v>42486.000000000007</v>
      </c>
      <c r="H64" s="49">
        <f>SUM(H65:H85)+0.2</f>
        <v>682.7</v>
      </c>
      <c r="I64" s="48" t="s">
        <v>103</v>
      </c>
      <c r="J64" s="20" t="s">
        <v>84</v>
      </c>
      <c r="K64" s="88" t="s">
        <v>344</v>
      </c>
      <c r="L64" s="88" t="s">
        <v>345</v>
      </c>
      <c r="M64" s="50" t="s">
        <v>301</v>
      </c>
    </row>
    <row r="65" spans="1:13" ht="52.8" x14ac:dyDescent="0.25">
      <c r="A65" s="113"/>
      <c r="B65" s="131"/>
      <c r="C65" s="40" t="s">
        <v>27</v>
      </c>
      <c r="D65" s="40" t="s">
        <v>339</v>
      </c>
      <c r="E65" s="52">
        <v>74.2</v>
      </c>
      <c r="F65" s="52">
        <v>74.2</v>
      </c>
      <c r="G65" s="52">
        <v>72.8</v>
      </c>
      <c r="H65" s="52">
        <v>1.4</v>
      </c>
      <c r="I65" s="40" t="s">
        <v>92</v>
      </c>
      <c r="J65" s="21" t="s">
        <v>91</v>
      </c>
      <c r="K65" s="86" t="s">
        <v>346</v>
      </c>
      <c r="L65" s="86" t="s">
        <v>345</v>
      </c>
      <c r="M65" s="42" t="s">
        <v>586</v>
      </c>
    </row>
    <row r="66" spans="1:13" ht="26.4" x14ac:dyDescent="0.25">
      <c r="A66" s="22"/>
      <c r="B66" s="26"/>
      <c r="C66" s="40" t="s">
        <v>14</v>
      </c>
      <c r="D66" s="40" t="s">
        <v>335</v>
      </c>
      <c r="E66" s="52">
        <v>326.5</v>
      </c>
      <c r="F66" s="52">
        <v>326.5</v>
      </c>
      <c r="G66" s="52">
        <v>186.9</v>
      </c>
      <c r="H66" s="52">
        <v>139.6</v>
      </c>
      <c r="I66" s="40" t="s">
        <v>90</v>
      </c>
      <c r="J66" s="21" t="s">
        <v>91</v>
      </c>
      <c r="K66" s="86" t="s">
        <v>317</v>
      </c>
      <c r="L66" s="86" t="s">
        <v>317</v>
      </c>
      <c r="M66" s="42" t="s">
        <v>587</v>
      </c>
    </row>
    <row r="67" spans="1:13" x14ac:dyDescent="0.25">
      <c r="A67" s="22"/>
      <c r="B67" s="26"/>
      <c r="C67" s="40" t="s">
        <v>27</v>
      </c>
      <c r="D67" s="40" t="s">
        <v>347</v>
      </c>
      <c r="E67" s="52">
        <v>19.600000000000001</v>
      </c>
      <c r="F67" s="52">
        <v>19.600000000000001</v>
      </c>
      <c r="G67" s="52">
        <v>19.5</v>
      </c>
      <c r="H67" s="52">
        <v>0.1</v>
      </c>
      <c r="I67" s="40" t="s">
        <v>337</v>
      </c>
      <c r="J67" s="21" t="s">
        <v>84</v>
      </c>
      <c r="K67" s="86" t="s">
        <v>348</v>
      </c>
      <c r="L67" s="86" t="s">
        <v>348</v>
      </c>
      <c r="M67" s="42"/>
    </row>
    <row r="68" spans="1:13" ht="16.95" customHeight="1" x14ac:dyDescent="0.25">
      <c r="A68" s="22"/>
      <c r="B68" s="26"/>
      <c r="C68" s="40" t="s">
        <v>5</v>
      </c>
      <c r="D68" s="40" t="s">
        <v>311</v>
      </c>
      <c r="E68" s="52">
        <v>0</v>
      </c>
      <c r="F68" s="52">
        <v>194.4</v>
      </c>
      <c r="G68" s="52">
        <v>190.2</v>
      </c>
      <c r="H68" s="52">
        <v>4.2</v>
      </c>
      <c r="I68" s="40" t="s">
        <v>303</v>
      </c>
      <c r="J68" s="21" t="s">
        <v>84</v>
      </c>
      <c r="K68" s="86" t="s">
        <v>298</v>
      </c>
      <c r="L68" s="86" t="s">
        <v>288</v>
      </c>
      <c r="M68" s="135" t="s">
        <v>349</v>
      </c>
    </row>
    <row r="69" spans="1:13" ht="12" customHeight="1" x14ac:dyDescent="0.25">
      <c r="A69" s="22"/>
      <c r="B69" s="26"/>
      <c r="C69" s="40" t="s">
        <v>18</v>
      </c>
      <c r="D69" s="40" t="s">
        <v>312</v>
      </c>
      <c r="E69" s="52"/>
      <c r="F69" s="52">
        <v>432.8</v>
      </c>
      <c r="G69" s="52">
        <v>386</v>
      </c>
      <c r="H69" s="52">
        <v>46.7</v>
      </c>
      <c r="I69" s="40"/>
      <c r="J69" s="21"/>
      <c r="K69" s="86"/>
      <c r="L69" s="86"/>
      <c r="M69" s="152"/>
    </row>
    <row r="70" spans="1:13" ht="12" customHeight="1" x14ac:dyDescent="0.25">
      <c r="A70" s="22"/>
      <c r="B70" s="26"/>
      <c r="C70" s="40" t="s">
        <v>1</v>
      </c>
      <c r="D70" s="40" t="s">
        <v>316</v>
      </c>
      <c r="E70" s="52"/>
      <c r="F70" s="52">
        <v>3</v>
      </c>
      <c r="G70" s="52">
        <v>1.6</v>
      </c>
      <c r="H70" s="52">
        <v>1.5</v>
      </c>
      <c r="I70" s="40"/>
      <c r="J70" s="21"/>
      <c r="K70" s="86"/>
      <c r="L70" s="86"/>
      <c r="M70" s="42"/>
    </row>
    <row r="71" spans="1:13" ht="12" customHeight="1" x14ac:dyDescent="0.25">
      <c r="A71" s="22"/>
      <c r="B71" s="26"/>
      <c r="C71" s="40" t="s">
        <v>18</v>
      </c>
      <c r="D71" s="40" t="s">
        <v>278</v>
      </c>
      <c r="E71" s="52"/>
      <c r="F71" s="52">
        <v>44.4</v>
      </c>
      <c r="G71" s="52">
        <v>44.3</v>
      </c>
      <c r="H71" s="52">
        <v>0.1</v>
      </c>
      <c r="I71" s="40"/>
      <c r="J71" s="21"/>
      <c r="K71" s="86"/>
      <c r="L71" s="86"/>
      <c r="M71" s="42"/>
    </row>
    <row r="72" spans="1:13" ht="12" customHeight="1" x14ac:dyDescent="0.25">
      <c r="A72" s="22"/>
      <c r="B72" s="26"/>
      <c r="C72" s="40" t="s">
        <v>27</v>
      </c>
      <c r="D72" s="40" t="s">
        <v>350</v>
      </c>
      <c r="E72" s="52">
        <v>6.4</v>
      </c>
      <c r="F72" s="52">
        <v>6.4</v>
      </c>
      <c r="G72" s="52">
        <v>6.4</v>
      </c>
      <c r="H72" s="52"/>
      <c r="I72" s="40"/>
      <c r="J72" s="21"/>
      <c r="K72" s="86"/>
      <c r="L72" s="86"/>
      <c r="M72" s="42"/>
    </row>
    <row r="73" spans="1:13" ht="12" customHeight="1" x14ac:dyDescent="0.25">
      <c r="A73" s="22"/>
      <c r="B73" s="26"/>
      <c r="C73" s="40" t="s">
        <v>27</v>
      </c>
      <c r="D73" s="40" t="s">
        <v>313</v>
      </c>
      <c r="E73" s="52">
        <v>20.9</v>
      </c>
      <c r="F73" s="52">
        <v>20.9</v>
      </c>
      <c r="G73" s="52">
        <v>20.9</v>
      </c>
      <c r="H73" s="52"/>
      <c r="I73" s="40"/>
      <c r="J73" s="21"/>
      <c r="K73" s="86"/>
      <c r="L73" s="86"/>
      <c r="M73" s="42"/>
    </row>
    <row r="74" spans="1:13" ht="12" customHeight="1" x14ac:dyDescent="0.25">
      <c r="A74" s="22"/>
      <c r="B74" s="26"/>
      <c r="C74" s="40" t="s">
        <v>14</v>
      </c>
      <c r="D74" s="40" t="s">
        <v>310</v>
      </c>
      <c r="E74" s="52">
        <v>97.9</v>
      </c>
      <c r="F74" s="52">
        <v>97.9</v>
      </c>
      <c r="G74" s="52">
        <v>47</v>
      </c>
      <c r="H74" s="52">
        <v>50.9</v>
      </c>
      <c r="I74" s="40"/>
      <c r="J74" s="21"/>
      <c r="K74" s="86"/>
      <c r="L74" s="86"/>
      <c r="M74" s="42"/>
    </row>
    <row r="75" spans="1:13" ht="12" customHeight="1" x14ac:dyDescent="0.25">
      <c r="A75" s="22"/>
      <c r="B75" s="26"/>
      <c r="C75" s="40" t="s">
        <v>4</v>
      </c>
      <c r="D75" s="40" t="s">
        <v>297</v>
      </c>
      <c r="E75" s="52">
        <v>9199</v>
      </c>
      <c r="F75" s="52">
        <v>9323.9</v>
      </c>
      <c r="G75" s="52">
        <v>9221.2999999999993</v>
      </c>
      <c r="H75" s="52">
        <v>102.6</v>
      </c>
      <c r="I75" s="40"/>
      <c r="J75" s="21"/>
      <c r="K75" s="86"/>
      <c r="L75" s="86"/>
      <c r="M75" s="42"/>
    </row>
    <row r="76" spans="1:13" ht="12" customHeight="1" x14ac:dyDescent="0.25">
      <c r="A76" s="22"/>
      <c r="B76" s="26"/>
      <c r="C76" s="40" t="s">
        <v>5</v>
      </c>
      <c r="D76" s="40" t="s">
        <v>351</v>
      </c>
      <c r="E76" s="52">
        <v>1104.3</v>
      </c>
      <c r="F76" s="52">
        <v>1104.3</v>
      </c>
      <c r="G76" s="52">
        <v>1080.5</v>
      </c>
      <c r="H76" s="52">
        <v>23.8</v>
      </c>
      <c r="I76" s="40"/>
      <c r="J76" s="21"/>
      <c r="K76" s="86"/>
      <c r="L76" s="86"/>
      <c r="M76" s="42"/>
    </row>
    <row r="77" spans="1:13" ht="12" customHeight="1" x14ac:dyDescent="0.25">
      <c r="A77" s="22"/>
      <c r="B77" s="26"/>
      <c r="C77" s="40" t="s">
        <v>14</v>
      </c>
      <c r="D77" s="40" t="s">
        <v>338</v>
      </c>
      <c r="E77" s="52">
        <v>59.4</v>
      </c>
      <c r="F77" s="52">
        <v>59.4</v>
      </c>
      <c r="G77" s="52">
        <v>31.6</v>
      </c>
      <c r="H77" s="52">
        <v>27.8</v>
      </c>
      <c r="I77" s="40"/>
      <c r="J77" s="21"/>
      <c r="K77" s="86"/>
      <c r="L77" s="86"/>
      <c r="M77" s="42"/>
    </row>
    <row r="78" spans="1:13" ht="12" customHeight="1" x14ac:dyDescent="0.25">
      <c r="A78" s="22"/>
      <c r="B78" s="26"/>
      <c r="C78" s="40" t="s">
        <v>5</v>
      </c>
      <c r="D78" s="40" t="s">
        <v>315</v>
      </c>
      <c r="E78" s="52">
        <v>29599.5</v>
      </c>
      <c r="F78" s="52">
        <v>30799.599999999999</v>
      </c>
      <c r="G78" s="52">
        <v>30783.4</v>
      </c>
      <c r="H78" s="52">
        <v>16.2</v>
      </c>
      <c r="I78" s="40"/>
      <c r="J78" s="21"/>
      <c r="K78" s="86"/>
      <c r="L78" s="86"/>
      <c r="M78" s="42"/>
    </row>
    <row r="79" spans="1:13" ht="12" customHeight="1" x14ac:dyDescent="0.25">
      <c r="A79" s="22"/>
      <c r="B79" s="26"/>
      <c r="C79" s="40" t="s">
        <v>2</v>
      </c>
      <c r="D79" s="40" t="s">
        <v>60</v>
      </c>
      <c r="E79" s="52"/>
      <c r="F79" s="52">
        <v>1.9</v>
      </c>
      <c r="G79" s="52">
        <v>1.1000000000000001</v>
      </c>
      <c r="H79" s="52">
        <v>0.8</v>
      </c>
      <c r="I79" s="40"/>
      <c r="J79" s="21"/>
      <c r="K79" s="86"/>
      <c r="L79" s="86"/>
      <c r="M79" s="42"/>
    </row>
    <row r="80" spans="1:13" ht="12" customHeight="1" x14ac:dyDescent="0.25">
      <c r="A80" s="22"/>
      <c r="B80" s="26"/>
      <c r="C80" s="40" t="s">
        <v>14</v>
      </c>
      <c r="D80" s="40" t="s">
        <v>352</v>
      </c>
      <c r="E80" s="52">
        <v>423.5</v>
      </c>
      <c r="F80" s="52">
        <v>423.5</v>
      </c>
      <c r="G80" s="52">
        <v>167.6</v>
      </c>
      <c r="H80" s="52">
        <v>255.9</v>
      </c>
      <c r="I80" s="40"/>
      <c r="J80" s="21"/>
      <c r="K80" s="86"/>
      <c r="L80" s="86"/>
      <c r="M80" s="42"/>
    </row>
    <row r="81" spans="1:13" ht="12" customHeight="1" x14ac:dyDescent="0.25">
      <c r="A81" s="22"/>
      <c r="B81" s="26"/>
      <c r="C81" s="40" t="s">
        <v>27</v>
      </c>
      <c r="D81" s="40" t="s">
        <v>353</v>
      </c>
      <c r="E81" s="52">
        <v>6.8</v>
      </c>
      <c r="F81" s="52">
        <v>6.8</v>
      </c>
      <c r="G81" s="52">
        <v>6.8</v>
      </c>
      <c r="H81" s="52"/>
      <c r="I81" s="40"/>
      <c r="J81" s="21"/>
      <c r="K81" s="86"/>
      <c r="L81" s="86"/>
      <c r="M81" s="42"/>
    </row>
    <row r="82" spans="1:13" ht="12" customHeight="1" x14ac:dyDescent="0.25">
      <c r="A82" s="22"/>
      <c r="B82" s="26"/>
      <c r="C82" s="40" t="s">
        <v>14</v>
      </c>
      <c r="D82" s="40" t="s">
        <v>307</v>
      </c>
      <c r="E82" s="52">
        <v>29.7</v>
      </c>
      <c r="F82" s="52">
        <v>29.7</v>
      </c>
      <c r="G82" s="52">
        <v>19.3</v>
      </c>
      <c r="H82" s="52">
        <v>10.4</v>
      </c>
      <c r="I82" s="40"/>
      <c r="J82" s="21"/>
      <c r="K82" s="86"/>
      <c r="L82" s="86"/>
      <c r="M82" s="42"/>
    </row>
    <row r="83" spans="1:13" ht="12" customHeight="1" x14ac:dyDescent="0.25">
      <c r="A83" s="22"/>
      <c r="B83" s="26"/>
      <c r="C83" s="40" t="s">
        <v>5</v>
      </c>
      <c r="D83" s="40" t="s">
        <v>340</v>
      </c>
      <c r="E83" s="52"/>
      <c r="F83" s="52">
        <v>183.6</v>
      </c>
      <c r="G83" s="52">
        <v>183.5</v>
      </c>
      <c r="H83" s="52">
        <v>0.1</v>
      </c>
      <c r="I83" s="40"/>
      <c r="J83" s="21"/>
      <c r="K83" s="86"/>
      <c r="L83" s="86"/>
      <c r="M83" s="42"/>
    </row>
    <row r="84" spans="1:13" ht="12" customHeight="1" x14ac:dyDescent="0.25">
      <c r="A84" s="22"/>
      <c r="B84" s="26"/>
      <c r="C84" s="40" t="s">
        <v>5</v>
      </c>
      <c r="D84" s="40" t="s">
        <v>341</v>
      </c>
      <c r="E84" s="52"/>
      <c r="F84" s="52">
        <v>14.8</v>
      </c>
      <c r="G84" s="52">
        <v>14.5</v>
      </c>
      <c r="H84" s="52">
        <v>0.4</v>
      </c>
      <c r="I84" s="40"/>
      <c r="J84" s="21"/>
      <c r="K84" s="86"/>
      <c r="L84" s="86"/>
      <c r="M84" s="42"/>
    </row>
    <row r="85" spans="1:13" ht="12" customHeight="1" thickBot="1" x14ac:dyDescent="0.3">
      <c r="A85" s="22"/>
      <c r="B85" s="26"/>
      <c r="C85" s="40" t="s">
        <v>27</v>
      </c>
      <c r="D85" s="40" t="s">
        <v>314</v>
      </c>
      <c r="E85" s="52">
        <v>1</v>
      </c>
      <c r="F85" s="52">
        <v>1</v>
      </c>
      <c r="G85" s="52">
        <v>1</v>
      </c>
      <c r="H85" s="52"/>
      <c r="I85" s="40"/>
      <c r="J85" s="21"/>
      <c r="K85" s="86"/>
      <c r="L85" s="86"/>
      <c r="M85" s="42"/>
    </row>
    <row r="86" spans="1:13" ht="28.95" customHeight="1" x14ac:dyDescent="0.25">
      <c r="A86" s="111" t="s">
        <v>108</v>
      </c>
      <c r="B86" s="130" t="s">
        <v>570</v>
      </c>
      <c r="C86" s="48"/>
      <c r="D86" s="48"/>
      <c r="E86" s="49">
        <f>SUM(E87:E88)</f>
        <v>340.8</v>
      </c>
      <c r="F86" s="49">
        <f>SUM(F87:F88)</f>
        <v>367</v>
      </c>
      <c r="G86" s="49">
        <f>SUM(G87:G88)</f>
        <v>367</v>
      </c>
      <c r="H86" s="49">
        <f>SUM(H87:H88)</f>
        <v>0</v>
      </c>
      <c r="I86" s="48" t="s">
        <v>106</v>
      </c>
      <c r="J86" s="20" t="s">
        <v>91</v>
      </c>
      <c r="K86" s="88" t="s">
        <v>354</v>
      </c>
      <c r="L86" s="88" t="s">
        <v>354</v>
      </c>
      <c r="M86" s="50"/>
    </row>
    <row r="87" spans="1:13" x14ac:dyDescent="0.25">
      <c r="A87" s="132"/>
      <c r="B87" s="133"/>
      <c r="C87" s="40" t="s">
        <v>5</v>
      </c>
      <c r="D87" s="40" t="s">
        <v>315</v>
      </c>
      <c r="E87" s="52">
        <v>340.8</v>
      </c>
      <c r="F87" s="52">
        <v>365.2</v>
      </c>
      <c r="G87" s="52">
        <v>365.2</v>
      </c>
      <c r="H87" s="52">
        <v>0</v>
      </c>
      <c r="I87" s="40" t="s">
        <v>94</v>
      </c>
      <c r="J87" s="21" t="s">
        <v>91</v>
      </c>
      <c r="K87" s="86" t="s">
        <v>319</v>
      </c>
      <c r="L87" s="86" t="s">
        <v>319</v>
      </c>
      <c r="M87" s="42"/>
    </row>
    <row r="88" spans="1:13" ht="13.8" thickBot="1" x14ac:dyDescent="0.3">
      <c r="A88" s="112"/>
      <c r="B88" s="134"/>
      <c r="C88" s="40" t="s">
        <v>5</v>
      </c>
      <c r="D88" s="40" t="s">
        <v>340</v>
      </c>
      <c r="E88" s="52"/>
      <c r="F88" s="52">
        <v>1.8</v>
      </c>
      <c r="G88" s="52">
        <v>1.8</v>
      </c>
      <c r="H88" s="52"/>
      <c r="I88" s="40"/>
      <c r="J88" s="21"/>
      <c r="K88" s="86"/>
      <c r="L88" s="86"/>
      <c r="M88" s="42"/>
    </row>
    <row r="89" spans="1:13" ht="33" customHeight="1" x14ac:dyDescent="0.25">
      <c r="A89" s="111" t="s">
        <v>109</v>
      </c>
      <c r="B89" s="130" t="s">
        <v>571</v>
      </c>
      <c r="C89" s="48"/>
      <c r="D89" s="48"/>
      <c r="E89" s="49">
        <f>SUM(E90:E91)</f>
        <v>331.3</v>
      </c>
      <c r="F89" s="49">
        <f>SUM(F90:F91)</f>
        <v>333.09999999999997</v>
      </c>
      <c r="G89" s="49">
        <f>SUM(G90:G91)</f>
        <v>333.09999999999997</v>
      </c>
      <c r="H89" s="49">
        <f>SUM(H90:H91)</f>
        <v>0</v>
      </c>
      <c r="I89" s="48" t="s">
        <v>106</v>
      </c>
      <c r="J89" s="20" t="s">
        <v>91</v>
      </c>
      <c r="K89" s="88" t="s">
        <v>355</v>
      </c>
      <c r="L89" s="88" t="s">
        <v>356</v>
      </c>
      <c r="M89" s="50" t="s">
        <v>301</v>
      </c>
    </row>
    <row r="90" spans="1:13" x14ac:dyDescent="0.25">
      <c r="A90" s="132"/>
      <c r="B90" s="133"/>
      <c r="C90" s="40" t="s">
        <v>5</v>
      </c>
      <c r="D90" s="40" t="s">
        <v>315</v>
      </c>
      <c r="E90" s="52">
        <v>331.3</v>
      </c>
      <c r="F90" s="52">
        <v>332.7</v>
      </c>
      <c r="G90" s="52">
        <v>332.7</v>
      </c>
      <c r="H90" s="52">
        <v>0</v>
      </c>
      <c r="I90" s="40" t="s">
        <v>94</v>
      </c>
      <c r="J90" s="21" t="s">
        <v>91</v>
      </c>
      <c r="K90" s="86" t="s">
        <v>319</v>
      </c>
      <c r="L90" s="86" t="s">
        <v>319</v>
      </c>
      <c r="M90" s="42"/>
    </row>
    <row r="91" spans="1:13" ht="13.8" thickBot="1" x14ac:dyDescent="0.3">
      <c r="A91" s="112"/>
      <c r="B91" s="134"/>
      <c r="C91" s="40" t="s">
        <v>5</v>
      </c>
      <c r="D91" s="40" t="s">
        <v>340</v>
      </c>
      <c r="E91" s="52"/>
      <c r="F91" s="52">
        <v>0.4</v>
      </c>
      <c r="G91" s="52">
        <v>0.4</v>
      </c>
      <c r="H91" s="52"/>
      <c r="I91" s="40"/>
      <c r="J91" s="21"/>
      <c r="K91" s="86"/>
      <c r="L91" s="86"/>
      <c r="M91" s="42"/>
    </row>
    <row r="92" spans="1:13" ht="33" customHeight="1" x14ac:dyDescent="0.25">
      <c r="A92" s="111" t="s">
        <v>110</v>
      </c>
      <c r="B92" s="130" t="s">
        <v>572</v>
      </c>
      <c r="C92" s="48"/>
      <c r="D92" s="48"/>
      <c r="E92" s="49">
        <f>SUM(E93:E94)</f>
        <v>303.2</v>
      </c>
      <c r="F92" s="49">
        <f>SUM(F93:F94)</f>
        <v>319.60000000000002</v>
      </c>
      <c r="G92" s="49">
        <f>SUM(G93:G94)</f>
        <v>319.60000000000002</v>
      </c>
      <c r="H92" s="49">
        <f>SUM(H93:H94)</f>
        <v>0</v>
      </c>
      <c r="I92" s="48" t="s">
        <v>106</v>
      </c>
      <c r="J92" s="20" t="s">
        <v>91</v>
      </c>
      <c r="K92" s="88" t="s">
        <v>357</v>
      </c>
      <c r="L92" s="88" t="s">
        <v>358</v>
      </c>
      <c r="M92" s="50" t="s">
        <v>359</v>
      </c>
    </row>
    <row r="93" spans="1:13" x14ac:dyDescent="0.25">
      <c r="A93" s="132"/>
      <c r="B93" s="133"/>
      <c r="C93" s="40" t="s">
        <v>5</v>
      </c>
      <c r="D93" s="40" t="s">
        <v>315</v>
      </c>
      <c r="E93" s="52">
        <v>303.2</v>
      </c>
      <c r="F93" s="52">
        <v>318.3</v>
      </c>
      <c r="G93" s="52">
        <v>318.3</v>
      </c>
      <c r="H93" s="52">
        <v>0</v>
      </c>
      <c r="I93" s="40" t="s">
        <v>94</v>
      </c>
      <c r="J93" s="21" t="s">
        <v>91</v>
      </c>
      <c r="K93" s="86" t="s">
        <v>319</v>
      </c>
      <c r="L93" s="86" t="s">
        <v>319</v>
      </c>
      <c r="M93" s="42"/>
    </row>
    <row r="94" spans="1:13" ht="13.8" thickBot="1" x14ac:dyDescent="0.3">
      <c r="A94" s="112"/>
      <c r="B94" s="134"/>
      <c r="C94" s="40" t="s">
        <v>5</v>
      </c>
      <c r="D94" s="40" t="s">
        <v>340</v>
      </c>
      <c r="E94" s="52"/>
      <c r="F94" s="52">
        <v>1.3</v>
      </c>
      <c r="G94" s="52">
        <v>1.3</v>
      </c>
      <c r="H94" s="52"/>
      <c r="I94" s="40"/>
      <c r="J94" s="21"/>
      <c r="K94" s="86"/>
      <c r="L94" s="86"/>
      <c r="M94" s="42"/>
    </row>
    <row r="95" spans="1:13" ht="19.95" customHeight="1" x14ac:dyDescent="0.25">
      <c r="A95" s="111" t="s">
        <v>111</v>
      </c>
      <c r="B95" s="130" t="s">
        <v>573</v>
      </c>
      <c r="C95" s="48"/>
      <c r="D95" s="48"/>
      <c r="E95" s="49">
        <f>SUM(E96:E97)</f>
        <v>1088.7</v>
      </c>
      <c r="F95" s="49">
        <f>SUM(F96:F97)</f>
        <v>1195.3999999999999</v>
      </c>
      <c r="G95" s="49">
        <f>SUM(G96:G97)</f>
        <v>1195.3999999999999</v>
      </c>
      <c r="H95" s="49">
        <f>SUM(H96:H97)</f>
        <v>0</v>
      </c>
      <c r="I95" s="48" t="s">
        <v>94</v>
      </c>
      <c r="J95" s="20" t="s">
        <v>91</v>
      </c>
      <c r="K95" s="88" t="s">
        <v>360</v>
      </c>
      <c r="L95" s="88" t="s">
        <v>319</v>
      </c>
      <c r="M95" s="50"/>
    </row>
    <row r="96" spans="1:13" x14ac:dyDescent="0.25">
      <c r="A96" s="132"/>
      <c r="B96" s="133"/>
      <c r="C96" s="40" t="s">
        <v>5</v>
      </c>
      <c r="D96" s="40" t="s">
        <v>315</v>
      </c>
      <c r="E96" s="52">
        <v>1088.7</v>
      </c>
      <c r="F96" s="52">
        <v>1187.5999999999999</v>
      </c>
      <c r="G96" s="52">
        <v>1187.5999999999999</v>
      </c>
      <c r="H96" s="52">
        <v>0</v>
      </c>
      <c r="I96" s="40" t="s">
        <v>106</v>
      </c>
      <c r="J96" s="21" t="s">
        <v>91</v>
      </c>
      <c r="K96" s="86" t="s">
        <v>361</v>
      </c>
      <c r="L96" s="86" t="s">
        <v>362</v>
      </c>
      <c r="M96" s="42" t="s">
        <v>359</v>
      </c>
    </row>
    <row r="97" spans="1:13" ht="13.8" thickBot="1" x14ac:dyDescent="0.3">
      <c r="A97" s="112"/>
      <c r="B97" s="134"/>
      <c r="C97" s="40" t="s">
        <v>5</v>
      </c>
      <c r="D97" s="40" t="s">
        <v>340</v>
      </c>
      <c r="E97" s="52"/>
      <c r="F97" s="52">
        <v>7.8</v>
      </c>
      <c r="G97" s="52">
        <v>7.8</v>
      </c>
      <c r="H97" s="52"/>
      <c r="I97" s="40"/>
      <c r="J97" s="21"/>
      <c r="K97" s="86"/>
      <c r="L97" s="86"/>
      <c r="M97" s="42"/>
    </row>
    <row r="98" spans="1:13" ht="18.600000000000001" customHeight="1" x14ac:dyDescent="0.25">
      <c r="A98" s="111" t="s">
        <v>112</v>
      </c>
      <c r="B98" s="130" t="s">
        <v>574</v>
      </c>
      <c r="C98" s="48"/>
      <c r="D98" s="48"/>
      <c r="E98" s="49">
        <f>SUM(E99:E100)</f>
        <v>93.8</v>
      </c>
      <c r="F98" s="49">
        <f>SUM(F99:F100)</f>
        <v>118.2</v>
      </c>
      <c r="G98" s="49">
        <f>SUM(G99:G100)</f>
        <v>118.2</v>
      </c>
      <c r="H98" s="49">
        <f>SUM(H99:H100)</f>
        <v>0</v>
      </c>
      <c r="I98" s="48" t="s">
        <v>94</v>
      </c>
      <c r="J98" s="20" t="s">
        <v>91</v>
      </c>
      <c r="K98" s="88" t="s">
        <v>319</v>
      </c>
      <c r="L98" s="88" t="s">
        <v>319</v>
      </c>
      <c r="M98" s="50"/>
    </row>
    <row r="99" spans="1:13" ht="18.600000000000001" customHeight="1" x14ac:dyDescent="0.25">
      <c r="A99" s="132"/>
      <c r="B99" s="133"/>
      <c r="C99" s="40" t="s">
        <v>5</v>
      </c>
      <c r="D99" s="40" t="s">
        <v>315</v>
      </c>
      <c r="E99" s="52">
        <v>93.8</v>
      </c>
      <c r="F99" s="52">
        <v>117.7</v>
      </c>
      <c r="G99" s="52">
        <v>117.7</v>
      </c>
      <c r="H99" s="52">
        <v>0</v>
      </c>
      <c r="I99" s="40" t="s">
        <v>106</v>
      </c>
      <c r="J99" s="21" t="s">
        <v>91</v>
      </c>
      <c r="K99" s="86" t="s">
        <v>363</v>
      </c>
      <c r="L99" s="86" t="s">
        <v>364</v>
      </c>
      <c r="M99" s="42" t="s">
        <v>359</v>
      </c>
    </row>
    <row r="100" spans="1:13" ht="18.600000000000001" customHeight="1" thickBot="1" x14ac:dyDescent="0.3">
      <c r="A100" s="112"/>
      <c r="B100" s="134"/>
      <c r="C100" s="40" t="s">
        <v>5</v>
      </c>
      <c r="D100" s="40" t="s">
        <v>340</v>
      </c>
      <c r="E100" s="52"/>
      <c r="F100" s="52">
        <v>0.5</v>
      </c>
      <c r="G100" s="52">
        <v>0.5</v>
      </c>
      <c r="H100" s="52"/>
      <c r="I100" s="40"/>
      <c r="J100" s="21"/>
      <c r="K100" s="86"/>
      <c r="L100" s="86"/>
      <c r="M100" s="42"/>
    </row>
    <row r="101" spans="1:13" ht="44.55" customHeight="1" x14ac:dyDescent="0.25">
      <c r="A101" s="19" t="s">
        <v>113</v>
      </c>
      <c r="B101" s="47" t="s">
        <v>59</v>
      </c>
      <c r="C101" s="48"/>
      <c r="D101" s="48"/>
      <c r="E101" s="49">
        <f>SUM(E102:E104)</f>
        <v>1138</v>
      </c>
      <c r="F101" s="49">
        <f>SUM(F102:F104)</f>
        <v>1142.3</v>
      </c>
      <c r="G101" s="49">
        <f>SUM(G102:G104)</f>
        <v>546.79999999999995</v>
      </c>
      <c r="H101" s="49">
        <f>SUM(H102:H104)</f>
        <v>595.5</v>
      </c>
      <c r="I101" s="48" t="s">
        <v>11</v>
      </c>
      <c r="J101" s="20" t="s">
        <v>91</v>
      </c>
      <c r="K101" s="88" t="s">
        <v>365</v>
      </c>
      <c r="L101" s="88" t="s">
        <v>365</v>
      </c>
      <c r="M101" s="117" t="s">
        <v>588</v>
      </c>
    </row>
    <row r="102" spans="1:13" x14ac:dyDescent="0.25">
      <c r="A102" s="22"/>
      <c r="B102" s="26"/>
      <c r="C102" s="40" t="s">
        <v>62</v>
      </c>
      <c r="D102" s="40" t="s">
        <v>366</v>
      </c>
      <c r="E102" s="52">
        <v>447.8</v>
      </c>
      <c r="F102" s="52">
        <v>447.8</v>
      </c>
      <c r="G102" s="52">
        <v>409.5</v>
      </c>
      <c r="H102" s="52">
        <v>38.299999999999997</v>
      </c>
      <c r="I102" s="40"/>
      <c r="J102" s="21"/>
      <c r="K102" s="86"/>
      <c r="L102" s="86"/>
      <c r="M102" s="118"/>
    </row>
    <row r="103" spans="1:13" x14ac:dyDescent="0.25">
      <c r="A103" s="22"/>
      <c r="B103" s="26"/>
      <c r="C103" s="40" t="s">
        <v>4</v>
      </c>
      <c r="D103" s="40" t="s">
        <v>297</v>
      </c>
      <c r="E103" s="52">
        <v>170.8</v>
      </c>
      <c r="F103" s="52">
        <v>171.7</v>
      </c>
      <c r="G103" s="52">
        <v>92.2</v>
      </c>
      <c r="H103" s="52">
        <v>79.5</v>
      </c>
      <c r="I103" s="40"/>
      <c r="J103" s="21"/>
      <c r="K103" s="86"/>
      <c r="L103" s="86"/>
      <c r="M103" s="118"/>
    </row>
    <row r="104" spans="1:13" ht="13.8" thickBot="1" x14ac:dyDescent="0.3">
      <c r="A104" s="22"/>
      <c r="B104" s="26"/>
      <c r="C104" s="40" t="s">
        <v>36</v>
      </c>
      <c r="D104" s="40" t="s">
        <v>367</v>
      </c>
      <c r="E104" s="52">
        <v>519.4</v>
      </c>
      <c r="F104" s="52">
        <v>522.79999999999995</v>
      </c>
      <c r="G104" s="52">
        <v>45.1</v>
      </c>
      <c r="H104" s="52">
        <v>477.7</v>
      </c>
      <c r="I104" s="40"/>
      <c r="J104" s="21"/>
      <c r="K104" s="86"/>
      <c r="L104" s="86"/>
      <c r="M104" s="119"/>
    </row>
    <row r="105" spans="1:13" ht="40.200000000000003" thickBot="1" x14ac:dyDescent="0.3">
      <c r="A105" s="19" t="s">
        <v>368</v>
      </c>
      <c r="B105" s="47" t="s">
        <v>369</v>
      </c>
      <c r="C105" s="48" t="s">
        <v>4</v>
      </c>
      <c r="D105" s="48" t="s">
        <v>297</v>
      </c>
      <c r="E105" s="51">
        <v>22.7</v>
      </c>
      <c r="F105" s="51">
        <v>22.7</v>
      </c>
      <c r="G105" s="51">
        <v>21.2</v>
      </c>
      <c r="H105" s="51">
        <v>1.5</v>
      </c>
      <c r="I105" s="48" t="s">
        <v>11</v>
      </c>
      <c r="J105" s="20" t="s">
        <v>91</v>
      </c>
      <c r="K105" s="88" t="s">
        <v>370</v>
      </c>
      <c r="L105" s="88" t="s">
        <v>370</v>
      </c>
      <c r="M105" s="50" t="s">
        <v>371</v>
      </c>
    </row>
    <row r="106" spans="1:13" ht="52.8" x14ac:dyDescent="0.25">
      <c r="A106" s="19" t="s">
        <v>114</v>
      </c>
      <c r="B106" s="47" t="s">
        <v>575</v>
      </c>
      <c r="C106" s="48"/>
      <c r="D106" s="48"/>
      <c r="E106" s="49">
        <f>SUM(E107:E108)</f>
        <v>82</v>
      </c>
      <c r="F106" s="49">
        <f>SUM(F107:F108)</f>
        <v>95.5</v>
      </c>
      <c r="G106" s="49">
        <f>SUM(G107:G108)</f>
        <v>91.7</v>
      </c>
      <c r="H106" s="49">
        <f>SUM(H107:H108)</f>
        <v>3.8</v>
      </c>
      <c r="I106" s="48"/>
      <c r="J106" s="20"/>
      <c r="K106" s="88"/>
      <c r="L106" s="88"/>
      <c r="M106" s="50"/>
    </row>
    <row r="107" spans="1:13" x14ac:dyDescent="0.25">
      <c r="A107" s="22"/>
      <c r="B107" s="26"/>
      <c r="C107" s="40" t="s">
        <v>5</v>
      </c>
      <c r="D107" s="40" t="s">
        <v>315</v>
      </c>
      <c r="E107" s="52">
        <v>82</v>
      </c>
      <c r="F107" s="52">
        <v>95.3</v>
      </c>
      <c r="G107" s="52">
        <v>91.5</v>
      </c>
      <c r="H107" s="52">
        <v>3.8</v>
      </c>
      <c r="I107" s="40"/>
      <c r="J107" s="21"/>
      <c r="K107" s="86"/>
      <c r="L107" s="86"/>
      <c r="M107" s="42"/>
    </row>
    <row r="108" spans="1:13" ht="13.8" thickBot="1" x14ac:dyDescent="0.3">
      <c r="A108" s="22"/>
      <c r="B108" s="26"/>
      <c r="C108" s="40" t="s">
        <v>5</v>
      </c>
      <c r="D108" s="40" t="s">
        <v>340</v>
      </c>
      <c r="E108" s="52">
        <v>0</v>
      </c>
      <c r="F108" s="52">
        <v>0.2</v>
      </c>
      <c r="G108" s="52">
        <v>0.2</v>
      </c>
      <c r="H108" s="52">
        <v>0</v>
      </c>
      <c r="I108" s="40"/>
      <c r="J108" s="21"/>
      <c r="K108" s="86"/>
      <c r="L108" s="86"/>
      <c r="M108" s="42"/>
    </row>
    <row r="109" spans="1:13" ht="96" customHeight="1" thickBot="1" x14ac:dyDescent="0.3">
      <c r="A109" s="19" t="s">
        <v>372</v>
      </c>
      <c r="B109" s="47" t="s">
        <v>373</v>
      </c>
      <c r="C109" s="48"/>
      <c r="D109" s="48"/>
      <c r="E109" s="53">
        <v>0</v>
      </c>
      <c r="F109" s="53">
        <v>0</v>
      </c>
      <c r="G109" s="53">
        <v>0</v>
      </c>
      <c r="H109" s="53">
        <v>0</v>
      </c>
      <c r="I109" s="48" t="s">
        <v>374</v>
      </c>
      <c r="J109" s="20" t="s">
        <v>91</v>
      </c>
      <c r="K109" s="88" t="s">
        <v>329</v>
      </c>
      <c r="L109" s="88" t="s">
        <v>329</v>
      </c>
      <c r="M109" s="50" t="s">
        <v>589</v>
      </c>
    </row>
    <row r="110" spans="1:13" ht="26.4" x14ac:dyDescent="0.25">
      <c r="A110" s="19" t="s">
        <v>115</v>
      </c>
      <c r="B110" s="47" t="s">
        <v>116</v>
      </c>
      <c r="C110" s="48"/>
      <c r="D110" s="48"/>
      <c r="E110" s="49">
        <f>SUM(E111:E119)</f>
        <v>7451.0000000000009</v>
      </c>
      <c r="F110" s="49">
        <f>SUM(F111:F119)</f>
        <v>7645.2000000000007</v>
      </c>
      <c r="G110" s="49">
        <f>SUM(G111:G119)</f>
        <v>7434.9000000000005</v>
      </c>
      <c r="H110" s="49">
        <f>SUM(H111:H119)</f>
        <v>210.3</v>
      </c>
      <c r="I110" s="48" t="s">
        <v>90</v>
      </c>
      <c r="J110" s="20" t="s">
        <v>91</v>
      </c>
      <c r="K110" s="88" t="s">
        <v>365</v>
      </c>
      <c r="L110" s="88" t="s">
        <v>365</v>
      </c>
      <c r="M110" s="50"/>
    </row>
    <row r="111" spans="1:13" ht="26.4" x14ac:dyDescent="0.25">
      <c r="A111" s="22"/>
      <c r="B111" s="26"/>
      <c r="C111" s="40" t="s">
        <v>5</v>
      </c>
      <c r="D111" s="40" t="s">
        <v>375</v>
      </c>
      <c r="E111" s="52">
        <v>255.6</v>
      </c>
      <c r="F111" s="52">
        <v>385.6</v>
      </c>
      <c r="G111" s="52">
        <v>385.5</v>
      </c>
      <c r="H111" s="52">
        <v>0.1</v>
      </c>
      <c r="I111" s="54" t="s">
        <v>118</v>
      </c>
      <c r="J111" s="29" t="s">
        <v>91</v>
      </c>
      <c r="K111" s="89" t="s">
        <v>376</v>
      </c>
      <c r="L111" s="89" t="s">
        <v>377</v>
      </c>
      <c r="M111" s="55" t="s">
        <v>378</v>
      </c>
    </row>
    <row r="112" spans="1:13" ht="39.6" x14ac:dyDescent="0.25">
      <c r="A112" s="22"/>
      <c r="B112" s="26"/>
      <c r="C112" s="40" t="s">
        <v>4</v>
      </c>
      <c r="D112" s="40" t="s">
        <v>297</v>
      </c>
      <c r="E112" s="52">
        <v>6658.1</v>
      </c>
      <c r="F112" s="52">
        <v>6625.8</v>
      </c>
      <c r="G112" s="52">
        <v>6614.7</v>
      </c>
      <c r="H112" s="52">
        <v>11.1</v>
      </c>
      <c r="I112" s="40" t="s">
        <v>92</v>
      </c>
      <c r="J112" s="21" t="s">
        <v>91</v>
      </c>
      <c r="K112" s="86" t="s">
        <v>379</v>
      </c>
      <c r="L112" s="86" t="s">
        <v>380</v>
      </c>
      <c r="M112" s="42" t="s">
        <v>590</v>
      </c>
    </row>
    <row r="113" spans="1:13" ht="15" customHeight="1" x14ac:dyDescent="0.25">
      <c r="A113" s="22"/>
      <c r="B113" s="26"/>
      <c r="C113" s="40" t="s">
        <v>18</v>
      </c>
      <c r="D113" s="40" t="s">
        <v>312</v>
      </c>
      <c r="E113" s="52">
        <v>0</v>
      </c>
      <c r="F113" s="52">
        <v>96.4</v>
      </c>
      <c r="G113" s="52">
        <v>96.1</v>
      </c>
      <c r="H113" s="52">
        <v>0.3</v>
      </c>
      <c r="I113" s="40" t="s">
        <v>117</v>
      </c>
      <c r="J113" s="21" t="s">
        <v>84</v>
      </c>
      <c r="K113" s="86" t="s">
        <v>381</v>
      </c>
      <c r="L113" s="86" t="s">
        <v>381</v>
      </c>
      <c r="M113" s="42"/>
    </row>
    <row r="114" spans="1:13" ht="15" customHeight="1" x14ac:dyDescent="0.25">
      <c r="A114" s="22"/>
      <c r="B114" s="26"/>
      <c r="C114" s="40" t="s">
        <v>14</v>
      </c>
      <c r="D114" s="40" t="s">
        <v>310</v>
      </c>
      <c r="E114" s="52">
        <v>25.6</v>
      </c>
      <c r="F114" s="52">
        <v>25.6</v>
      </c>
      <c r="G114" s="52">
        <v>6.7</v>
      </c>
      <c r="H114" s="52">
        <v>18.899999999999999</v>
      </c>
      <c r="I114" s="40"/>
      <c r="J114" s="21"/>
      <c r="K114" s="86"/>
      <c r="L114" s="86"/>
      <c r="M114" s="42"/>
    </row>
    <row r="115" spans="1:13" ht="15" customHeight="1" x14ac:dyDescent="0.25">
      <c r="A115" s="22"/>
      <c r="B115" s="26"/>
      <c r="C115" s="40" t="s">
        <v>14</v>
      </c>
      <c r="D115" s="40" t="s">
        <v>335</v>
      </c>
      <c r="E115" s="52">
        <v>301</v>
      </c>
      <c r="F115" s="52">
        <v>301</v>
      </c>
      <c r="G115" s="52">
        <v>122</v>
      </c>
      <c r="H115" s="52">
        <v>179</v>
      </c>
      <c r="I115" s="40"/>
      <c r="J115" s="21"/>
      <c r="K115" s="86"/>
      <c r="L115" s="86"/>
      <c r="M115" s="42"/>
    </row>
    <row r="116" spans="1:13" ht="15" customHeight="1" x14ac:dyDescent="0.25">
      <c r="A116" s="22"/>
      <c r="B116" s="26"/>
      <c r="C116" s="40" t="s">
        <v>27</v>
      </c>
      <c r="D116" s="40" t="s">
        <v>313</v>
      </c>
      <c r="E116" s="52">
        <v>3.8</v>
      </c>
      <c r="F116" s="52">
        <v>3.8</v>
      </c>
      <c r="G116" s="52">
        <v>3.8</v>
      </c>
      <c r="H116" s="52"/>
      <c r="I116" s="40"/>
      <c r="J116" s="21"/>
      <c r="K116" s="86"/>
      <c r="L116" s="86"/>
      <c r="M116" s="42"/>
    </row>
    <row r="117" spans="1:13" ht="15" customHeight="1" x14ac:dyDescent="0.25">
      <c r="A117" s="22"/>
      <c r="B117" s="26"/>
      <c r="C117" s="40" t="s">
        <v>5</v>
      </c>
      <c r="D117" s="40" t="s">
        <v>315</v>
      </c>
      <c r="E117" s="52">
        <v>148</v>
      </c>
      <c r="F117" s="52">
        <v>148</v>
      </c>
      <c r="G117" s="52">
        <v>147.1</v>
      </c>
      <c r="H117" s="52">
        <v>0.9</v>
      </c>
      <c r="I117" s="40"/>
      <c r="J117" s="21"/>
      <c r="K117" s="86"/>
      <c r="L117" s="86"/>
      <c r="M117" s="42"/>
    </row>
    <row r="118" spans="1:13" ht="15" customHeight="1" x14ac:dyDescent="0.25">
      <c r="A118" s="22"/>
      <c r="B118" s="26"/>
      <c r="C118" s="40" t="s">
        <v>18</v>
      </c>
      <c r="D118" s="40" t="s">
        <v>278</v>
      </c>
      <c r="E118" s="52"/>
      <c r="F118" s="52">
        <v>0.1</v>
      </c>
      <c r="G118" s="52">
        <v>0.1</v>
      </c>
      <c r="H118" s="52"/>
      <c r="I118" s="40"/>
      <c r="J118" s="21"/>
      <c r="K118" s="86"/>
      <c r="L118" s="86"/>
      <c r="M118" s="42"/>
    </row>
    <row r="119" spans="1:13" ht="15" customHeight="1" thickBot="1" x14ac:dyDescent="0.3">
      <c r="A119" s="22"/>
      <c r="B119" s="26"/>
      <c r="C119" s="40" t="s">
        <v>27</v>
      </c>
      <c r="D119" s="40" t="s">
        <v>339</v>
      </c>
      <c r="E119" s="52">
        <v>58.9</v>
      </c>
      <c r="F119" s="52">
        <v>58.9</v>
      </c>
      <c r="G119" s="52">
        <v>58.9</v>
      </c>
      <c r="H119" s="52"/>
      <c r="I119" s="40"/>
      <c r="J119" s="21"/>
      <c r="K119" s="86"/>
      <c r="L119" s="86"/>
      <c r="M119" s="42"/>
    </row>
    <row r="120" spans="1:13" ht="66" x14ac:dyDescent="0.25">
      <c r="A120" s="19" t="s">
        <v>119</v>
      </c>
      <c r="B120" s="47" t="s">
        <v>120</v>
      </c>
      <c r="C120" s="48"/>
      <c r="D120" s="48"/>
      <c r="E120" s="49">
        <f>SUM(E121:E128)</f>
        <v>897.1</v>
      </c>
      <c r="F120" s="49">
        <f>SUM(F121:F128)-0.1</f>
        <v>928.1</v>
      </c>
      <c r="G120" s="49">
        <f>SUM(G121:G128)</f>
        <v>919.3</v>
      </c>
      <c r="H120" s="49">
        <f>SUM(H121:H128)</f>
        <v>8.8000000000000007</v>
      </c>
      <c r="I120" s="48" t="s">
        <v>28</v>
      </c>
      <c r="J120" s="20" t="s">
        <v>91</v>
      </c>
      <c r="K120" s="88" t="s">
        <v>382</v>
      </c>
      <c r="L120" s="88" t="s">
        <v>383</v>
      </c>
      <c r="M120" s="50" t="s">
        <v>384</v>
      </c>
    </row>
    <row r="121" spans="1:13" x14ac:dyDescent="0.25">
      <c r="A121" s="22"/>
      <c r="B121" s="26"/>
      <c r="C121" s="40" t="s">
        <v>18</v>
      </c>
      <c r="D121" s="40" t="s">
        <v>312</v>
      </c>
      <c r="E121" s="52">
        <v>0</v>
      </c>
      <c r="F121" s="52">
        <v>7.7</v>
      </c>
      <c r="G121" s="52">
        <v>7.7</v>
      </c>
      <c r="H121" s="52">
        <v>0</v>
      </c>
      <c r="I121" s="40" t="s">
        <v>337</v>
      </c>
      <c r="J121" s="21" t="s">
        <v>84</v>
      </c>
      <c r="K121" s="86" t="s">
        <v>385</v>
      </c>
      <c r="L121" s="86" t="s">
        <v>385</v>
      </c>
      <c r="M121" s="42"/>
    </row>
    <row r="122" spans="1:13" ht="39.6" x14ac:dyDescent="0.25">
      <c r="A122" s="22"/>
      <c r="B122" s="26"/>
      <c r="C122" s="40" t="s">
        <v>1</v>
      </c>
      <c r="D122" s="40" t="s">
        <v>316</v>
      </c>
      <c r="E122" s="52">
        <v>0</v>
      </c>
      <c r="F122" s="52">
        <v>8.9</v>
      </c>
      <c r="G122" s="52">
        <v>8</v>
      </c>
      <c r="H122" s="52">
        <v>0.8</v>
      </c>
      <c r="I122" s="40" t="s">
        <v>386</v>
      </c>
      <c r="J122" s="21" t="s">
        <v>91</v>
      </c>
      <c r="K122" s="86" t="s">
        <v>370</v>
      </c>
      <c r="L122" s="86" t="s">
        <v>370</v>
      </c>
      <c r="M122" s="42" t="s">
        <v>387</v>
      </c>
    </row>
    <row r="123" spans="1:13" ht="13.95" customHeight="1" x14ac:dyDescent="0.25">
      <c r="A123" s="22"/>
      <c r="B123" s="26"/>
      <c r="C123" s="40" t="s">
        <v>27</v>
      </c>
      <c r="D123" s="40" t="s">
        <v>313</v>
      </c>
      <c r="E123" s="52">
        <v>2.6</v>
      </c>
      <c r="F123" s="52">
        <v>2.6</v>
      </c>
      <c r="G123" s="52">
        <v>2.6</v>
      </c>
      <c r="H123" s="52"/>
      <c r="I123" s="40"/>
      <c r="J123" s="21"/>
      <c r="K123" s="86"/>
      <c r="L123" s="86"/>
      <c r="M123" s="42"/>
    </row>
    <row r="124" spans="1:13" ht="13.95" customHeight="1" x14ac:dyDescent="0.25">
      <c r="A124" s="22"/>
      <c r="B124" s="26"/>
      <c r="C124" s="40" t="s">
        <v>14</v>
      </c>
      <c r="D124" s="40" t="s">
        <v>310</v>
      </c>
      <c r="E124" s="52">
        <v>18</v>
      </c>
      <c r="F124" s="52">
        <v>18</v>
      </c>
      <c r="G124" s="52">
        <v>11.6</v>
      </c>
      <c r="H124" s="52">
        <v>6.4</v>
      </c>
      <c r="I124" s="40"/>
      <c r="J124" s="21"/>
      <c r="K124" s="86"/>
      <c r="L124" s="86"/>
      <c r="M124" s="42"/>
    </row>
    <row r="125" spans="1:13" ht="13.95" customHeight="1" x14ac:dyDescent="0.25">
      <c r="A125" s="22"/>
      <c r="B125" s="26"/>
      <c r="C125" s="40" t="s">
        <v>4</v>
      </c>
      <c r="D125" s="40" t="s">
        <v>297</v>
      </c>
      <c r="E125" s="52">
        <v>390.9</v>
      </c>
      <c r="F125" s="52">
        <v>394.1</v>
      </c>
      <c r="G125" s="52">
        <v>392.5</v>
      </c>
      <c r="H125" s="52">
        <v>1.6</v>
      </c>
      <c r="I125" s="40"/>
      <c r="J125" s="21"/>
      <c r="K125" s="86"/>
      <c r="L125" s="86"/>
      <c r="M125" s="42"/>
    </row>
    <row r="126" spans="1:13" ht="13.95" customHeight="1" x14ac:dyDescent="0.25">
      <c r="A126" s="22"/>
      <c r="B126" s="26"/>
      <c r="C126" s="40" t="s">
        <v>5</v>
      </c>
      <c r="D126" s="40" t="s">
        <v>315</v>
      </c>
      <c r="E126" s="52">
        <v>485.6</v>
      </c>
      <c r="F126" s="52">
        <v>485.6</v>
      </c>
      <c r="G126" s="52">
        <v>485.6</v>
      </c>
      <c r="H126" s="52"/>
      <c r="I126" s="40"/>
      <c r="J126" s="21"/>
      <c r="K126" s="86"/>
      <c r="L126" s="86"/>
      <c r="M126" s="42"/>
    </row>
    <row r="127" spans="1:13" ht="13.95" customHeight="1" x14ac:dyDescent="0.25">
      <c r="A127" s="22"/>
      <c r="B127" s="26"/>
      <c r="C127" s="40" t="s">
        <v>18</v>
      </c>
      <c r="D127" s="40" t="s">
        <v>278</v>
      </c>
      <c r="E127" s="52"/>
      <c r="F127" s="52">
        <v>1</v>
      </c>
      <c r="G127" s="52">
        <v>1</v>
      </c>
      <c r="H127" s="52"/>
      <c r="I127" s="40"/>
      <c r="J127" s="21"/>
      <c r="K127" s="86"/>
      <c r="L127" s="86"/>
      <c r="M127" s="42"/>
    </row>
    <row r="128" spans="1:13" ht="13.95" customHeight="1" thickBot="1" x14ac:dyDescent="0.3">
      <c r="A128" s="22"/>
      <c r="B128" s="26"/>
      <c r="C128" s="40" t="s">
        <v>5</v>
      </c>
      <c r="D128" s="40" t="s">
        <v>341</v>
      </c>
      <c r="E128" s="52"/>
      <c r="F128" s="52">
        <v>10.3</v>
      </c>
      <c r="G128" s="52">
        <v>10.3</v>
      </c>
      <c r="H128" s="52"/>
      <c r="I128" s="40"/>
      <c r="J128" s="21"/>
      <c r="K128" s="86"/>
      <c r="L128" s="86"/>
      <c r="M128" s="42"/>
    </row>
    <row r="129" spans="1:13" ht="39.6" x14ac:dyDescent="0.25">
      <c r="A129" s="19" t="s">
        <v>121</v>
      </c>
      <c r="B129" s="47" t="s">
        <v>122</v>
      </c>
      <c r="C129" s="48"/>
      <c r="D129" s="48"/>
      <c r="E129" s="49">
        <f>SUM(E130:E136)</f>
        <v>746.8</v>
      </c>
      <c r="F129" s="49">
        <f>SUM(F130:F136)</f>
        <v>764.99999999999989</v>
      </c>
      <c r="G129" s="49">
        <f>SUM(G130:G136)-0.2</f>
        <v>722.1</v>
      </c>
      <c r="H129" s="49">
        <f>SUM(H130:H136)+0.2</f>
        <v>43.000000000000007</v>
      </c>
      <c r="I129" s="48" t="s">
        <v>28</v>
      </c>
      <c r="J129" s="20" t="s">
        <v>91</v>
      </c>
      <c r="K129" s="88" t="s">
        <v>388</v>
      </c>
      <c r="L129" s="88" t="s">
        <v>389</v>
      </c>
      <c r="M129" s="50" t="s">
        <v>390</v>
      </c>
    </row>
    <row r="130" spans="1:13" ht="14.55" customHeight="1" x14ac:dyDescent="0.25">
      <c r="A130" s="22"/>
      <c r="B130" s="26"/>
      <c r="C130" s="40" t="s">
        <v>14</v>
      </c>
      <c r="D130" s="40" t="s">
        <v>307</v>
      </c>
      <c r="E130" s="52">
        <v>38.799999999999997</v>
      </c>
      <c r="F130" s="52">
        <v>38.799999999999997</v>
      </c>
      <c r="G130" s="52">
        <v>31.6</v>
      </c>
      <c r="H130" s="52">
        <v>7.2</v>
      </c>
      <c r="I130" s="40" t="s">
        <v>303</v>
      </c>
      <c r="J130" s="21" t="s">
        <v>84</v>
      </c>
      <c r="K130" s="86" t="s">
        <v>319</v>
      </c>
      <c r="L130" s="86" t="s">
        <v>319</v>
      </c>
      <c r="M130" s="42" t="s">
        <v>391</v>
      </c>
    </row>
    <row r="131" spans="1:13" ht="14.55" customHeight="1" x14ac:dyDescent="0.25">
      <c r="A131" s="22"/>
      <c r="B131" s="26"/>
      <c r="C131" s="40" t="s">
        <v>18</v>
      </c>
      <c r="D131" s="40" t="s">
        <v>312</v>
      </c>
      <c r="E131" s="52"/>
      <c r="F131" s="52">
        <v>6.2</v>
      </c>
      <c r="G131" s="52">
        <v>2.1</v>
      </c>
      <c r="H131" s="52">
        <v>4.2</v>
      </c>
      <c r="I131" s="40"/>
      <c r="J131" s="21"/>
      <c r="K131" s="86"/>
      <c r="L131" s="86"/>
      <c r="M131" s="42"/>
    </row>
    <row r="132" spans="1:13" ht="14.55" customHeight="1" x14ac:dyDescent="0.25">
      <c r="A132" s="22"/>
      <c r="B132" s="26"/>
      <c r="C132" s="40" t="s">
        <v>5</v>
      </c>
      <c r="D132" s="40" t="s">
        <v>315</v>
      </c>
      <c r="E132" s="52">
        <v>161.5</v>
      </c>
      <c r="F132" s="52">
        <v>164.9</v>
      </c>
      <c r="G132" s="52">
        <v>164.9</v>
      </c>
      <c r="H132" s="52"/>
      <c r="I132" s="40"/>
      <c r="J132" s="21"/>
      <c r="K132" s="86"/>
      <c r="L132" s="86"/>
      <c r="M132" s="42"/>
    </row>
    <row r="133" spans="1:13" ht="14.55" customHeight="1" x14ac:dyDescent="0.25">
      <c r="A133" s="22"/>
      <c r="B133" s="26"/>
      <c r="C133" s="40" t="s">
        <v>4</v>
      </c>
      <c r="D133" s="40" t="s">
        <v>297</v>
      </c>
      <c r="E133" s="52">
        <v>542.4</v>
      </c>
      <c r="F133" s="52">
        <v>545.29999999999995</v>
      </c>
      <c r="G133" s="52">
        <v>514.70000000000005</v>
      </c>
      <c r="H133" s="52">
        <v>30.6</v>
      </c>
      <c r="I133" s="40"/>
      <c r="J133" s="21"/>
      <c r="K133" s="86"/>
      <c r="L133" s="86"/>
      <c r="M133" s="42"/>
    </row>
    <row r="134" spans="1:13" ht="14.55" customHeight="1" x14ac:dyDescent="0.25">
      <c r="A134" s="22"/>
      <c r="B134" s="26"/>
      <c r="C134" s="40" t="s">
        <v>14</v>
      </c>
      <c r="D134" s="40" t="s">
        <v>310</v>
      </c>
      <c r="E134" s="52">
        <v>0.8</v>
      </c>
      <c r="F134" s="52">
        <v>0.8</v>
      </c>
      <c r="G134" s="52">
        <v>0.1</v>
      </c>
      <c r="H134" s="52">
        <v>0.7</v>
      </c>
      <c r="I134" s="40"/>
      <c r="J134" s="21"/>
      <c r="K134" s="86"/>
      <c r="L134" s="86"/>
      <c r="M134" s="42"/>
    </row>
    <row r="135" spans="1:13" ht="14.55" customHeight="1" x14ac:dyDescent="0.25">
      <c r="A135" s="22"/>
      <c r="B135" s="26"/>
      <c r="C135" s="40" t="s">
        <v>5</v>
      </c>
      <c r="D135" s="40" t="s">
        <v>311</v>
      </c>
      <c r="E135" s="52"/>
      <c r="F135" s="52">
        <v>5.7</v>
      </c>
      <c r="G135" s="52">
        <v>5.6</v>
      </c>
      <c r="H135" s="52">
        <v>0.1</v>
      </c>
      <c r="I135" s="40"/>
      <c r="J135" s="21"/>
      <c r="K135" s="86"/>
      <c r="L135" s="86"/>
      <c r="M135" s="42"/>
    </row>
    <row r="136" spans="1:13" ht="14.55" customHeight="1" thickBot="1" x14ac:dyDescent="0.3">
      <c r="A136" s="22"/>
      <c r="B136" s="26"/>
      <c r="C136" s="40" t="s">
        <v>27</v>
      </c>
      <c r="D136" s="40" t="s">
        <v>314</v>
      </c>
      <c r="E136" s="52">
        <v>3.3</v>
      </c>
      <c r="F136" s="52">
        <v>3.3</v>
      </c>
      <c r="G136" s="52">
        <v>3.3</v>
      </c>
      <c r="H136" s="52"/>
      <c r="I136" s="40"/>
      <c r="J136" s="21"/>
      <c r="K136" s="86"/>
      <c r="L136" s="86"/>
      <c r="M136" s="42"/>
    </row>
    <row r="137" spans="1:13" ht="85.95" customHeight="1" x14ac:dyDescent="0.25">
      <c r="A137" s="19" t="s">
        <v>123</v>
      </c>
      <c r="B137" s="47" t="s">
        <v>124</v>
      </c>
      <c r="C137" s="48"/>
      <c r="D137" s="48"/>
      <c r="E137" s="49">
        <f>SUM(E138:E141)</f>
        <v>268.10000000000002</v>
      </c>
      <c r="F137" s="49">
        <f>SUM(F138:F141)</f>
        <v>268.60000000000002</v>
      </c>
      <c r="G137" s="49">
        <f>SUM(G138:G141)</f>
        <v>253</v>
      </c>
      <c r="H137" s="49">
        <f>SUM(H138:H141)</f>
        <v>15.6</v>
      </c>
      <c r="I137" s="48" t="s">
        <v>125</v>
      </c>
      <c r="J137" s="20" t="s">
        <v>84</v>
      </c>
      <c r="K137" s="88" t="s">
        <v>392</v>
      </c>
      <c r="L137" s="88" t="s">
        <v>393</v>
      </c>
      <c r="M137" s="50" t="s">
        <v>394</v>
      </c>
    </row>
    <row r="138" spans="1:13" ht="79.2" x14ac:dyDescent="0.25">
      <c r="A138" s="22"/>
      <c r="B138" s="26"/>
      <c r="C138" s="40" t="s">
        <v>27</v>
      </c>
      <c r="D138" s="40" t="s">
        <v>313</v>
      </c>
      <c r="E138" s="52">
        <v>1.3</v>
      </c>
      <c r="F138" s="52">
        <v>1.3</v>
      </c>
      <c r="G138" s="52">
        <v>1.3</v>
      </c>
      <c r="H138" s="52">
        <v>0</v>
      </c>
      <c r="I138" s="40" t="s">
        <v>126</v>
      </c>
      <c r="J138" s="21" t="s">
        <v>84</v>
      </c>
      <c r="K138" s="86" t="s">
        <v>322</v>
      </c>
      <c r="L138" s="86" t="s">
        <v>395</v>
      </c>
      <c r="M138" s="42" t="s">
        <v>591</v>
      </c>
    </row>
    <row r="139" spans="1:13" ht="72" customHeight="1" x14ac:dyDescent="0.25">
      <c r="A139" s="22"/>
      <c r="B139" s="26"/>
      <c r="C139" s="40" t="s">
        <v>14</v>
      </c>
      <c r="D139" s="40" t="s">
        <v>310</v>
      </c>
      <c r="E139" s="52">
        <v>30</v>
      </c>
      <c r="F139" s="52">
        <v>30</v>
      </c>
      <c r="G139" s="52">
        <v>17.399999999999999</v>
      </c>
      <c r="H139" s="52">
        <v>12.6</v>
      </c>
      <c r="I139" s="40" t="s">
        <v>127</v>
      </c>
      <c r="J139" s="21" t="s">
        <v>84</v>
      </c>
      <c r="K139" s="86" t="s">
        <v>396</v>
      </c>
      <c r="L139" s="86" t="s">
        <v>397</v>
      </c>
      <c r="M139" s="135" t="s">
        <v>398</v>
      </c>
    </row>
    <row r="140" spans="1:13" x14ac:dyDescent="0.25">
      <c r="A140" s="22"/>
      <c r="B140" s="26"/>
      <c r="C140" s="40" t="s">
        <v>18</v>
      </c>
      <c r="D140" s="40" t="s">
        <v>312</v>
      </c>
      <c r="E140" s="52"/>
      <c r="F140" s="52">
        <v>0.5</v>
      </c>
      <c r="G140" s="52">
        <v>0.5</v>
      </c>
      <c r="H140" s="52"/>
      <c r="I140" s="40"/>
      <c r="J140" s="21"/>
      <c r="K140" s="86"/>
      <c r="L140" s="86"/>
      <c r="M140" s="118"/>
    </row>
    <row r="141" spans="1:13" ht="13.8" thickBot="1" x14ac:dyDescent="0.3">
      <c r="A141" s="22"/>
      <c r="B141" s="26"/>
      <c r="C141" s="40" t="s">
        <v>4</v>
      </c>
      <c r="D141" s="40" t="s">
        <v>297</v>
      </c>
      <c r="E141" s="52">
        <v>236.8</v>
      </c>
      <c r="F141" s="52">
        <v>236.8</v>
      </c>
      <c r="G141" s="52">
        <v>233.8</v>
      </c>
      <c r="H141" s="52">
        <v>3</v>
      </c>
      <c r="I141" s="40"/>
      <c r="J141" s="21"/>
      <c r="K141" s="86"/>
      <c r="L141" s="86"/>
      <c r="M141" s="119"/>
    </row>
    <row r="142" spans="1:13" ht="39.6" x14ac:dyDescent="0.25">
      <c r="A142" s="19" t="s">
        <v>128</v>
      </c>
      <c r="B142" s="47" t="s">
        <v>129</v>
      </c>
      <c r="C142" s="48" t="s">
        <v>4</v>
      </c>
      <c r="D142" s="48" t="s">
        <v>297</v>
      </c>
      <c r="E142" s="49">
        <f>SUM(E143:E143)+3</f>
        <v>3</v>
      </c>
      <c r="F142" s="49">
        <f>SUM(F143:F143)+3</f>
        <v>3</v>
      </c>
      <c r="G142" s="49">
        <f>SUM(G143:G143)+3</f>
        <v>3</v>
      </c>
      <c r="H142" s="49">
        <f>SUM(H143:H143)</f>
        <v>0</v>
      </c>
      <c r="I142" s="48" t="s">
        <v>130</v>
      </c>
      <c r="J142" s="20" t="s">
        <v>91</v>
      </c>
      <c r="K142" s="88" t="s">
        <v>399</v>
      </c>
      <c r="L142" s="88" t="s">
        <v>399</v>
      </c>
      <c r="M142" s="50"/>
    </row>
    <row r="143" spans="1:13" ht="27" thickBot="1" x14ac:dyDescent="0.3">
      <c r="A143" s="22"/>
      <c r="B143" s="26"/>
      <c r="C143" s="40"/>
      <c r="D143" s="40"/>
      <c r="E143" s="41">
        <v>0</v>
      </c>
      <c r="F143" s="41">
        <v>0</v>
      </c>
      <c r="G143" s="41">
        <v>0</v>
      </c>
      <c r="H143" s="41">
        <v>0</v>
      </c>
      <c r="I143" s="40" t="s">
        <v>131</v>
      </c>
      <c r="J143" s="21" t="s">
        <v>91</v>
      </c>
      <c r="K143" s="86" t="s">
        <v>321</v>
      </c>
      <c r="L143" s="86" t="s">
        <v>321</v>
      </c>
      <c r="M143" s="42" t="s">
        <v>400</v>
      </c>
    </row>
    <row r="144" spans="1:13" ht="45" customHeight="1" x14ac:dyDescent="0.25">
      <c r="A144" s="19" t="s">
        <v>401</v>
      </c>
      <c r="B144" s="47" t="s">
        <v>132</v>
      </c>
      <c r="C144" s="48"/>
      <c r="D144" s="48"/>
      <c r="E144" s="49">
        <f>SUM(E145:E146)</f>
        <v>0</v>
      </c>
      <c r="F144" s="49">
        <f>SUM(F145:F146)</f>
        <v>2.2000000000000002</v>
      </c>
      <c r="G144" s="49">
        <f>SUM(G145:G146)</f>
        <v>2.2000000000000002</v>
      </c>
      <c r="H144" s="49">
        <f>SUM(H145:H146)</f>
        <v>0</v>
      </c>
      <c r="I144" s="48"/>
      <c r="J144" s="20"/>
      <c r="K144" s="88"/>
      <c r="L144" s="88"/>
      <c r="M144" s="154" t="s">
        <v>592</v>
      </c>
    </row>
    <row r="145" spans="1:13" x14ac:dyDescent="0.25">
      <c r="A145" s="22"/>
      <c r="B145" s="26"/>
      <c r="C145" s="40" t="s">
        <v>2</v>
      </c>
      <c r="D145" s="40" t="s">
        <v>402</v>
      </c>
      <c r="E145" s="52">
        <v>0</v>
      </c>
      <c r="F145" s="52">
        <v>0.4</v>
      </c>
      <c r="G145" s="52">
        <v>0.4</v>
      </c>
      <c r="H145" s="52">
        <v>0</v>
      </c>
      <c r="I145" s="40"/>
      <c r="J145" s="21"/>
      <c r="K145" s="86"/>
      <c r="L145" s="86"/>
      <c r="M145" s="155"/>
    </row>
    <row r="146" spans="1:13" ht="13.8" thickBot="1" x14ac:dyDescent="0.3">
      <c r="A146" s="22"/>
      <c r="B146" s="26"/>
      <c r="C146" s="40" t="s">
        <v>2</v>
      </c>
      <c r="D146" s="40" t="s">
        <v>60</v>
      </c>
      <c r="E146" s="52">
        <v>0</v>
      </c>
      <c r="F146" s="52">
        <v>1.8</v>
      </c>
      <c r="G146" s="52">
        <v>1.8</v>
      </c>
      <c r="H146" s="52">
        <v>0</v>
      </c>
      <c r="I146" s="40"/>
      <c r="J146" s="21"/>
      <c r="K146" s="86"/>
      <c r="L146" s="86"/>
      <c r="M146" s="156"/>
    </row>
    <row r="147" spans="1:13" ht="79.8" thickBot="1" x14ac:dyDescent="0.3">
      <c r="A147" s="19" t="s">
        <v>133</v>
      </c>
      <c r="B147" s="47" t="s">
        <v>49</v>
      </c>
      <c r="C147" s="48" t="s">
        <v>4</v>
      </c>
      <c r="D147" s="48" t="s">
        <v>297</v>
      </c>
      <c r="E147" s="51">
        <v>346.6</v>
      </c>
      <c r="F147" s="51">
        <v>307.10000000000002</v>
      </c>
      <c r="G147" s="51">
        <v>274.7</v>
      </c>
      <c r="H147" s="51">
        <v>32.4</v>
      </c>
      <c r="I147" s="48" t="s">
        <v>33</v>
      </c>
      <c r="J147" s="20" t="s">
        <v>91</v>
      </c>
      <c r="K147" s="88" t="s">
        <v>403</v>
      </c>
      <c r="L147" s="88" t="s">
        <v>404</v>
      </c>
      <c r="M147" s="50" t="s">
        <v>593</v>
      </c>
    </row>
    <row r="148" spans="1:13" ht="39.6" x14ac:dyDescent="0.25">
      <c r="A148" s="19" t="s">
        <v>134</v>
      </c>
      <c r="B148" s="47" t="s">
        <v>135</v>
      </c>
      <c r="C148" s="48" t="s">
        <v>5</v>
      </c>
      <c r="D148" s="48" t="s">
        <v>315</v>
      </c>
      <c r="E148" s="49">
        <f>SUM(E149:E149)+10</f>
        <v>10</v>
      </c>
      <c r="F148" s="49">
        <f>SUM(F149:F149)+10</f>
        <v>10</v>
      </c>
      <c r="G148" s="49">
        <f>SUM(G149:G149)+10</f>
        <v>10</v>
      </c>
      <c r="H148" s="49">
        <f>SUM(H149:H149)</f>
        <v>0</v>
      </c>
      <c r="I148" s="48" t="s">
        <v>90</v>
      </c>
      <c r="J148" s="20" t="s">
        <v>91</v>
      </c>
      <c r="K148" s="88" t="s">
        <v>319</v>
      </c>
      <c r="L148" s="88" t="s">
        <v>319</v>
      </c>
      <c r="M148" s="50"/>
    </row>
    <row r="149" spans="1:13" ht="13.8" thickBot="1" x14ac:dyDescent="0.3">
      <c r="A149" s="22"/>
      <c r="B149" s="26"/>
      <c r="C149" s="40"/>
      <c r="D149" s="40"/>
      <c r="E149" s="41">
        <v>0</v>
      </c>
      <c r="F149" s="41">
        <v>0</v>
      </c>
      <c r="G149" s="41">
        <v>0</v>
      </c>
      <c r="H149" s="41">
        <v>0</v>
      </c>
      <c r="I149" s="40" t="s">
        <v>92</v>
      </c>
      <c r="J149" s="21" t="s">
        <v>91</v>
      </c>
      <c r="K149" s="86" t="s">
        <v>329</v>
      </c>
      <c r="L149" s="86" t="s">
        <v>360</v>
      </c>
      <c r="M149" s="42" t="s">
        <v>405</v>
      </c>
    </row>
    <row r="150" spans="1:13" ht="31.2" customHeight="1" x14ac:dyDescent="0.25">
      <c r="A150" s="19" t="s">
        <v>136</v>
      </c>
      <c r="B150" s="130" t="s">
        <v>137</v>
      </c>
      <c r="C150" s="48" t="s">
        <v>4</v>
      </c>
      <c r="D150" s="48" t="s">
        <v>297</v>
      </c>
      <c r="E150" s="49">
        <f>SUM(E151:E151)+44.8</f>
        <v>44.8</v>
      </c>
      <c r="F150" s="49">
        <f>SUM(F151:F151)+19.5</f>
        <v>19.5</v>
      </c>
      <c r="G150" s="49">
        <f>SUM(G151:G151)+18.8</f>
        <v>18.8</v>
      </c>
      <c r="H150" s="49">
        <f>SUM(H151:H151)+0.7</f>
        <v>0.7</v>
      </c>
      <c r="I150" s="48" t="s">
        <v>11</v>
      </c>
      <c r="J150" s="20" t="s">
        <v>91</v>
      </c>
      <c r="K150" s="88" t="s">
        <v>365</v>
      </c>
      <c r="L150" s="88" t="s">
        <v>365</v>
      </c>
      <c r="M150" s="50"/>
    </row>
    <row r="151" spans="1:13" ht="13.8" thickBot="1" x14ac:dyDescent="0.3">
      <c r="A151" s="22"/>
      <c r="B151" s="134"/>
      <c r="C151" s="40"/>
      <c r="D151" s="40"/>
      <c r="E151" s="41">
        <v>0</v>
      </c>
      <c r="F151" s="41">
        <v>0</v>
      </c>
      <c r="G151" s="41">
        <v>0</v>
      </c>
      <c r="H151" s="41">
        <v>0</v>
      </c>
      <c r="I151" s="40" t="s">
        <v>92</v>
      </c>
      <c r="J151" s="21" t="s">
        <v>91</v>
      </c>
      <c r="K151" s="86" t="s">
        <v>406</v>
      </c>
      <c r="L151" s="86" t="s">
        <v>407</v>
      </c>
      <c r="M151" s="42" t="s">
        <v>301</v>
      </c>
    </row>
    <row r="152" spans="1:13" ht="39.6" x14ac:dyDescent="0.25">
      <c r="A152" s="19" t="s">
        <v>138</v>
      </c>
      <c r="B152" s="47" t="s">
        <v>139</v>
      </c>
      <c r="C152" s="48"/>
      <c r="D152" s="48"/>
      <c r="E152" s="49">
        <f>SUM(E153:E154)</f>
        <v>816.6</v>
      </c>
      <c r="F152" s="49">
        <f>SUM(F153:F154)</f>
        <v>708.7</v>
      </c>
      <c r="G152" s="49">
        <f>SUM(G153:G154)</f>
        <v>707.2</v>
      </c>
      <c r="H152" s="49">
        <f>SUM(H153:H154)</f>
        <v>1.5</v>
      </c>
      <c r="I152" s="48" t="s">
        <v>140</v>
      </c>
      <c r="J152" s="20" t="s">
        <v>84</v>
      </c>
      <c r="K152" s="88" t="s">
        <v>408</v>
      </c>
      <c r="L152" s="88" t="s">
        <v>408</v>
      </c>
      <c r="M152" s="50" t="s">
        <v>409</v>
      </c>
    </row>
    <row r="153" spans="1:13" ht="29.55" customHeight="1" x14ac:dyDescent="0.25">
      <c r="A153" s="22"/>
      <c r="B153" s="26"/>
      <c r="C153" s="40" t="s">
        <v>4</v>
      </c>
      <c r="D153" s="40" t="s">
        <v>297</v>
      </c>
      <c r="E153" s="52">
        <v>654.6</v>
      </c>
      <c r="F153" s="52">
        <v>708.7</v>
      </c>
      <c r="G153" s="52">
        <v>707.2</v>
      </c>
      <c r="H153" s="52">
        <v>1.5</v>
      </c>
      <c r="I153" s="40" t="s">
        <v>410</v>
      </c>
      <c r="J153" s="21" t="s">
        <v>84</v>
      </c>
      <c r="K153" s="86" t="s">
        <v>411</v>
      </c>
      <c r="L153" s="86" t="s">
        <v>411</v>
      </c>
      <c r="M153" s="135" t="s">
        <v>594</v>
      </c>
    </row>
    <row r="154" spans="1:13" ht="13.8" thickBot="1" x14ac:dyDescent="0.3">
      <c r="A154" s="22"/>
      <c r="B154" s="26"/>
      <c r="C154" s="40" t="s">
        <v>5</v>
      </c>
      <c r="D154" s="40" t="s">
        <v>315</v>
      </c>
      <c r="E154" s="52">
        <v>162</v>
      </c>
      <c r="F154" s="52"/>
      <c r="G154" s="52"/>
      <c r="H154" s="52"/>
      <c r="I154" s="40"/>
      <c r="J154" s="21"/>
      <c r="K154" s="86"/>
      <c r="L154" s="86"/>
      <c r="M154" s="119"/>
    </row>
    <row r="155" spans="1:13" ht="26.4" x14ac:dyDescent="0.25">
      <c r="A155" s="19" t="s">
        <v>141</v>
      </c>
      <c r="B155" s="47" t="s">
        <v>142</v>
      </c>
      <c r="C155" s="48"/>
      <c r="D155" s="48"/>
      <c r="E155" s="49">
        <f>SUM(E156:E157)</f>
        <v>60.9</v>
      </c>
      <c r="F155" s="49">
        <f>SUM(F156:F157)</f>
        <v>99.300000000000011</v>
      </c>
      <c r="G155" s="49">
        <f>SUM(G156:G157)</f>
        <v>98.9</v>
      </c>
      <c r="H155" s="49">
        <f>SUM(H156:H157)-0.1</f>
        <v>0.4</v>
      </c>
      <c r="I155" s="48" t="s">
        <v>143</v>
      </c>
      <c r="J155" s="20" t="s">
        <v>84</v>
      </c>
      <c r="K155" s="88" t="s">
        <v>327</v>
      </c>
      <c r="L155" s="88" t="s">
        <v>327</v>
      </c>
      <c r="M155" s="50"/>
    </row>
    <row r="156" spans="1:13" x14ac:dyDescent="0.25">
      <c r="A156" s="22"/>
      <c r="B156" s="26"/>
      <c r="C156" s="40" t="s">
        <v>5</v>
      </c>
      <c r="D156" s="40" t="s">
        <v>315</v>
      </c>
      <c r="E156" s="52">
        <v>60.9</v>
      </c>
      <c r="F156" s="52">
        <v>81.7</v>
      </c>
      <c r="G156" s="52">
        <v>81.7</v>
      </c>
      <c r="H156" s="52">
        <v>0.1</v>
      </c>
      <c r="I156" s="40"/>
      <c r="J156" s="21"/>
      <c r="K156" s="86"/>
      <c r="L156" s="86"/>
      <c r="M156" s="42"/>
    </row>
    <row r="157" spans="1:13" ht="13.8" thickBot="1" x14ac:dyDescent="0.3">
      <c r="A157" s="22"/>
      <c r="B157" s="26"/>
      <c r="C157" s="40" t="s">
        <v>1</v>
      </c>
      <c r="D157" s="40" t="s">
        <v>316</v>
      </c>
      <c r="E157" s="52">
        <v>0</v>
      </c>
      <c r="F157" s="52">
        <v>17.600000000000001</v>
      </c>
      <c r="G157" s="52">
        <v>17.2</v>
      </c>
      <c r="H157" s="52">
        <v>0.4</v>
      </c>
      <c r="I157" s="40"/>
      <c r="J157" s="21"/>
      <c r="K157" s="86"/>
      <c r="L157" s="86"/>
      <c r="M157" s="42"/>
    </row>
    <row r="158" spans="1:13" ht="27" thickBot="1" x14ac:dyDescent="0.3">
      <c r="A158" s="19" t="s">
        <v>412</v>
      </c>
      <c r="B158" s="47" t="s">
        <v>413</v>
      </c>
      <c r="C158" s="48" t="s">
        <v>4</v>
      </c>
      <c r="D158" s="48" t="s">
        <v>297</v>
      </c>
      <c r="E158" s="51">
        <v>0</v>
      </c>
      <c r="F158" s="51">
        <v>36.9</v>
      </c>
      <c r="G158" s="51">
        <v>36.9</v>
      </c>
      <c r="H158" s="51">
        <v>0</v>
      </c>
      <c r="I158" s="48"/>
      <c r="J158" s="20"/>
      <c r="K158" s="88"/>
      <c r="L158" s="88"/>
      <c r="M158" s="50"/>
    </row>
    <row r="159" spans="1:13" ht="34.200000000000003" customHeight="1" x14ac:dyDescent="0.25">
      <c r="A159" s="121" t="s">
        <v>144</v>
      </c>
      <c r="B159" s="123" t="s">
        <v>53</v>
      </c>
      <c r="C159" s="48"/>
      <c r="D159" s="48"/>
      <c r="E159" s="49">
        <f>SUM(E160:E162)</f>
        <v>54</v>
      </c>
      <c r="F159" s="49">
        <f>SUM(F160:F162)</f>
        <v>57</v>
      </c>
      <c r="G159" s="49">
        <f>SUM(G160:G162)</f>
        <v>31.3</v>
      </c>
      <c r="H159" s="49">
        <f>SUM(H160:H162)</f>
        <v>25.7</v>
      </c>
      <c r="I159" s="62" t="s">
        <v>145</v>
      </c>
      <c r="J159" s="28" t="s">
        <v>91</v>
      </c>
      <c r="K159" s="93" t="s">
        <v>414</v>
      </c>
      <c r="L159" s="93" t="s">
        <v>415</v>
      </c>
      <c r="M159" s="149" t="s">
        <v>595</v>
      </c>
    </row>
    <row r="160" spans="1:13" ht="34.200000000000003" customHeight="1" x14ac:dyDescent="0.25">
      <c r="A160" s="148"/>
      <c r="B160" s="157"/>
      <c r="C160" s="40" t="s">
        <v>4</v>
      </c>
      <c r="D160" s="40" t="s">
        <v>297</v>
      </c>
      <c r="E160" s="52">
        <v>51</v>
      </c>
      <c r="F160" s="52">
        <v>51</v>
      </c>
      <c r="G160" s="52">
        <v>25.8</v>
      </c>
      <c r="H160" s="52">
        <v>25.2</v>
      </c>
      <c r="I160" s="54"/>
      <c r="J160" s="29"/>
      <c r="K160" s="89"/>
      <c r="L160" s="89"/>
      <c r="M160" s="150"/>
    </row>
    <row r="161" spans="1:13" ht="34.200000000000003" customHeight="1" x14ac:dyDescent="0.25">
      <c r="A161" s="148"/>
      <c r="B161" s="157"/>
      <c r="C161" s="40" t="s">
        <v>2</v>
      </c>
      <c r="D161" s="40" t="s">
        <v>402</v>
      </c>
      <c r="E161" s="52">
        <v>3</v>
      </c>
      <c r="F161" s="52">
        <v>3</v>
      </c>
      <c r="G161" s="52">
        <v>2.5</v>
      </c>
      <c r="H161" s="52">
        <v>0.5</v>
      </c>
      <c r="I161" s="54"/>
      <c r="J161" s="29"/>
      <c r="K161" s="89"/>
      <c r="L161" s="89"/>
      <c r="M161" s="150"/>
    </row>
    <row r="162" spans="1:13" ht="34.200000000000003" customHeight="1" thickBot="1" x14ac:dyDescent="0.3">
      <c r="A162" s="122"/>
      <c r="B162" s="124"/>
      <c r="C162" s="40" t="s">
        <v>1</v>
      </c>
      <c r="D162" s="40" t="s">
        <v>316</v>
      </c>
      <c r="E162" s="52">
        <v>0</v>
      </c>
      <c r="F162" s="52">
        <v>3</v>
      </c>
      <c r="G162" s="52">
        <v>3</v>
      </c>
      <c r="H162" s="52">
        <v>0</v>
      </c>
      <c r="I162" s="54"/>
      <c r="J162" s="29"/>
      <c r="K162" s="89"/>
      <c r="L162" s="89"/>
      <c r="M162" s="151"/>
    </row>
    <row r="163" spans="1:13" ht="39.6" x14ac:dyDescent="0.25">
      <c r="A163" s="19" t="s">
        <v>146</v>
      </c>
      <c r="B163" s="47" t="s">
        <v>576</v>
      </c>
      <c r="C163" s="48"/>
      <c r="D163" s="48"/>
      <c r="E163" s="49">
        <f>SUM(E164:E164)</f>
        <v>68.5</v>
      </c>
      <c r="F163" s="49">
        <f>SUM(F164:F164)</f>
        <v>42.7</v>
      </c>
      <c r="G163" s="49">
        <f>SUM(G164:G164)</f>
        <v>20.6</v>
      </c>
      <c r="H163" s="49">
        <f>SUM(H164:H164)</f>
        <v>22.1</v>
      </c>
      <c r="I163" s="48" t="s">
        <v>106</v>
      </c>
      <c r="J163" s="20" t="s">
        <v>91</v>
      </c>
      <c r="K163" s="88" t="s">
        <v>416</v>
      </c>
      <c r="L163" s="88" t="s">
        <v>417</v>
      </c>
      <c r="M163" s="50" t="s">
        <v>301</v>
      </c>
    </row>
    <row r="164" spans="1:13" ht="13.8" thickBot="1" x14ac:dyDescent="0.3">
      <c r="A164" s="22"/>
      <c r="B164" s="26"/>
      <c r="C164" s="40" t="s">
        <v>4</v>
      </c>
      <c r="D164" s="40" t="s">
        <v>297</v>
      </c>
      <c r="E164" s="52">
        <v>68.5</v>
      </c>
      <c r="F164" s="52">
        <v>42.7</v>
      </c>
      <c r="G164" s="52">
        <v>20.6</v>
      </c>
      <c r="H164" s="52">
        <v>22.1</v>
      </c>
      <c r="I164" s="40" t="s">
        <v>147</v>
      </c>
      <c r="J164" s="21" t="s">
        <v>91</v>
      </c>
      <c r="K164" s="86" t="s">
        <v>287</v>
      </c>
      <c r="L164" s="86" t="s">
        <v>418</v>
      </c>
      <c r="M164" s="42"/>
    </row>
    <row r="165" spans="1:13" ht="40.200000000000003" thickBot="1" x14ac:dyDescent="0.3">
      <c r="A165" s="19" t="s">
        <v>148</v>
      </c>
      <c r="B165" s="47" t="s">
        <v>419</v>
      </c>
      <c r="C165" s="48" t="s">
        <v>4</v>
      </c>
      <c r="D165" s="48" t="s">
        <v>297</v>
      </c>
      <c r="E165" s="51">
        <v>68.400000000000006</v>
      </c>
      <c r="F165" s="51">
        <v>36.9</v>
      </c>
      <c r="G165" s="51">
        <v>23.4</v>
      </c>
      <c r="H165" s="51">
        <v>13.5</v>
      </c>
      <c r="I165" s="48" t="s">
        <v>106</v>
      </c>
      <c r="J165" s="20" t="s">
        <v>91</v>
      </c>
      <c r="K165" s="88" t="s">
        <v>420</v>
      </c>
      <c r="L165" s="88" t="s">
        <v>421</v>
      </c>
      <c r="M165" s="50" t="s">
        <v>596</v>
      </c>
    </row>
    <row r="166" spans="1:13" ht="45.6" customHeight="1" x14ac:dyDescent="0.25">
      <c r="A166" s="56" t="s">
        <v>149</v>
      </c>
      <c r="B166" s="57" t="s">
        <v>54</v>
      </c>
      <c r="C166" s="48"/>
      <c r="D166" s="48"/>
      <c r="E166" s="49">
        <f>SUM(E167:E168)</f>
        <v>53</v>
      </c>
      <c r="F166" s="49">
        <f>SUM(F167:F168)</f>
        <v>53</v>
      </c>
      <c r="G166" s="49">
        <f>SUM(G167:G168)</f>
        <v>53</v>
      </c>
      <c r="H166" s="49">
        <f>SUM(H167:H168)</f>
        <v>0</v>
      </c>
      <c r="I166" s="48" t="s">
        <v>11</v>
      </c>
      <c r="J166" s="20" t="s">
        <v>91</v>
      </c>
      <c r="K166" s="88" t="s">
        <v>309</v>
      </c>
      <c r="L166" s="88" t="s">
        <v>309</v>
      </c>
      <c r="M166" s="117" t="s">
        <v>597</v>
      </c>
    </row>
    <row r="167" spans="1:13" x14ac:dyDescent="0.25">
      <c r="A167" s="22"/>
      <c r="B167" s="26"/>
      <c r="C167" s="40" t="s">
        <v>4</v>
      </c>
      <c r="D167" s="40" t="s">
        <v>297</v>
      </c>
      <c r="E167" s="52">
        <v>47.9</v>
      </c>
      <c r="F167" s="52">
        <v>47.9</v>
      </c>
      <c r="G167" s="52">
        <v>47.9</v>
      </c>
      <c r="H167" s="52">
        <v>0</v>
      </c>
      <c r="I167" s="40"/>
      <c r="J167" s="21"/>
      <c r="K167" s="86"/>
      <c r="L167" s="86"/>
      <c r="M167" s="118"/>
    </row>
    <row r="168" spans="1:13" ht="13.8" thickBot="1" x14ac:dyDescent="0.3">
      <c r="A168" s="22"/>
      <c r="B168" s="26"/>
      <c r="C168" s="40" t="s">
        <v>50</v>
      </c>
      <c r="D168" s="40" t="s">
        <v>422</v>
      </c>
      <c r="E168" s="52">
        <v>5.0999999999999996</v>
      </c>
      <c r="F168" s="52">
        <v>5.0999999999999996</v>
      </c>
      <c r="G168" s="52">
        <v>5.0999999999999996</v>
      </c>
      <c r="H168" s="52">
        <v>0</v>
      </c>
      <c r="I168" s="40"/>
      <c r="J168" s="21"/>
      <c r="K168" s="86"/>
      <c r="L168" s="86"/>
      <c r="M168" s="119"/>
    </row>
    <row r="169" spans="1:13" ht="30" customHeight="1" x14ac:dyDescent="0.25">
      <c r="A169" s="121" t="s">
        <v>150</v>
      </c>
      <c r="B169" s="123" t="s">
        <v>61</v>
      </c>
      <c r="C169" s="48" t="s">
        <v>4</v>
      </c>
      <c r="D169" s="48" t="s">
        <v>297</v>
      </c>
      <c r="E169" s="49">
        <f>SUM(E170:E170)+7.7</f>
        <v>7.7</v>
      </c>
      <c r="F169" s="49">
        <f>SUM(F170:F170)+7.7</f>
        <v>7.7</v>
      </c>
      <c r="G169" s="49">
        <f>SUM(G170:G170)+2.7</f>
        <v>2.7</v>
      </c>
      <c r="H169" s="49">
        <f>SUM(H170:H170)+5</f>
        <v>5</v>
      </c>
      <c r="I169" s="48" t="s">
        <v>423</v>
      </c>
      <c r="J169" s="20" t="s">
        <v>84</v>
      </c>
      <c r="K169" s="88" t="s">
        <v>291</v>
      </c>
      <c r="L169" s="88" t="s">
        <v>420</v>
      </c>
      <c r="M169" s="50"/>
    </row>
    <row r="170" spans="1:13" ht="27" thickBot="1" x14ac:dyDescent="0.3">
      <c r="A170" s="122"/>
      <c r="B170" s="124"/>
      <c r="C170" s="40"/>
      <c r="D170" s="40"/>
      <c r="E170" s="41">
        <v>0</v>
      </c>
      <c r="F170" s="41">
        <v>0</v>
      </c>
      <c r="G170" s="41">
        <v>0</v>
      </c>
      <c r="H170" s="41">
        <v>0</v>
      </c>
      <c r="I170" s="58" t="s">
        <v>424</v>
      </c>
      <c r="J170" s="59" t="s">
        <v>84</v>
      </c>
      <c r="K170" s="90" t="s">
        <v>425</v>
      </c>
      <c r="L170" s="90" t="s">
        <v>360</v>
      </c>
      <c r="M170" s="60" t="s">
        <v>426</v>
      </c>
    </row>
    <row r="171" spans="1:13" ht="52.8" x14ac:dyDescent="0.25">
      <c r="A171" s="19" t="s">
        <v>151</v>
      </c>
      <c r="B171" s="47" t="s">
        <v>577</v>
      </c>
      <c r="C171" s="48" t="s">
        <v>4</v>
      </c>
      <c r="D171" s="48" t="s">
        <v>297</v>
      </c>
      <c r="E171" s="49">
        <f>SUM(E172:E172)+47.6</f>
        <v>47.6</v>
      </c>
      <c r="F171" s="49">
        <f>SUM(F172:F172)+36.9</f>
        <v>36.9</v>
      </c>
      <c r="G171" s="49">
        <f>SUM(G172:G172)+36.9</f>
        <v>36.9</v>
      </c>
      <c r="H171" s="49">
        <f>SUM(H172:H172)</f>
        <v>0</v>
      </c>
      <c r="I171" s="48" t="s">
        <v>152</v>
      </c>
      <c r="J171" s="20" t="s">
        <v>84</v>
      </c>
      <c r="K171" s="88" t="s">
        <v>427</v>
      </c>
      <c r="L171" s="88" t="s">
        <v>427</v>
      </c>
      <c r="M171" s="50" t="s">
        <v>598</v>
      </c>
    </row>
    <row r="172" spans="1:13" ht="66.599999999999994" thickBot="1" x14ac:dyDescent="0.3">
      <c r="A172" s="22"/>
      <c r="B172" s="26"/>
      <c r="C172" s="40"/>
      <c r="D172" s="40"/>
      <c r="E172" s="41">
        <v>0</v>
      </c>
      <c r="F172" s="41">
        <v>0</v>
      </c>
      <c r="G172" s="41">
        <v>0</v>
      </c>
      <c r="H172" s="41">
        <v>0</v>
      </c>
      <c r="I172" s="40" t="s">
        <v>428</v>
      </c>
      <c r="J172" s="21" t="s">
        <v>91</v>
      </c>
      <c r="K172" s="86" t="s">
        <v>429</v>
      </c>
      <c r="L172" s="86" t="s">
        <v>429</v>
      </c>
      <c r="M172" s="42" t="s">
        <v>599</v>
      </c>
    </row>
    <row r="173" spans="1:13" ht="27" thickBot="1" x14ac:dyDescent="0.3">
      <c r="A173" s="19" t="s">
        <v>153</v>
      </c>
      <c r="B173" s="47" t="s">
        <v>430</v>
      </c>
      <c r="C173" s="48"/>
      <c r="D173" s="48"/>
      <c r="E173" s="49">
        <f>E174+E175+E179</f>
        <v>1064.5</v>
      </c>
      <c r="F173" s="49">
        <f>F174+F175+F179</f>
        <v>1617.4</v>
      </c>
      <c r="G173" s="49">
        <f>G174+G175+G179</f>
        <v>1511.5</v>
      </c>
      <c r="H173" s="49">
        <f>H174+H175+H179</f>
        <v>105.89999999999998</v>
      </c>
      <c r="I173" s="48"/>
      <c r="J173" s="20"/>
      <c r="K173" s="88"/>
      <c r="L173" s="88"/>
      <c r="M173" s="50"/>
    </row>
    <row r="174" spans="1:13" ht="53.4" thickBot="1" x14ac:dyDescent="0.3">
      <c r="A174" s="19" t="s">
        <v>154</v>
      </c>
      <c r="B174" s="47" t="s">
        <v>431</v>
      </c>
      <c r="C174" s="48" t="s">
        <v>5</v>
      </c>
      <c r="D174" s="48" t="s">
        <v>315</v>
      </c>
      <c r="E174" s="51">
        <v>214.1</v>
      </c>
      <c r="F174" s="51">
        <v>214.1</v>
      </c>
      <c r="G174" s="51">
        <v>205</v>
      </c>
      <c r="H174" s="51">
        <v>9.1</v>
      </c>
      <c r="I174" s="48" t="s">
        <v>34</v>
      </c>
      <c r="J174" s="20" t="s">
        <v>91</v>
      </c>
      <c r="K174" s="88">
        <v>2690</v>
      </c>
      <c r="L174" s="88" t="s">
        <v>432</v>
      </c>
      <c r="M174" s="50" t="s">
        <v>556</v>
      </c>
    </row>
    <row r="175" spans="1:13" ht="39.6" x14ac:dyDescent="0.25">
      <c r="A175" s="19" t="s">
        <v>155</v>
      </c>
      <c r="B175" s="47" t="s">
        <v>37</v>
      </c>
      <c r="C175" s="48"/>
      <c r="D175" s="48"/>
      <c r="E175" s="49">
        <f>SUM(E176:E178)</f>
        <v>730.4</v>
      </c>
      <c r="F175" s="49">
        <f>SUM(F176:F178)</f>
        <v>939.80000000000007</v>
      </c>
      <c r="G175" s="49">
        <f>SUM(G176:G178)</f>
        <v>843</v>
      </c>
      <c r="H175" s="49">
        <f>SUM(H176:H178)+0.1</f>
        <v>96.799999999999983</v>
      </c>
      <c r="I175" s="48" t="s">
        <v>117</v>
      </c>
      <c r="J175" s="20" t="s">
        <v>84</v>
      </c>
      <c r="K175" s="88" t="s">
        <v>291</v>
      </c>
      <c r="L175" s="91">
        <v>96</v>
      </c>
      <c r="M175" s="50" t="s">
        <v>551</v>
      </c>
    </row>
    <row r="176" spans="1:13" ht="26.4" x14ac:dyDescent="0.25">
      <c r="A176" s="22"/>
      <c r="B176" s="26"/>
      <c r="C176" s="40" t="s">
        <v>62</v>
      </c>
      <c r="D176" s="40" t="s">
        <v>366</v>
      </c>
      <c r="E176" s="52">
        <v>0.1</v>
      </c>
      <c r="F176" s="52">
        <v>0.2</v>
      </c>
      <c r="G176" s="52">
        <v>0</v>
      </c>
      <c r="H176" s="52">
        <v>0.1</v>
      </c>
      <c r="I176" s="40" t="s">
        <v>63</v>
      </c>
      <c r="J176" s="21" t="s">
        <v>91</v>
      </c>
      <c r="K176" s="86" t="s">
        <v>433</v>
      </c>
      <c r="L176" s="86" t="s">
        <v>434</v>
      </c>
      <c r="M176" s="42" t="s">
        <v>435</v>
      </c>
    </row>
    <row r="177" spans="1:13" ht="12.6" customHeight="1" x14ac:dyDescent="0.25">
      <c r="A177" s="22"/>
      <c r="B177" s="26"/>
      <c r="C177" s="40" t="s">
        <v>36</v>
      </c>
      <c r="D177" s="40" t="s">
        <v>367</v>
      </c>
      <c r="E177" s="52">
        <v>730.3</v>
      </c>
      <c r="F177" s="52">
        <v>732.2</v>
      </c>
      <c r="G177" s="52">
        <v>635.6</v>
      </c>
      <c r="H177" s="52">
        <v>96.6</v>
      </c>
      <c r="I177" s="40"/>
      <c r="J177" s="21"/>
      <c r="K177" s="86"/>
      <c r="L177" s="86"/>
      <c r="M177" s="42"/>
    </row>
    <row r="178" spans="1:13" ht="12.6" customHeight="1" thickBot="1" x14ac:dyDescent="0.3">
      <c r="A178" s="22"/>
      <c r="B178" s="26"/>
      <c r="C178" s="40" t="s">
        <v>5</v>
      </c>
      <c r="D178" s="40" t="s">
        <v>436</v>
      </c>
      <c r="E178" s="52"/>
      <c r="F178" s="52">
        <v>207.4</v>
      </c>
      <c r="G178" s="52">
        <v>207.4</v>
      </c>
      <c r="H178" s="52"/>
      <c r="I178" s="40"/>
      <c r="J178" s="21"/>
      <c r="K178" s="86"/>
      <c r="L178" s="86"/>
      <c r="M178" s="42"/>
    </row>
    <row r="179" spans="1:13" ht="21" customHeight="1" x14ac:dyDescent="0.25">
      <c r="A179" s="19" t="s">
        <v>156</v>
      </c>
      <c r="B179" s="47" t="s">
        <v>19</v>
      </c>
      <c r="C179" s="48"/>
      <c r="D179" s="48"/>
      <c r="E179" s="49">
        <f>SUM(E180:E182)</f>
        <v>120</v>
      </c>
      <c r="F179" s="49">
        <f>SUM(F180:F182)</f>
        <v>463.5</v>
      </c>
      <c r="G179" s="49">
        <f>SUM(G180:G182)</f>
        <v>463.5</v>
      </c>
      <c r="H179" s="49">
        <f>SUM(H180:H182)</f>
        <v>0</v>
      </c>
      <c r="I179" s="48" t="s">
        <v>437</v>
      </c>
      <c r="J179" s="20" t="s">
        <v>91</v>
      </c>
      <c r="K179" s="88" t="s">
        <v>399</v>
      </c>
      <c r="L179" s="92">
        <v>102</v>
      </c>
      <c r="M179" s="117" t="s">
        <v>552</v>
      </c>
    </row>
    <row r="180" spans="1:13" x14ac:dyDescent="0.25">
      <c r="A180" s="22"/>
      <c r="B180" s="26"/>
      <c r="C180" s="40" t="s">
        <v>4</v>
      </c>
      <c r="D180" s="40" t="s">
        <v>297</v>
      </c>
      <c r="E180" s="52">
        <v>120</v>
      </c>
      <c r="F180" s="52">
        <v>152.6</v>
      </c>
      <c r="G180" s="52">
        <v>152.6</v>
      </c>
      <c r="H180" s="52">
        <v>0</v>
      </c>
      <c r="I180" s="40"/>
      <c r="J180" s="21"/>
      <c r="K180" s="86"/>
      <c r="L180" s="86"/>
      <c r="M180" s="118"/>
    </row>
    <row r="181" spans="1:13" x14ac:dyDescent="0.25">
      <c r="A181" s="22"/>
      <c r="B181" s="26"/>
      <c r="C181" s="40" t="s">
        <v>5</v>
      </c>
      <c r="D181" s="40" t="s">
        <v>438</v>
      </c>
      <c r="E181" s="52">
        <v>0</v>
      </c>
      <c r="F181" s="52">
        <v>156.80000000000001</v>
      </c>
      <c r="G181" s="52">
        <v>156.80000000000001</v>
      </c>
      <c r="H181" s="52">
        <v>0</v>
      </c>
      <c r="I181" s="40"/>
      <c r="J181" s="21"/>
      <c r="K181" s="86"/>
      <c r="L181" s="86"/>
      <c r="M181" s="118"/>
    </row>
    <row r="182" spans="1:13" ht="13.8" thickBot="1" x14ac:dyDescent="0.3">
      <c r="A182" s="22"/>
      <c r="B182" s="26"/>
      <c r="C182" s="40" t="s">
        <v>5</v>
      </c>
      <c r="D182" s="40" t="s">
        <v>436</v>
      </c>
      <c r="E182" s="52">
        <v>0</v>
      </c>
      <c r="F182" s="52">
        <v>154.1</v>
      </c>
      <c r="G182" s="52">
        <v>154.1</v>
      </c>
      <c r="H182" s="52">
        <v>0</v>
      </c>
      <c r="I182" s="40"/>
      <c r="J182" s="21"/>
      <c r="K182" s="86"/>
      <c r="L182" s="86"/>
      <c r="M182" s="119"/>
    </row>
    <row r="183" spans="1:13" ht="27" thickBot="1" x14ac:dyDescent="0.3">
      <c r="A183" s="19" t="s">
        <v>157</v>
      </c>
      <c r="B183" s="47" t="s">
        <v>29</v>
      </c>
      <c r="C183" s="48"/>
      <c r="D183" s="48"/>
      <c r="E183" s="49">
        <f>SUM(E184:E184)</f>
        <v>3.9</v>
      </c>
      <c r="F183" s="49">
        <f>SUM(F184:F184)</f>
        <v>0.7</v>
      </c>
      <c r="G183" s="49">
        <f>SUM(G184:G184)</f>
        <v>0.7</v>
      </c>
      <c r="H183" s="49">
        <f>SUM(H184:H184)</f>
        <v>0</v>
      </c>
      <c r="I183" s="48"/>
      <c r="J183" s="20"/>
      <c r="K183" s="88"/>
      <c r="L183" s="88"/>
      <c r="M183" s="50"/>
    </row>
    <row r="184" spans="1:13" ht="26.4" x14ac:dyDescent="0.25">
      <c r="A184" s="19" t="s">
        <v>439</v>
      </c>
      <c r="B184" s="47" t="s">
        <v>29</v>
      </c>
      <c r="C184" s="48" t="s">
        <v>4</v>
      </c>
      <c r="D184" s="48" t="s">
        <v>297</v>
      </c>
      <c r="E184" s="49">
        <f>SUM(E185:E185)+3.9</f>
        <v>3.9</v>
      </c>
      <c r="F184" s="49">
        <f>SUM(F185:F185)+0.7</f>
        <v>0.7</v>
      </c>
      <c r="G184" s="49">
        <f>SUM(G185:G185)+0.7</f>
        <v>0.7</v>
      </c>
      <c r="H184" s="49">
        <f>SUM(H185:H185)</f>
        <v>0</v>
      </c>
      <c r="I184" s="48" t="s">
        <v>159</v>
      </c>
      <c r="J184" s="20" t="s">
        <v>91</v>
      </c>
      <c r="K184" s="88" t="s">
        <v>440</v>
      </c>
      <c r="L184" s="88" t="s">
        <v>440</v>
      </c>
      <c r="M184" s="50"/>
    </row>
    <row r="185" spans="1:13" ht="13.8" thickBot="1" x14ac:dyDescent="0.3">
      <c r="A185" s="22"/>
      <c r="B185" s="26"/>
      <c r="C185" s="40"/>
      <c r="D185" s="40"/>
      <c r="E185" s="41">
        <v>0</v>
      </c>
      <c r="F185" s="41">
        <v>0</v>
      </c>
      <c r="G185" s="41">
        <v>0</v>
      </c>
      <c r="H185" s="41">
        <v>0</v>
      </c>
      <c r="I185" s="40" t="s">
        <v>158</v>
      </c>
      <c r="J185" s="21" t="s">
        <v>84</v>
      </c>
      <c r="K185" s="86" t="s">
        <v>370</v>
      </c>
      <c r="L185" s="86" t="s">
        <v>370</v>
      </c>
      <c r="M185" s="42"/>
    </row>
    <row r="186" spans="1:13" ht="27" thickBot="1" x14ac:dyDescent="0.3">
      <c r="A186" s="19" t="s">
        <v>160</v>
      </c>
      <c r="B186" s="47" t="s">
        <v>161</v>
      </c>
      <c r="C186" s="48"/>
      <c r="D186" s="48"/>
      <c r="E186" s="49">
        <f>SUM(E187:E187)</f>
        <v>23.4</v>
      </c>
      <c r="F186" s="49">
        <f>SUM(F187:F187)</f>
        <v>47</v>
      </c>
      <c r="G186" s="49">
        <f>SUM(G187:G187)</f>
        <v>47</v>
      </c>
      <c r="H186" s="49">
        <f>SUM(H187:H187)</f>
        <v>0</v>
      </c>
      <c r="I186" s="48"/>
      <c r="J186" s="20"/>
      <c r="K186" s="88"/>
      <c r="L186" s="88"/>
      <c r="M186" s="50"/>
    </row>
    <row r="187" spans="1:13" ht="66.599999999999994" thickBot="1" x14ac:dyDescent="0.3">
      <c r="A187" s="19" t="s">
        <v>162</v>
      </c>
      <c r="B187" s="47" t="s">
        <v>161</v>
      </c>
      <c r="C187" s="48" t="s">
        <v>4</v>
      </c>
      <c r="D187" s="48" t="s">
        <v>297</v>
      </c>
      <c r="E187" s="51">
        <v>23.4</v>
      </c>
      <c r="F187" s="51">
        <v>47</v>
      </c>
      <c r="G187" s="51">
        <v>47</v>
      </c>
      <c r="H187" s="51">
        <v>0</v>
      </c>
      <c r="I187" s="48" t="s">
        <v>16</v>
      </c>
      <c r="J187" s="20" t="s">
        <v>91</v>
      </c>
      <c r="K187" s="88" t="s">
        <v>363</v>
      </c>
      <c r="L187" s="88" t="s">
        <v>363</v>
      </c>
      <c r="M187" s="50" t="s">
        <v>441</v>
      </c>
    </row>
    <row r="188" spans="1:13" ht="53.4" hidden="1" thickBot="1" x14ac:dyDescent="0.3">
      <c r="A188" s="19" t="s">
        <v>163</v>
      </c>
      <c r="B188" s="47" t="s">
        <v>55</v>
      </c>
      <c r="C188" s="48"/>
      <c r="D188" s="48"/>
      <c r="E188" s="49">
        <f>SUM(E189:E189)</f>
        <v>105.6</v>
      </c>
      <c r="F188" s="49">
        <f>SUM(F189:F189)</f>
        <v>147.1</v>
      </c>
      <c r="G188" s="49">
        <f>SUM(G189:G189)</f>
        <v>139.9</v>
      </c>
      <c r="H188" s="49">
        <f>SUM(H189:H189)</f>
        <v>7.2</v>
      </c>
      <c r="I188" s="48"/>
      <c r="J188" s="20"/>
      <c r="K188" s="88"/>
      <c r="L188" s="88"/>
      <c r="M188" s="50"/>
    </row>
    <row r="189" spans="1:13" ht="79.8" thickBot="1" x14ac:dyDescent="0.3">
      <c r="A189" s="19" t="s">
        <v>442</v>
      </c>
      <c r="B189" s="47" t="s">
        <v>55</v>
      </c>
      <c r="C189" s="48" t="s">
        <v>4</v>
      </c>
      <c r="D189" s="48" t="s">
        <v>297</v>
      </c>
      <c r="E189" s="51">
        <v>105.6</v>
      </c>
      <c r="F189" s="51">
        <v>147.1</v>
      </c>
      <c r="G189" s="51">
        <v>139.9</v>
      </c>
      <c r="H189" s="51">
        <v>7.2</v>
      </c>
      <c r="I189" s="48" t="s">
        <v>164</v>
      </c>
      <c r="J189" s="20" t="s">
        <v>84</v>
      </c>
      <c r="K189" s="88" t="s">
        <v>443</v>
      </c>
      <c r="L189" s="88" t="s">
        <v>444</v>
      </c>
      <c r="M189" s="50" t="s">
        <v>445</v>
      </c>
    </row>
    <row r="190" spans="1:13" ht="40.200000000000003" hidden="1" thickBot="1" x14ac:dyDescent="0.3">
      <c r="A190" s="19" t="s">
        <v>165</v>
      </c>
      <c r="B190" s="47" t="s">
        <v>166</v>
      </c>
      <c r="C190" s="48"/>
      <c r="D190" s="48"/>
      <c r="E190" s="49">
        <f>SUM(E191:E191)</f>
        <v>0</v>
      </c>
      <c r="F190" s="49">
        <f>SUM(F191:F191)</f>
        <v>1.5</v>
      </c>
      <c r="G190" s="49">
        <f>SUM(G191:G191)</f>
        <v>1.3</v>
      </c>
      <c r="H190" s="49">
        <f>SUM(H191:H191)</f>
        <v>0.2</v>
      </c>
      <c r="I190" s="48"/>
      <c r="J190" s="20"/>
      <c r="K190" s="88"/>
      <c r="L190" s="88"/>
      <c r="M190" s="50"/>
    </row>
    <row r="191" spans="1:13" ht="45" customHeight="1" thickBot="1" x14ac:dyDescent="0.3">
      <c r="A191" s="19" t="s">
        <v>167</v>
      </c>
      <c r="B191" s="47" t="s">
        <v>56</v>
      </c>
      <c r="C191" s="48" t="s">
        <v>4</v>
      </c>
      <c r="D191" s="48" t="s">
        <v>297</v>
      </c>
      <c r="E191" s="51">
        <v>0</v>
      </c>
      <c r="F191" s="51">
        <v>1.5</v>
      </c>
      <c r="G191" s="51">
        <v>1.3</v>
      </c>
      <c r="H191" s="51">
        <v>0.2</v>
      </c>
      <c r="I191" s="48" t="s">
        <v>168</v>
      </c>
      <c r="J191" s="20" t="s">
        <v>91</v>
      </c>
      <c r="K191" s="88" t="s">
        <v>319</v>
      </c>
      <c r="L191" s="88" t="s">
        <v>319</v>
      </c>
      <c r="M191" s="50" t="s">
        <v>446</v>
      </c>
    </row>
    <row r="192" spans="1:13" ht="27" hidden="1" thickBot="1" x14ac:dyDescent="0.3">
      <c r="A192" s="19" t="s">
        <v>169</v>
      </c>
      <c r="B192" s="47" t="s">
        <v>170</v>
      </c>
      <c r="C192" s="48"/>
      <c r="D192" s="48"/>
      <c r="E192" s="49">
        <f>SUM(E193:E193)</f>
        <v>5.7</v>
      </c>
      <c r="F192" s="49">
        <f>SUM(F193:F193)</f>
        <v>5.7</v>
      </c>
      <c r="G192" s="49">
        <f>SUM(G193:G193)</f>
        <v>5.6</v>
      </c>
      <c r="H192" s="49">
        <f>SUM(H193:H193)</f>
        <v>0.1</v>
      </c>
      <c r="I192" s="48"/>
      <c r="J192" s="20"/>
      <c r="K192" s="88"/>
      <c r="L192" s="88"/>
      <c r="M192" s="50"/>
    </row>
    <row r="193" spans="1:13" ht="27" thickBot="1" x14ac:dyDescent="0.3">
      <c r="A193" s="19" t="s">
        <v>447</v>
      </c>
      <c r="B193" s="47" t="s">
        <v>170</v>
      </c>
      <c r="C193" s="48" t="s">
        <v>4</v>
      </c>
      <c r="D193" s="48" t="s">
        <v>297</v>
      </c>
      <c r="E193" s="51">
        <v>5.7</v>
      </c>
      <c r="F193" s="51">
        <v>5.7</v>
      </c>
      <c r="G193" s="51">
        <v>5.6</v>
      </c>
      <c r="H193" s="51">
        <v>0.1</v>
      </c>
      <c r="I193" s="48" t="s">
        <v>11</v>
      </c>
      <c r="J193" s="20" t="s">
        <v>91</v>
      </c>
      <c r="K193" s="88" t="s">
        <v>448</v>
      </c>
      <c r="L193" s="88" t="s">
        <v>448</v>
      </c>
      <c r="M193" s="50" t="s">
        <v>449</v>
      </c>
    </row>
    <row r="194" spans="1:13" ht="39.6" x14ac:dyDescent="0.25">
      <c r="A194" s="36" t="s">
        <v>171</v>
      </c>
      <c r="B194" s="37" t="s">
        <v>172</v>
      </c>
      <c r="C194" s="38"/>
      <c r="D194" s="38"/>
      <c r="E194" s="39">
        <f>E195+E196+E197+E198+E256+E269</f>
        <v>12530</v>
      </c>
      <c r="F194" s="39">
        <f>F195+F196+F197+F198+F256+F269</f>
        <v>11065.1</v>
      </c>
      <c r="G194" s="39">
        <f>G195+G196+G197+G198+G256+G269</f>
        <v>8915.7999999999993</v>
      </c>
      <c r="H194" s="39">
        <f>H195+H196+H197+H198+H256+H269</f>
        <v>2149.3000000000002</v>
      </c>
      <c r="I194" s="97" t="s">
        <v>450</v>
      </c>
      <c r="J194" s="98" t="s">
        <v>84</v>
      </c>
      <c r="K194" s="99" t="s">
        <v>319</v>
      </c>
      <c r="L194" s="99" t="s">
        <v>451</v>
      </c>
      <c r="M194" s="82" t="s">
        <v>452</v>
      </c>
    </row>
    <row r="195" spans="1:13" ht="39.6" x14ac:dyDescent="0.25">
      <c r="A195" s="22"/>
      <c r="B195" s="26"/>
      <c r="C195" s="40"/>
      <c r="D195" s="40"/>
      <c r="E195" s="41">
        <v>0</v>
      </c>
      <c r="F195" s="41">
        <v>0</v>
      </c>
      <c r="G195" s="41">
        <v>0</v>
      </c>
      <c r="H195" s="41">
        <v>0</v>
      </c>
      <c r="I195" s="40" t="s">
        <v>453</v>
      </c>
      <c r="J195" s="21" t="s">
        <v>84</v>
      </c>
      <c r="K195" s="86" t="s">
        <v>287</v>
      </c>
      <c r="L195" s="86" t="s">
        <v>329</v>
      </c>
      <c r="M195" s="42" t="s">
        <v>454</v>
      </c>
    </row>
    <row r="196" spans="1:13" ht="105.6" x14ac:dyDescent="0.25">
      <c r="A196" s="22"/>
      <c r="B196" s="26"/>
      <c r="C196" s="40"/>
      <c r="D196" s="40"/>
      <c r="E196" s="41">
        <v>0</v>
      </c>
      <c r="F196" s="41">
        <v>0</v>
      </c>
      <c r="G196" s="41">
        <v>0</v>
      </c>
      <c r="H196" s="41">
        <v>0</v>
      </c>
      <c r="I196" s="40" t="s">
        <v>455</v>
      </c>
      <c r="J196" s="21" t="s">
        <v>84</v>
      </c>
      <c r="K196" s="86" t="s">
        <v>425</v>
      </c>
      <c r="L196" s="86" t="s">
        <v>418</v>
      </c>
      <c r="M196" s="42" t="s">
        <v>600</v>
      </c>
    </row>
    <row r="197" spans="1:13" ht="40.200000000000003" thickBot="1" x14ac:dyDescent="0.3">
      <c r="A197" s="22"/>
      <c r="B197" s="26"/>
      <c r="C197" s="40"/>
      <c r="D197" s="40"/>
      <c r="E197" s="41">
        <v>0</v>
      </c>
      <c r="F197" s="41">
        <v>0</v>
      </c>
      <c r="G197" s="41">
        <v>0</v>
      </c>
      <c r="H197" s="41">
        <v>0</v>
      </c>
      <c r="I197" s="40" t="s">
        <v>456</v>
      </c>
      <c r="J197" s="21" t="s">
        <v>84</v>
      </c>
      <c r="K197" s="86" t="s">
        <v>457</v>
      </c>
      <c r="L197" s="86">
        <v>20</v>
      </c>
      <c r="M197" s="42"/>
    </row>
    <row r="198" spans="1:13" ht="27" thickBot="1" x14ac:dyDescent="0.3">
      <c r="A198" s="17" t="s">
        <v>173</v>
      </c>
      <c r="B198" s="43" t="s">
        <v>174</v>
      </c>
      <c r="C198" s="44"/>
      <c r="D198" s="44"/>
      <c r="E198" s="45">
        <f>E199+E225+E236+E243+E250+E252</f>
        <v>7507.5999999999995</v>
      </c>
      <c r="F198" s="45">
        <f>F199+F225+F236+F243+F250+F252-0.1</f>
        <v>6728.4000000000005</v>
      </c>
      <c r="G198" s="45">
        <f>G199+G225+G236+G243+G250+G252</f>
        <v>4939.0999999999995</v>
      </c>
      <c r="H198" s="45">
        <f>H199+H225+H236+H243+H250+H252-0.1</f>
        <v>1789.3</v>
      </c>
      <c r="I198" s="44"/>
      <c r="J198" s="18"/>
      <c r="K198" s="87"/>
      <c r="L198" s="87"/>
      <c r="M198" s="46"/>
    </row>
    <row r="199" spans="1:13" ht="40.200000000000003" thickBot="1" x14ac:dyDescent="0.3">
      <c r="A199" s="19" t="s">
        <v>175</v>
      </c>
      <c r="B199" s="47" t="s">
        <v>176</v>
      </c>
      <c r="C199" s="48"/>
      <c r="D199" s="48"/>
      <c r="E199" s="49">
        <f>E200+E201+E208+E211+E214+E217+E220+E223</f>
        <v>5850.7</v>
      </c>
      <c r="F199" s="49">
        <f>F200+F201+F208+F211+F214+F217+F220+F223</f>
        <v>4300.8</v>
      </c>
      <c r="G199" s="49">
        <f>G200+G201+G208+G211+G214+G217+G220+G223-0.1</f>
        <v>3077.4999999999995</v>
      </c>
      <c r="H199" s="49">
        <f>H200+H201+H208+H211+H214+H217+H220+H223+0.1</f>
        <v>1223.3</v>
      </c>
      <c r="I199" s="48"/>
      <c r="J199" s="20"/>
      <c r="K199" s="88"/>
      <c r="L199" s="88"/>
      <c r="M199" s="50"/>
    </row>
    <row r="200" spans="1:13" ht="53.4" thickBot="1" x14ac:dyDescent="0.3">
      <c r="A200" s="19" t="s">
        <v>177</v>
      </c>
      <c r="B200" s="47" t="s">
        <v>178</v>
      </c>
      <c r="C200" s="48" t="s">
        <v>50</v>
      </c>
      <c r="D200" s="48" t="s">
        <v>422</v>
      </c>
      <c r="E200" s="51">
        <v>31.3</v>
      </c>
      <c r="F200" s="51">
        <v>38.700000000000003</v>
      </c>
      <c r="G200" s="51">
        <v>38.6</v>
      </c>
      <c r="H200" s="51">
        <v>0.1</v>
      </c>
      <c r="I200" s="48" t="s">
        <v>26</v>
      </c>
      <c r="J200" s="20" t="s">
        <v>91</v>
      </c>
      <c r="K200" s="88" t="s">
        <v>319</v>
      </c>
      <c r="L200" s="88" t="s">
        <v>319</v>
      </c>
      <c r="M200" s="50" t="s">
        <v>458</v>
      </c>
    </row>
    <row r="201" spans="1:13" ht="39.6" x14ac:dyDescent="0.25">
      <c r="A201" s="19" t="s">
        <v>179</v>
      </c>
      <c r="B201" s="47" t="s">
        <v>180</v>
      </c>
      <c r="C201" s="48"/>
      <c r="D201" s="48"/>
      <c r="E201" s="49">
        <f>SUM(E202:E207)</f>
        <v>736.59999999999991</v>
      </c>
      <c r="F201" s="49">
        <f>SUM(F202:F207)</f>
        <v>536</v>
      </c>
      <c r="G201" s="49">
        <f>SUM(G202:G207)+0.2</f>
        <v>321.40000000000003</v>
      </c>
      <c r="H201" s="49">
        <f>SUM(H202:H207)-0.1</f>
        <v>214.6</v>
      </c>
      <c r="I201" s="48" t="s">
        <v>182</v>
      </c>
      <c r="J201" s="20" t="s">
        <v>91</v>
      </c>
      <c r="K201" s="88" t="s">
        <v>309</v>
      </c>
      <c r="L201" s="88" t="s">
        <v>309</v>
      </c>
      <c r="M201" s="50"/>
    </row>
    <row r="202" spans="1:13" ht="145.19999999999999" x14ac:dyDescent="0.25">
      <c r="A202" s="22"/>
      <c r="B202" s="26"/>
      <c r="C202" s="40" t="s">
        <v>62</v>
      </c>
      <c r="D202" s="40" t="s">
        <v>366</v>
      </c>
      <c r="E202" s="52">
        <v>41.3</v>
      </c>
      <c r="F202" s="52">
        <v>41.3</v>
      </c>
      <c r="G202" s="52">
        <v>30.6</v>
      </c>
      <c r="H202" s="52">
        <v>10.6</v>
      </c>
      <c r="I202" s="40" t="s">
        <v>181</v>
      </c>
      <c r="J202" s="21" t="s">
        <v>84</v>
      </c>
      <c r="K202" s="86" t="s">
        <v>309</v>
      </c>
      <c r="L202" s="86" t="s">
        <v>309</v>
      </c>
      <c r="M202" s="42" t="s">
        <v>459</v>
      </c>
    </row>
    <row r="203" spans="1:13" x14ac:dyDescent="0.25">
      <c r="A203" s="22"/>
      <c r="B203" s="26"/>
      <c r="C203" s="40" t="s">
        <v>460</v>
      </c>
      <c r="D203" s="40" t="s">
        <v>461</v>
      </c>
      <c r="E203" s="52">
        <v>49.3</v>
      </c>
      <c r="F203" s="52">
        <v>30.7</v>
      </c>
      <c r="G203" s="52">
        <v>16.899999999999999</v>
      </c>
      <c r="H203" s="52">
        <v>13.8</v>
      </c>
      <c r="I203" s="40"/>
      <c r="J203" s="21"/>
      <c r="K203" s="86"/>
      <c r="L203" s="86"/>
      <c r="M203" s="42"/>
    </row>
    <row r="204" spans="1:13" x14ac:dyDescent="0.25">
      <c r="A204" s="22"/>
      <c r="B204" s="26"/>
      <c r="C204" s="40" t="s">
        <v>4</v>
      </c>
      <c r="D204" s="40" t="s">
        <v>297</v>
      </c>
      <c r="E204" s="52">
        <v>60.1</v>
      </c>
      <c r="F204" s="52">
        <v>60.1</v>
      </c>
      <c r="G204" s="52">
        <v>58.9</v>
      </c>
      <c r="H204" s="52">
        <v>1.2</v>
      </c>
      <c r="I204" s="40"/>
      <c r="J204" s="21"/>
      <c r="K204" s="86"/>
      <c r="L204" s="86"/>
      <c r="M204" s="42"/>
    </row>
    <row r="205" spans="1:13" x14ac:dyDescent="0.25">
      <c r="A205" s="22"/>
      <c r="B205" s="26"/>
      <c r="C205" s="40" t="s">
        <v>62</v>
      </c>
      <c r="D205" s="40" t="s">
        <v>462</v>
      </c>
      <c r="E205" s="52">
        <v>3.6</v>
      </c>
      <c r="F205" s="52">
        <v>3.6</v>
      </c>
      <c r="G205" s="52">
        <v>2.7</v>
      </c>
      <c r="H205" s="52">
        <v>0.9</v>
      </c>
      <c r="I205" s="40"/>
      <c r="J205" s="21"/>
      <c r="K205" s="86"/>
      <c r="L205" s="86"/>
      <c r="M205" s="42"/>
    </row>
    <row r="206" spans="1:13" x14ac:dyDescent="0.25">
      <c r="A206" s="22"/>
      <c r="B206" s="26"/>
      <c r="C206" s="40" t="s">
        <v>50</v>
      </c>
      <c r="D206" s="40" t="s">
        <v>422</v>
      </c>
      <c r="E206" s="52">
        <v>23.9</v>
      </c>
      <c r="F206" s="52">
        <v>52.3</v>
      </c>
      <c r="G206" s="52">
        <v>20.2</v>
      </c>
      <c r="H206" s="52">
        <v>32.1</v>
      </c>
      <c r="I206" s="40"/>
      <c r="J206" s="21"/>
      <c r="K206" s="86"/>
      <c r="L206" s="86"/>
      <c r="M206" s="42"/>
    </row>
    <row r="207" spans="1:13" ht="13.8" thickBot="1" x14ac:dyDescent="0.3">
      <c r="A207" s="22"/>
      <c r="B207" s="26"/>
      <c r="C207" s="40" t="s">
        <v>36</v>
      </c>
      <c r="D207" s="40" t="s">
        <v>367</v>
      </c>
      <c r="E207" s="52">
        <v>558.4</v>
      </c>
      <c r="F207" s="52">
        <v>348</v>
      </c>
      <c r="G207" s="52">
        <v>191.9</v>
      </c>
      <c r="H207" s="52">
        <v>156.1</v>
      </c>
      <c r="I207" s="40"/>
      <c r="J207" s="21"/>
      <c r="K207" s="86"/>
      <c r="L207" s="86"/>
      <c r="M207" s="42"/>
    </row>
    <row r="208" spans="1:13" ht="52.8" x14ac:dyDescent="0.25">
      <c r="A208" s="19" t="s">
        <v>183</v>
      </c>
      <c r="B208" s="47" t="s">
        <v>184</v>
      </c>
      <c r="C208" s="48"/>
      <c r="D208" s="48"/>
      <c r="E208" s="49">
        <f>SUM(E209:E210)</f>
        <v>120</v>
      </c>
      <c r="F208" s="49">
        <f>SUM(F209:F210)</f>
        <v>138</v>
      </c>
      <c r="G208" s="49">
        <f>SUM(G209:G210)</f>
        <v>138</v>
      </c>
      <c r="H208" s="49">
        <f>SUM(H209:H210)</f>
        <v>0</v>
      </c>
      <c r="I208" s="48" t="s">
        <v>463</v>
      </c>
      <c r="J208" s="20" t="s">
        <v>83</v>
      </c>
      <c r="K208" s="88" t="s">
        <v>291</v>
      </c>
      <c r="L208" s="88" t="s">
        <v>291</v>
      </c>
      <c r="M208" s="50" t="s">
        <v>464</v>
      </c>
    </row>
    <row r="209" spans="1:13" x14ac:dyDescent="0.25">
      <c r="A209" s="22"/>
      <c r="B209" s="26"/>
      <c r="C209" s="40" t="s">
        <v>50</v>
      </c>
      <c r="D209" s="40" t="s">
        <v>422</v>
      </c>
      <c r="E209" s="52">
        <v>0</v>
      </c>
      <c r="F209" s="52">
        <v>18</v>
      </c>
      <c r="G209" s="52">
        <v>18</v>
      </c>
      <c r="H209" s="52">
        <v>0</v>
      </c>
      <c r="I209" s="40" t="s">
        <v>26</v>
      </c>
      <c r="J209" s="21" t="s">
        <v>91</v>
      </c>
      <c r="K209" s="86" t="s">
        <v>319</v>
      </c>
      <c r="L209" s="86" t="s">
        <v>319</v>
      </c>
      <c r="M209" s="42"/>
    </row>
    <row r="210" spans="1:13" ht="13.8" thickBot="1" x14ac:dyDescent="0.3">
      <c r="A210" s="22"/>
      <c r="B210" s="26"/>
      <c r="C210" s="40" t="s">
        <v>5</v>
      </c>
      <c r="D210" s="40" t="s">
        <v>465</v>
      </c>
      <c r="E210" s="52">
        <v>120</v>
      </c>
      <c r="F210" s="52">
        <v>120</v>
      </c>
      <c r="G210" s="52">
        <v>120</v>
      </c>
      <c r="H210" s="52"/>
      <c r="I210" s="40"/>
      <c r="J210" s="21"/>
      <c r="K210" s="86"/>
      <c r="L210" s="86"/>
      <c r="M210" s="42"/>
    </row>
    <row r="211" spans="1:13" ht="132" x14ac:dyDescent="0.25">
      <c r="A211" s="30" t="s">
        <v>185</v>
      </c>
      <c r="B211" s="61" t="s">
        <v>32</v>
      </c>
      <c r="C211" s="48"/>
      <c r="D211" s="48"/>
      <c r="E211" s="49">
        <f>SUM(E212:E213)</f>
        <v>3473.3</v>
      </c>
      <c r="F211" s="49">
        <f>SUM(F212:F213)</f>
        <v>2344.9</v>
      </c>
      <c r="G211" s="49">
        <f>SUM(G212:G213)</f>
        <v>1662.6</v>
      </c>
      <c r="H211" s="49">
        <f>SUM(H212:H213)</f>
        <v>682.3</v>
      </c>
      <c r="I211" s="62" t="s">
        <v>186</v>
      </c>
      <c r="J211" s="28" t="s">
        <v>83</v>
      </c>
      <c r="K211" s="93" t="s">
        <v>322</v>
      </c>
      <c r="L211" s="93" t="s">
        <v>466</v>
      </c>
      <c r="M211" s="63" t="s">
        <v>467</v>
      </c>
    </row>
    <row r="212" spans="1:13" x14ac:dyDescent="0.25">
      <c r="A212" s="22"/>
      <c r="B212" s="26"/>
      <c r="C212" s="40" t="s">
        <v>50</v>
      </c>
      <c r="D212" s="40" t="s">
        <v>422</v>
      </c>
      <c r="E212" s="52">
        <v>3209.4</v>
      </c>
      <c r="F212" s="52">
        <v>2081</v>
      </c>
      <c r="G212" s="52">
        <v>1662.6</v>
      </c>
      <c r="H212" s="52">
        <v>418.4</v>
      </c>
      <c r="I212" s="40"/>
      <c r="J212" s="21"/>
      <c r="K212" s="86"/>
      <c r="L212" s="86"/>
      <c r="M212" s="42"/>
    </row>
    <row r="213" spans="1:13" ht="13.8" thickBot="1" x14ac:dyDescent="0.3">
      <c r="A213" s="22"/>
      <c r="B213" s="26"/>
      <c r="C213" s="40" t="s">
        <v>4</v>
      </c>
      <c r="D213" s="40" t="s">
        <v>297</v>
      </c>
      <c r="E213" s="52">
        <v>263.89999999999998</v>
      </c>
      <c r="F213" s="52">
        <v>263.89999999999998</v>
      </c>
      <c r="G213" s="52">
        <v>0</v>
      </c>
      <c r="H213" s="52">
        <v>263.89999999999998</v>
      </c>
      <c r="I213" s="40"/>
      <c r="J213" s="21"/>
      <c r="K213" s="86"/>
      <c r="L213" s="86"/>
      <c r="M213" s="42"/>
    </row>
    <row r="214" spans="1:13" ht="198" x14ac:dyDescent="0.25">
      <c r="A214" s="30" t="s">
        <v>187</v>
      </c>
      <c r="B214" s="61" t="s">
        <v>188</v>
      </c>
      <c r="C214" s="48"/>
      <c r="D214" s="48"/>
      <c r="E214" s="49">
        <f>SUM(E215:E216)</f>
        <v>380.1</v>
      </c>
      <c r="F214" s="49">
        <f>SUM(F215:F216)</f>
        <v>230.1</v>
      </c>
      <c r="G214" s="49">
        <f>SUM(G215:G216)</f>
        <v>230.1</v>
      </c>
      <c r="H214" s="49">
        <f>SUM(H215:H216)</f>
        <v>0</v>
      </c>
      <c r="I214" s="48" t="s">
        <v>189</v>
      </c>
      <c r="J214" s="20" t="s">
        <v>91</v>
      </c>
      <c r="K214" s="88" t="s">
        <v>319</v>
      </c>
      <c r="L214" s="88" t="s">
        <v>319</v>
      </c>
      <c r="M214" s="50" t="s">
        <v>601</v>
      </c>
    </row>
    <row r="215" spans="1:13" ht="39.6" x14ac:dyDescent="0.25">
      <c r="A215" s="22"/>
      <c r="B215" s="26"/>
      <c r="C215" s="40" t="s">
        <v>4</v>
      </c>
      <c r="D215" s="40" t="s">
        <v>297</v>
      </c>
      <c r="E215" s="52">
        <v>360.1</v>
      </c>
      <c r="F215" s="52">
        <v>210.1</v>
      </c>
      <c r="G215" s="52">
        <v>210.1</v>
      </c>
      <c r="H215" s="52">
        <v>0</v>
      </c>
      <c r="I215" s="54" t="s">
        <v>190</v>
      </c>
      <c r="J215" s="29" t="s">
        <v>91</v>
      </c>
      <c r="K215" s="89" t="s">
        <v>319</v>
      </c>
      <c r="L215" s="89" t="s">
        <v>451</v>
      </c>
      <c r="M215" s="55" t="s">
        <v>468</v>
      </c>
    </row>
    <row r="216" spans="1:13" ht="13.8" thickBot="1" x14ac:dyDescent="0.3">
      <c r="A216" s="22"/>
      <c r="B216" s="26"/>
      <c r="C216" s="40" t="s">
        <v>50</v>
      </c>
      <c r="D216" s="40" t="s">
        <v>422</v>
      </c>
      <c r="E216" s="52">
        <v>20</v>
      </c>
      <c r="F216" s="52">
        <v>20</v>
      </c>
      <c r="G216" s="52">
        <v>20</v>
      </c>
      <c r="H216" s="52"/>
      <c r="I216" s="40"/>
      <c r="J216" s="21"/>
      <c r="K216" s="86"/>
      <c r="L216" s="86"/>
      <c r="M216" s="42"/>
    </row>
    <row r="217" spans="1:13" ht="58.95" customHeight="1" x14ac:dyDescent="0.25">
      <c r="A217" s="19" t="s">
        <v>469</v>
      </c>
      <c r="B217" s="47" t="s">
        <v>470</v>
      </c>
      <c r="C217" s="48"/>
      <c r="D217" s="48"/>
      <c r="E217" s="49">
        <f>SUM(E218:E219)</f>
        <v>200</v>
      </c>
      <c r="F217" s="49">
        <f>SUM(F218:F219)</f>
        <v>104.7</v>
      </c>
      <c r="G217" s="49">
        <f>SUM(G218:G219)</f>
        <v>104.7</v>
      </c>
      <c r="H217" s="49">
        <f>SUM(H218:H219)</f>
        <v>0</v>
      </c>
      <c r="I217" s="48" t="s">
        <v>471</v>
      </c>
      <c r="J217" s="20" t="s">
        <v>83</v>
      </c>
      <c r="K217" s="88" t="s">
        <v>291</v>
      </c>
      <c r="L217" s="88" t="s">
        <v>291</v>
      </c>
      <c r="M217" s="50" t="s">
        <v>472</v>
      </c>
    </row>
    <row r="218" spans="1:13" x14ac:dyDescent="0.25">
      <c r="A218" s="22"/>
      <c r="B218" s="26"/>
      <c r="C218" s="40" t="s">
        <v>4</v>
      </c>
      <c r="D218" s="40" t="s">
        <v>297</v>
      </c>
      <c r="E218" s="52">
        <v>0</v>
      </c>
      <c r="F218" s="52">
        <v>2.7</v>
      </c>
      <c r="G218" s="52">
        <v>2.7</v>
      </c>
      <c r="H218" s="52">
        <v>0</v>
      </c>
      <c r="I218" s="40" t="s">
        <v>473</v>
      </c>
      <c r="J218" s="21" t="s">
        <v>83</v>
      </c>
      <c r="K218" s="86" t="s">
        <v>291</v>
      </c>
      <c r="L218" s="86" t="s">
        <v>291</v>
      </c>
      <c r="M218" s="42" t="s">
        <v>474</v>
      </c>
    </row>
    <row r="219" spans="1:13" ht="13.8" thickBot="1" x14ac:dyDescent="0.3">
      <c r="A219" s="22"/>
      <c r="B219" s="26"/>
      <c r="C219" s="40" t="s">
        <v>50</v>
      </c>
      <c r="D219" s="40" t="s">
        <v>422</v>
      </c>
      <c r="E219" s="52">
        <v>200</v>
      </c>
      <c r="F219" s="52">
        <v>102</v>
      </c>
      <c r="G219" s="52">
        <v>102</v>
      </c>
      <c r="H219" s="52"/>
      <c r="I219" s="40"/>
      <c r="J219" s="21"/>
      <c r="K219" s="86"/>
      <c r="L219" s="86"/>
      <c r="M219" s="42"/>
    </row>
    <row r="220" spans="1:13" ht="224.4" x14ac:dyDescent="0.25">
      <c r="A220" s="30" t="s">
        <v>191</v>
      </c>
      <c r="B220" s="61" t="s">
        <v>192</v>
      </c>
      <c r="C220" s="48"/>
      <c r="D220" s="48"/>
      <c r="E220" s="49">
        <f>SUM(E221:E222)</f>
        <v>899.9</v>
      </c>
      <c r="F220" s="49">
        <f>SUM(F221:F222)</f>
        <v>899.9</v>
      </c>
      <c r="G220" s="49">
        <f>SUM(G221:G222)</f>
        <v>573.70000000000005</v>
      </c>
      <c r="H220" s="49">
        <f>SUM(H221:H222)</f>
        <v>326.2</v>
      </c>
      <c r="I220" s="62" t="s">
        <v>471</v>
      </c>
      <c r="J220" s="28" t="s">
        <v>83</v>
      </c>
      <c r="K220" s="93" t="s">
        <v>381</v>
      </c>
      <c r="L220" s="93" t="s">
        <v>475</v>
      </c>
      <c r="M220" s="63" t="s">
        <v>476</v>
      </c>
    </row>
    <row r="221" spans="1:13" x14ac:dyDescent="0.25">
      <c r="A221" s="22"/>
      <c r="B221" s="26"/>
      <c r="C221" s="40" t="s">
        <v>50</v>
      </c>
      <c r="D221" s="40" t="s">
        <v>422</v>
      </c>
      <c r="E221" s="52">
        <v>264.10000000000002</v>
      </c>
      <c r="F221" s="52">
        <v>264.10000000000002</v>
      </c>
      <c r="G221" s="52">
        <v>264.10000000000002</v>
      </c>
      <c r="H221" s="52">
        <v>0</v>
      </c>
      <c r="I221" s="40"/>
      <c r="J221" s="21"/>
      <c r="K221" s="86"/>
      <c r="L221" s="86"/>
      <c r="M221" s="42"/>
    </row>
    <row r="222" spans="1:13" ht="13.8" thickBot="1" x14ac:dyDescent="0.3">
      <c r="A222" s="22"/>
      <c r="B222" s="26"/>
      <c r="C222" s="40" t="s">
        <v>4</v>
      </c>
      <c r="D222" s="40" t="s">
        <v>297</v>
      </c>
      <c r="E222" s="52">
        <v>635.79999999999995</v>
      </c>
      <c r="F222" s="52">
        <v>635.79999999999995</v>
      </c>
      <c r="G222" s="52">
        <v>309.60000000000002</v>
      </c>
      <c r="H222" s="52">
        <v>326.2</v>
      </c>
      <c r="I222" s="40"/>
      <c r="J222" s="21"/>
      <c r="K222" s="86"/>
      <c r="L222" s="86"/>
      <c r="M222" s="42"/>
    </row>
    <row r="223" spans="1:13" ht="39.6" x14ac:dyDescent="0.25">
      <c r="A223" s="19" t="s">
        <v>193</v>
      </c>
      <c r="B223" s="47" t="s">
        <v>477</v>
      </c>
      <c r="C223" s="48"/>
      <c r="D223" s="48"/>
      <c r="E223" s="49">
        <f>SUM(E224:E224)</f>
        <v>9.5</v>
      </c>
      <c r="F223" s="49">
        <f>SUM(F224:F224)</f>
        <v>8.5</v>
      </c>
      <c r="G223" s="49">
        <f>SUM(G224:G224)</f>
        <v>8.5</v>
      </c>
      <c r="H223" s="49">
        <f>SUM(H224:H224)</f>
        <v>0</v>
      </c>
      <c r="I223" s="48" t="s">
        <v>26</v>
      </c>
      <c r="J223" s="20" t="s">
        <v>91</v>
      </c>
      <c r="K223" s="88" t="s">
        <v>319</v>
      </c>
      <c r="L223" s="88" t="s">
        <v>319</v>
      </c>
      <c r="M223" s="50" t="s">
        <v>478</v>
      </c>
    </row>
    <row r="224" spans="1:13" ht="13.8" thickBot="1" x14ac:dyDescent="0.3">
      <c r="A224" s="22"/>
      <c r="B224" s="26"/>
      <c r="C224" s="40" t="s">
        <v>50</v>
      </c>
      <c r="D224" s="40" t="s">
        <v>422</v>
      </c>
      <c r="E224" s="52">
        <v>9.5</v>
      </c>
      <c r="F224" s="52">
        <v>8.5</v>
      </c>
      <c r="G224" s="52">
        <v>8.5</v>
      </c>
      <c r="H224" s="52">
        <v>0</v>
      </c>
      <c r="I224" s="40"/>
      <c r="J224" s="21"/>
      <c r="K224" s="86"/>
      <c r="L224" s="86"/>
      <c r="M224" s="42"/>
    </row>
    <row r="225" spans="1:13" ht="27" thickBot="1" x14ac:dyDescent="0.3">
      <c r="A225" s="19" t="s">
        <v>194</v>
      </c>
      <c r="B225" s="47" t="s">
        <v>195</v>
      </c>
      <c r="C225" s="48"/>
      <c r="D225" s="48"/>
      <c r="E225" s="49">
        <f>E226+E228+E231+E233</f>
        <v>983.09999999999991</v>
      </c>
      <c r="F225" s="49">
        <f>F226+F228+F231+F233</f>
        <v>1029.3</v>
      </c>
      <c r="G225" s="49">
        <f>G226+G228+G231+G233</f>
        <v>941.80000000000007</v>
      </c>
      <c r="H225" s="49">
        <f>H226+H228+H231+H233</f>
        <v>87.5</v>
      </c>
      <c r="I225" s="48"/>
      <c r="J225" s="20"/>
      <c r="K225" s="88"/>
      <c r="L225" s="88"/>
      <c r="M225" s="50"/>
    </row>
    <row r="226" spans="1:13" ht="27" hidden="1" thickBot="1" x14ac:dyDescent="0.3">
      <c r="A226" s="19" t="s">
        <v>196</v>
      </c>
      <c r="B226" s="47" t="s">
        <v>197</v>
      </c>
      <c r="C226" s="48"/>
      <c r="D226" s="48"/>
      <c r="E226" s="49">
        <f>SUM(E227:E227)</f>
        <v>0</v>
      </c>
      <c r="F226" s="49">
        <f>SUM(F227:F227)</f>
        <v>0</v>
      </c>
      <c r="G226" s="49">
        <f>SUM(G227:G227)</f>
        <v>0</v>
      </c>
      <c r="H226" s="49">
        <f>SUM(H227:H227)</f>
        <v>0</v>
      </c>
      <c r="I226" s="48" t="s">
        <v>198</v>
      </c>
      <c r="J226" s="20" t="s">
        <v>83</v>
      </c>
      <c r="K226" s="88" t="s">
        <v>479</v>
      </c>
      <c r="L226" s="88" t="s">
        <v>360</v>
      </c>
      <c r="M226" s="50"/>
    </row>
    <row r="227" spans="1:13" ht="13.8" hidden="1" thickBot="1" x14ac:dyDescent="0.3">
      <c r="A227" s="22"/>
      <c r="B227" s="26"/>
      <c r="C227" s="40"/>
      <c r="D227" s="40"/>
      <c r="E227" s="52">
        <v>0</v>
      </c>
      <c r="F227" s="52">
        <v>0</v>
      </c>
      <c r="G227" s="52">
        <v>0</v>
      </c>
      <c r="H227" s="52">
        <v>0</v>
      </c>
      <c r="I227" s="40" t="s">
        <v>189</v>
      </c>
      <c r="J227" s="21" t="s">
        <v>91</v>
      </c>
      <c r="K227" s="86" t="s">
        <v>370</v>
      </c>
      <c r="L227" s="86" t="s">
        <v>360</v>
      </c>
      <c r="M227" s="42"/>
    </row>
    <row r="228" spans="1:13" ht="26.4" x14ac:dyDescent="0.25">
      <c r="A228" s="30" t="s">
        <v>199</v>
      </c>
      <c r="B228" s="61" t="s">
        <v>480</v>
      </c>
      <c r="C228" s="48"/>
      <c r="D228" s="48"/>
      <c r="E228" s="49">
        <f>SUM(E229:E230)</f>
        <v>753.09999999999991</v>
      </c>
      <c r="F228" s="49">
        <f>SUM(F229:F230)</f>
        <v>93</v>
      </c>
      <c r="G228" s="49">
        <f>SUM(G229:G230)</f>
        <v>6.6</v>
      </c>
      <c r="H228" s="49">
        <f>SUM(H229:H230)</f>
        <v>86.4</v>
      </c>
      <c r="I228" s="48" t="s">
        <v>26</v>
      </c>
      <c r="J228" s="20" t="s">
        <v>91</v>
      </c>
      <c r="K228" s="88" t="s">
        <v>319</v>
      </c>
      <c r="L228" s="88" t="s">
        <v>319</v>
      </c>
      <c r="M228" s="50" t="s">
        <v>481</v>
      </c>
    </row>
    <row r="229" spans="1:13" ht="71.55" customHeight="1" x14ac:dyDescent="0.25">
      <c r="A229" s="22"/>
      <c r="B229" s="26"/>
      <c r="C229" s="40" t="s">
        <v>4</v>
      </c>
      <c r="D229" s="40" t="s">
        <v>297</v>
      </c>
      <c r="E229" s="52">
        <v>396.2</v>
      </c>
      <c r="F229" s="52">
        <v>0</v>
      </c>
      <c r="G229" s="52">
        <v>0</v>
      </c>
      <c r="H229" s="52">
        <v>0</v>
      </c>
      <c r="I229" s="54" t="s">
        <v>200</v>
      </c>
      <c r="J229" s="29" t="s">
        <v>83</v>
      </c>
      <c r="K229" s="89" t="s">
        <v>479</v>
      </c>
      <c r="L229" s="89" t="s">
        <v>360</v>
      </c>
      <c r="M229" s="125" t="s">
        <v>608</v>
      </c>
    </row>
    <row r="230" spans="1:13" ht="13.8" thickBot="1" x14ac:dyDescent="0.3">
      <c r="A230" s="22"/>
      <c r="B230" s="26"/>
      <c r="C230" s="40" t="s">
        <v>50</v>
      </c>
      <c r="D230" s="40" t="s">
        <v>422</v>
      </c>
      <c r="E230" s="52">
        <v>356.9</v>
      </c>
      <c r="F230" s="52">
        <v>93</v>
      </c>
      <c r="G230" s="52">
        <v>6.6</v>
      </c>
      <c r="H230" s="52">
        <v>86.4</v>
      </c>
      <c r="I230" s="54"/>
      <c r="J230" s="29"/>
      <c r="K230" s="89"/>
      <c r="L230" s="89"/>
      <c r="M230" s="126"/>
    </row>
    <row r="231" spans="1:13" ht="27" hidden="1" thickBot="1" x14ac:dyDescent="0.3">
      <c r="A231" s="19" t="s">
        <v>201</v>
      </c>
      <c r="B231" s="47" t="s">
        <v>202</v>
      </c>
      <c r="C231" s="48"/>
      <c r="D231" s="48"/>
      <c r="E231" s="49">
        <f>SUM(E232:E232)</f>
        <v>0</v>
      </c>
      <c r="F231" s="49">
        <f>SUM(F232:F232)</f>
        <v>0</v>
      </c>
      <c r="G231" s="49">
        <f>SUM(G232:G232)</f>
        <v>0</v>
      </c>
      <c r="H231" s="49">
        <f>SUM(H232:H232)</f>
        <v>0</v>
      </c>
      <c r="I231" s="48" t="s">
        <v>198</v>
      </c>
      <c r="J231" s="20" t="s">
        <v>83</v>
      </c>
      <c r="K231" s="88" t="s">
        <v>395</v>
      </c>
      <c r="L231" s="88" t="s">
        <v>360</v>
      </c>
      <c r="M231" s="50"/>
    </row>
    <row r="232" spans="1:13" ht="13.8" hidden="1" thickBot="1" x14ac:dyDescent="0.3">
      <c r="A232" s="22"/>
      <c r="B232" s="26"/>
      <c r="C232" s="40"/>
      <c r="D232" s="40"/>
      <c r="E232" s="52">
        <v>0</v>
      </c>
      <c r="F232" s="52">
        <v>0</v>
      </c>
      <c r="G232" s="52">
        <v>0</v>
      </c>
      <c r="H232" s="52">
        <v>0</v>
      </c>
      <c r="I232" s="40" t="s">
        <v>471</v>
      </c>
      <c r="J232" s="21" t="s">
        <v>83</v>
      </c>
      <c r="K232" s="86" t="s">
        <v>360</v>
      </c>
      <c r="L232" s="86" t="s">
        <v>360</v>
      </c>
      <c r="M232" s="42"/>
    </row>
    <row r="233" spans="1:13" ht="66" x14ac:dyDescent="0.25">
      <c r="A233" s="19" t="s">
        <v>269</v>
      </c>
      <c r="B233" s="47" t="s">
        <v>578</v>
      </c>
      <c r="C233" s="48"/>
      <c r="D233" s="48"/>
      <c r="E233" s="49">
        <f>SUM(E234:E235)</f>
        <v>230</v>
      </c>
      <c r="F233" s="49">
        <f>SUM(F234:F235)</f>
        <v>936.3</v>
      </c>
      <c r="G233" s="49">
        <f>SUM(G234:G235)</f>
        <v>935.2</v>
      </c>
      <c r="H233" s="49">
        <f>SUM(H234:H235)</f>
        <v>1.1000000000000001</v>
      </c>
      <c r="I233" s="48" t="s">
        <v>198</v>
      </c>
      <c r="J233" s="20" t="s">
        <v>83</v>
      </c>
      <c r="K233" s="88" t="s">
        <v>291</v>
      </c>
      <c r="L233" s="88" t="s">
        <v>291</v>
      </c>
      <c r="M233" s="50" t="s">
        <v>482</v>
      </c>
    </row>
    <row r="234" spans="1:13" x14ac:dyDescent="0.25">
      <c r="A234" s="22"/>
      <c r="B234" s="26"/>
      <c r="C234" s="40" t="s">
        <v>50</v>
      </c>
      <c r="D234" s="40" t="s">
        <v>422</v>
      </c>
      <c r="E234" s="52">
        <v>230</v>
      </c>
      <c r="F234" s="52">
        <v>399.3</v>
      </c>
      <c r="G234" s="52">
        <v>399.2</v>
      </c>
      <c r="H234" s="52">
        <v>0.1</v>
      </c>
      <c r="I234" s="40"/>
      <c r="J234" s="21"/>
      <c r="K234" s="86"/>
      <c r="L234" s="86"/>
      <c r="M234" s="42"/>
    </row>
    <row r="235" spans="1:13" ht="13.8" thickBot="1" x14ac:dyDescent="0.3">
      <c r="A235" s="22"/>
      <c r="B235" s="26"/>
      <c r="C235" s="40" t="s">
        <v>5</v>
      </c>
      <c r="D235" s="40" t="s">
        <v>465</v>
      </c>
      <c r="E235" s="52">
        <v>0</v>
      </c>
      <c r="F235" s="52">
        <v>537</v>
      </c>
      <c r="G235" s="52">
        <v>536</v>
      </c>
      <c r="H235" s="52">
        <v>1</v>
      </c>
      <c r="I235" s="40"/>
      <c r="J235" s="21"/>
      <c r="K235" s="86"/>
      <c r="L235" s="86"/>
      <c r="M235" s="42"/>
    </row>
    <row r="236" spans="1:13" ht="27" hidden="1" thickBot="1" x14ac:dyDescent="0.3">
      <c r="A236" s="19" t="s">
        <v>203</v>
      </c>
      <c r="B236" s="47" t="s">
        <v>204</v>
      </c>
      <c r="C236" s="48"/>
      <c r="D236" s="48"/>
      <c r="E236" s="49">
        <f>E237+E242</f>
        <v>88</v>
      </c>
      <c r="F236" s="49">
        <f>F237+F242</f>
        <v>571.59999999999991</v>
      </c>
      <c r="G236" s="49">
        <f>G237+G242</f>
        <v>339.8</v>
      </c>
      <c r="H236" s="49">
        <f>H237+H242</f>
        <v>231.8</v>
      </c>
      <c r="I236" s="48"/>
      <c r="J236" s="20"/>
      <c r="K236" s="88"/>
      <c r="L236" s="88"/>
      <c r="M236" s="50"/>
    </row>
    <row r="237" spans="1:13" ht="184.8" x14ac:dyDescent="0.25">
      <c r="A237" s="30" t="s">
        <v>205</v>
      </c>
      <c r="B237" s="61" t="s">
        <v>206</v>
      </c>
      <c r="C237" s="48"/>
      <c r="D237" s="48"/>
      <c r="E237" s="49">
        <f>SUM(E238:E241)</f>
        <v>88</v>
      </c>
      <c r="F237" s="49">
        <f>SUM(F238:F241)</f>
        <v>571.59999999999991</v>
      </c>
      <c r="G237" s="49">
        <f>SUM(G238:G241)</f>
        <v>339.8</v>
      </c>
      <c r="H237" s="49">
        <f>SUM(H238:H241)</f>
        <v>231.8</v>
      </c>
      <c r="I237" s="62" t="s">
        <v>207</v>
      </c>
      <c r="J237" s="28" t="s">
        <v>83</v>
      </c>
      <c r="K237" s="93" t="s">
        <v>483</v>
      </c>
      <c r="L237" s="93" t="s">
        <v>484</v>
      </c>
      <c r="M237" s="63" t="s">
        <v>485</v>
      </c>
    </row>
    <row r="238" spans="1:13" x14ac:dyDescent="0.25">
      <c r="A238" s="22"/>
      <c r="B238" s="26"/>
      <c r="C238" s="40" t="s">
        <v>4</v>
      </c>
      <c r="D238" s="40" t="s">
        <v>297</v>
      </c>
      <c r="E238" s="52">
        <v>11.4</v>
      </c>
      <c r="F238" s="52">
        <v>11.4</v>
      </c>
      <c r="G238" s="52">
        <v>6</v>
      </c>
      <c r="H238" s="52">
        <v>5.4</v>
      </c>
      <c r="I238" s="54" t="s">
        <v>486</v>
      </c>
      <c r="J238" s="29" t="s">
        <v>83</v>
      </c>
      <c r="K238" s="89" t="s">
        <v>483</v>
      </c>
      <c r="L238" s="89" t="s">
        <v>360</v>
      </c>
      <c r="M238" s="55" t="s">
        <v>487</v>
      </c>
    </row>
    <row r="239" spans="1:13" x14ac:dyDescent="0.25">
      <c r="A239" s="22"/>
      <c r="B239" s="26"/>
      <c r="C239" s="40" t="s">
        <v>36</v>
      </c>
      <c r="D239" s="40" t="s">
        <v>367</v>
      </c>
      <c r="E239" s="52"/>
      <c r="F239" s="52">
        <v>361.5</v>
      </c>
      <c r="G239" s="52">
        <v>260.60000000000002</v>
      </c>
      <c r="H239" s="52">
        <v>100.9</v>
      </c>
      <c r="I239" s="40"/>
      <c r="J239" s="21"/>
      <c r="K239" s="86"/>
      <c r="L239" s="86"/>
      <c r="M239" s="42"/>
    </row>
    <row r="240" spans="1:13" x14ac:dyDescent="0.25">
      <c r="A240" s="22"/>
      <c r="B240" s="26"/>
      <c r="C240" s="40" t="s">
        <v>50</v>
      </c>
      <c r="D240" s="40" t="s">
        <v>422</v>
      </c>
      <c r="E240" s="52">
        <v>74.099999999999994</v>
      </c>
      <c r="F240" s="52">
        <v>196.2</v>
      </c>
      <c r="G240" s="52">
        <v>70.7</v>
      </c>
      <c r="H240" s="52">
        <v>125.5</v>
      </c>
      <c r="I240" s="40"/>
      <c r="J240" s="21"/>
      <c r="K240" s="86"/>
      <c r="L240" s="86"/>
      <c r="M240" s="42"/>
    </row>
    <row r="241" spans="1:13" ht="13.8" thickBot="1" x14ac:dyDescent="0.3">
      <c r="A241" s="22"/>
      <c r="B241" s="26"/>
      <c r="C241" s="40" t="s">
        <v>62</v>
      </c>
      <c r="D241" s="40" t="s">
        <v>366</v>
      </c>
      <c r="E241" s="52">
        <v>2.5</v>
      </c>
      <c r="F241" s="52">
        <v>2.5</v>
      </c>
      <c r="G241" s="52">
        <v>2.5</v>
      </c>
      <c r="H241" s="52"/>
      <c r="I241" s="40"/>
      <c r="J241" s="21"/>
      <c r="K241" s="86"/>
      <c r="L241" s="86"/>
      <c r="M241" s="42"/>
    </row>
    <row r="242" spans="1:13" ht="40.200000000000003" hidden="1" thickBot="1" x14ac:dyDescent="0.3">
      <c r="A242" s="19" t="s">
        <v>208</v>
      </c>
      <c r="B242" s="47" t="s">
        <v>209</v>
      </c>
      <c r="C242" s="48" t="s">
        <v>50</v>
      </c>
      <c r="D242" s="48" t="s">
        <v>422</v>
      </c>
      <c r="E242" s="51">
        <v>0</v>
      </c>
      <c r="F242" s="51">
        <v>0</v>
      </c>
      <c r="G242" s="51">
        <v>0</v>
      </c>
      <c r="H242" s="51">
        <v>0</v>
      </c>
      <c r="I242" s="48"/>
      <c r="J242" s="20"/>
      <c r="K242" s="88"/>
      <c r="L242" s="88"/>
      <c r="M242" s="50"/>
    </row>
    <row r="243" spans="1:13" ht="27" thickBot="1" x14ac:dyDescent="0.3">
      <c r="A243" s="19" t="s">
        <v>210</v>
      </c>
      <c r="B243" s="47" t="s">
        <v>211</v>
      </c>
      <c r="C243" s="48"/>
      <c r="D243" s="48"/>
      <c r="E243" s="49">
        <f>E244+E245+E246+E248+E249</f>
        <v>308.3</v>
      </c>
      <c r="F243" s="49">
        <f>F244+F245+F246+F248+F249</f>
        <v>345</v>
      </c>
      <c r="G243" s="49">
        <f>G244+G245+G246+G248+G249</f>
        <v>341</v>
      </c>
      <c r="H243" s="49">
        <f>H244+H245+H246+H248+H249</f>
        <v>4</v>
      </c>
      <c r="I243" s="48"/>
      <c r="J243" s="20"/>
      <c r="K243" s="88"/>
      <c r="L243" s="88"/>
      <c r="M243" s="50"/>
    </row>
    <row r="244" spans="1:13" ht="106.2" thickBot="1" x14ac:dyDescent="0.3">
      <c r="A244" s="19" t="s">
        <v>212</v>
      </c>
      <c r="B244" s="47" t="s">
        <v>213</v>
      </c>
      <c r="C244" s="48" t="s">
        <v>4</v>
      </c>
      <c r="D244" s="48" t="s">
        <v>297</v>
      </c>
      <c r="E244" s="51">
        <v>104</v>
      </c>
      <c r="F244" s="51">
        <v>104</v>
      </c>
      <c r="G244" s="51">
        <v>104</v>
      </c>
      <c r="H244" s="51">
        <v>0</v>
      </c>
      <c r="I244" s="48" t="s">
        <v>90</v>
      </c>
      <c r="J244" s="20" t="s">
        <v>91</v>
      </c>
      <c r="K244" s="88" t="s">
        <v>418</v>
      </c>
      <c r="L244" s="88" t="s">
        <v>418</v>
      </c>
      <c r="M244" s="50" t="s">
        <v>600</v>
      </c>
    </row>
    <row r="245" spans="1:13" ht="27" thickBot="1" x14ac:dyDescent="0.3">
      <c r="A245" s="19" t="s">
        <v>214</v>
      </c>
      <c r="B245" s="47" t="s">
        <v>215</v>
      </c>
      <c r="C245" s="48" t="s">
        <v>4</v>
      </c>
      <c r="D245" s="48" t="s">
        <v>297</v>
      </c>
      <c r="E245" s="51">
        <v>190.3</v>
      </c>
      <c r="F245" s="51">
        <v>227</v>
      </c>
      <c r="G245" s="51">
        <v>227</v>
      </c>
      <c r="H245" s="51">
        <v>0</v>
      </c>
      <c r="I245" s="48" t="s">
        <v>90</v>
      </c>
      <c r="J245" s="20" t="s">
        <v>91</v>
      </c>
      <c r="K245" s="88" t="s">
        <v>488</v>
      </c>
      <c r="L245" s="88" t="s">
        <v>385</v>
      </c>
      <c r="M245" s="50" t="s">
        <v>489</v>
      </c>
    </row>
    <row r="246" spans="1:13" ht="40.200000000000003" hidden="1" thickBot="1" x14ac:dyDescent="0.3">
      <c r="A246" s="19" t="s">
        <v>216</v>
      </c>
      <c r="B246" s="47" t="s">
        <v>490</v>
      </c>
      <c r="C246" s="48" t="s">
        <v>4</v>
      </c>
      <c r="D246" s="48" t="s">
        <v>297</v>
      </c>
      <c r="E246" s="49">
        <f>SUM(E247:E247)</f>
        <v>0</v>
      </c>
      <c r="F246" s="49">
        <f>SUM(F247:F247)</f>
        <v>0</v>
      </c>
      <c r="G246" s="49">
        <f>SUM(G247:G247)</f>
        <v>0</v>
      </c>
      <c r="H246" s="49">
        <f>SUM(H247:H247)</f>
        <v>0</v>
      </c>
      <c r="I246" s="48" t="s">
        <v>217</v>
      </c>
      <c r="J246" s="20" t="s">
        <v>218</v>
      </c>
      <c r="K246" s="88" t="s">
        <v>360</v>
      </c>
      <c r="L246" s="88" t="s">
        <v>360</v>
      </c>
      <c r="M246" s="50"/>
    </row>
    <row r="247" spans="1:13" ht="13.8" hidden="1" thickBot="1" x14ac:dyDescent="0.3">
      <c r="A247" s="22"/>
      <c r="B247" s="26"/>
      <c r="C247" s="40"/>
      <c r="D247" s="40"/>
      <c r="E247" s="52">
        <v>0</v>
      </c>
      <c r="F247" s="52">
        <v>0</v>
      </c>
      <c r="G247" s="52">
        <v>0</v>
      </c>
      <c r="H247" s="52">
        <v>0</v>
      </c>
      <c r="I247" s="40" t="s">
        <v>107</v>
      </c>
      <c r="J247" s="21" t="s">
        <v>91</v>
      </c>
      <c r="K247" s="86" t="s">
        <v>360</v>
      </c>
      <c r="L247" s="86" t="s">
        <v>360</v>
      </c>
      <c r="M247" s="42"/>
    </row>
    <row r="248" spans="1:13" ht="66.599999999999994" thickBot="1" x14ac:dyDescent="0.3">
      <c r="A248" s="30" t="s">
        <v>219</v>
      </c>
      <c r="B248" s="61" t="s">
        <v>220</v>
      </c>
      <c r="C248" s="48" t="s">
        <v>4</v>
      </c>
      <c r="D248" s="48" t="s">
        <v>297</v>
      </c>
      <c r="E248" s="51">
        <v>14</v>
      </c>
      <c r="F248" s="51">
        <v>14</v>
      </c>
      <c r="G248" s="51">
        <v>10</v>
      </c>
      <c r="H248" s="51">
        <v>4</v>
      </c>
      <c r="I248" s="62" t="s">
        <v>11</v>
      </c>
      <c r="J248" s="28" t="s">
        <v>91</v>
      </c>
      <c r="K248" s="93" t="s">
        <v>287</v>
      </c>
      <c r="L248" s="93" t="s">
        <v>329</v>
      </c>
      <c r="M248" s="63" t="s">
        <v>602</v>
      </c>
    </row>
    <row r="249" spans="1:13" ht="27" hidden="1" thickBot="1" x14ac:dyDescent="0.3">
      <c r="A249" s="19" t="s">
        <v>491</v>
      </c>
      <c r="B249" s="47" t="s">
        <v>492</v>
      </c>
      <c r="C249" s="48"/>
      <c r="D249" s="48"/>
      <c r="E249" s="51">
        <v>0</v>
      </c>
      <c r="F249" s="51">
        <v>0</v>
      </c>
      <c r="G249" s="51">
        <v>0</v>
      </c>
      <c r="H249" s="51">
        <v>0</v>
      </c>
      <c r="I249" s="48"/>
      <c r="J249" s="20"/>
      <c r="K249" s="88"/>
      <c r="L249" s="88"/>
      <c r="M249" s="50"/>
    </row>
    <row r="250" spans="1:13" ht="27" thickBot="1" x14ac:dyDescent="0.3">
      <c r="A250" s="19" t="s">
        <v>493</v>
      </c>
      <c r="B250" s="47" t="s">
        <v>494</v>
      </c>
      <c r="C250" s="48"/>
      <c r="D250" s="48"/>
      <c r="E250" s="49">
        <f>SUM(E251:E251)</f>
        <v>0</v>
      </c>
      <c r="F250" s="49">
        <f>SUM(F251:F251)</f>
        <v>204.3</v>
      </c>
      <c r="G250" s="49">
        <f>SUM(G251:G251)</f>
        <v>203.2</v>
      </c>
      <c r="H250" s="49">
        <f>SUM(H251:H251)</f>
        <v>1.1000000000000001</v>
      </c>
      <c r="I250" s="48"/>
      <c r="J250" s="20"/>
      <c r="K250" s="88"/>
      <c r="L250" s="88"/>
      <c r="M250" s="50"/>
    </row>
    <row r="251" spans="1:13" ht="27" thickBot="1" x14ac:dyDescent="0.3">
      <c r="A251" s="19" t="s">
        <v>495</v>
      </c>
      <c r="B251" s="47" t="s">
        <v>494</v>
      </c>
      <c r="C251" s="48" t="s">
        <v>5</v>
      </c>
      <c r="D251" s="48" t="s">
        <v>465</v>
      </c>
      <c r="E251" s="51">
        <v>0</v>
      </c>
      <c r="F251" s="51">
        <v>204.3</v>
      </c>
      <c r="G251" s="51">
        <v>203.2</v>
      </c>
      <c r="H251" s="51">
        <v>1.1000000000000001</v>
      </c>
      <c r="I251" s="48" t="s">
        <v>496</v>
      </c>
      <c r="J251" s="20" t="s">
        <v>91</v>
      </c>
      <c r="K251" s="88" t="s">
        <v>304</v>
      </c>
      <c r="L251" s="88" t="s">
        <v>304</v>
      </c>
      <c r="M251" s="50" t="s">
        <v>497</v>
      </c>
    </row>
    <row r="252" spans="1:13" ht="27" hidden="1" thickBot="1" x14ac:dyDescent="0.3">
      <c r="A252" s="19" t="s">
        <v>221</v>
      </c>
      <c r="B252" s="47" t="s">
        <v>64</v>
      </c>
      <c r="C252" s="48"/>
      <c r="D252" s="48"/>
      <c r="E252" s="49">
        <f>SUM(E253:E253)</f>
        <v>277.5</v>
      </c>
      <c r="F252" s="49">
        <f>SUM(F253:F253)</f>
        <v>277.5</v>
      </c>
      <c r="G252" s="49">
        <f>SUM(G253:G253)</f>
        <v>35.799999999999997</v>
      </c>
      <c r="H252" s="49">
        <f>SUM(H253:H253)</f>
        <v>241.7</v>
      </c>
      <c r="I252" s="48"/>
      <c r="J252" s="20"/>
      <c r="K252" s="88"/>
      <c r="L252" s="88"/>
      <c r="M252" s="50"/>
    </row>
    <row r="253" spans="1:13" ht="31.2" customHeight="1" x14ac:dyDescent="0.25">
      <c r="A253" s="79" t="s">
        <v>222</v>
      </c>
      <c r="B253" s="80" t="s">
        <v>64</v>
      </c>
      <c r="C253" s="48"/>
      <c r="D253" s="48"/>
      <c r="E253" s="49">
        <f>SUM(E254:E255)</f>
        <v>277.5</v>
      </c>
      <c r="F253" s="49">
        <f>SUM(F254:F255)</f>
        <v>277.5</v>
      </c>
      <c r="G253" s="49">
        <f>SUM(G254:G255)</f>
        <v>35.799999999999997</v>
      </c>
      <c r="H253" s="49">
        <f>SUM(H254:H255)</f>
        <v>241.7</v>
      </c>
      <c r="I253" s="77" t="s">
        <v>107</v>
      </c>
      <c r="J253" s="78" t="s">
        <v>91</v>
      </c>
      <c r="K253" s="94" t="s">
        <v>498</v>
      </c>
      <c r="L253" s="94" t="s">
        <v>360</v>
      </c>
      <c r="M253" s="127" t="s">
        <v>499</v>
      </c>
    </row>
    <row r="254" spans="1:13" ht="45.6" customHeight="1" x14ac:dyDescent="0.25">
      <c r="A254" s="22"/>
      <c r="B254" s="26"/>
      <c r="C254" s="40" t="s">
        <v>4</v>
      </c>
      <c r="D254" s="40" t="s">
        <v>297</v>
      </c>
      <c r="E254" s="52">
        <v>58.9</v>
      </c>
      <c r="F254" s="52">
        <v>58.9</v>
      </c>
      <c r="G254" s="52">
        <v>30.2</v>
      </c>
      <c r="H254" s="52">
        <v>28.7</v>
      </c>
      <c r="I254" s="58" t="s">
        <v>500</v>
      </c>
      <c r="J254" s="59" t="s">
        <v>84</v>
      </c>
      <c r="K254" s="90" t="s">
        <v>365</v>
      </c>
      <c r="L254" s="90" t="s">
        <v>360</v>
      </c>
      <c r="M254" s="128"/>
    </row>
    <row r="255" spans="1:13" ht="19.95" customHeight="1" thickBot="1" x14ac:dyDescent="0.3">
      <c r="A255" s="22"/>
      <c r="B255" s="26"/>
      <c r="C255" s="40" t="s">
        <v>50</v>
      </c>
      <c r="D255" s="40" t="s">
        <v>422</v>
      </c>
      <c r="E255" s="52">
        <v>218.6</v>
      </c>
      <c r="F255" s="52">
        <v>218.6</v>
      </c>
      <c r="G255" s="52">
        <v>5.6</v>
      </c>
      <c r="H255" s="52">
        <v>213</v>
      </c>
      <c r="I255" s="58" t="s">
        <v>501</v>
      </c>
      <c r="J255" s="59" t="s">
        <v>91</v>
      </c>
      <c r="K255" s="90" t="s">
        <v>309</v>
      </c>
      <c r="L255" s="90" t="s">
        <v>360</v>
      </c>
      <c r="M255" s="129"/>
    </row>
    <row r="256" spans="1:13" ht="27" thickBot="1" x14ac:dyDescent="0.3">
      <c r="A256" s="17" t="s">
        <v>223</v>
      </c>
      <c r="B256" s="43" t="s">
        <v>224</v>
      </c>
      <c r="C256" s="44"/>
      <c r="D256" s="44"/>
      <c r="E256" s="45">
        <f>E257+E262</f>
        <v>417</v>
      </c>
      <c r="F256" s="45">
        <f>F257+F262</f>
        <v>417</v>
      </c>
      <c r="G256" s="45">
        <f>G257+G262</f>
        <v>416.1</v>
      </c>
      <c r="H256" s="45">
        <f>H257+H262</f>
        <v>0.89999999999999991</v>
      </c>
      <c r="I256" s="44"/>
      <c r="J256" s="18"/>
      <c r="K256" s="87"/>
      <c r="L256" s="87"/>
      <c r="M256" s="46"/>
    </row>
    <row r="257" spans="1:13" ht="13.8" thickBot="1" x14ac:dyDescent="0.3">
      <c r="A257" s="19" t="s">
        <v>225</v>
      </c>
      <c r="B257" s="47" t="s">
        <v>227</v>
      </c>
      <c r="C257" s="48"/>
      <c r="D257" s="48"/>
      <c r="E257" s="49">
        <f>SUM(E258:E260)</f>
        <v>103</v>
      </c>
      <c r="F257" s="49">
        <f>SUM(F258:F260)</f>
        <v>103</v>
      </c>
      <c r="G257" s="49">
        <f>SUM(G258:G260)</f>
        <v>103</v>
      </c>
      <c r="H257" s="49">
        <f>SUM(H258:H260)</f>
        <v>0</v>
      </c>
      <c r="I257" s="48"/>
      <c r="J257" s="20"/>
      <c r="K257" s="88"/>
      <c r="L257" s="88"/>
      <c r="M257" s="50"/>
    </row>
    <row r="258" spans="1:13" ht="27" hidden="1" thickBot="1" x14ac:dyDescent="0.3">
      <c r="A258" s="19" t="s">
        <v>226</v>
      </c>
      <c r="B258" s="47" t="s">
        <v>57</v>
      </c>
      <c r="C258" s="48" t="s">
        <v>4</v>
      </c>
      <c r="D258" s="48" t="s">
        <v>297</v>
      </c>
      <c r="E258" s="51">
        <v>0</v>
      </c>
      <c r="F258" s="51">
        <v>0</v>
      </c>
      <c r="G258" s="51">
        <v>0</v>
      </c>
      <c r="H258" s="51">
        <v>0</v>
      </c>
      <c r="I258" s="48"/>
      <c r="J258" s="20"/>
      <c r="K258" s="88"/>
      <c r="L258" s="88"/>
      <c r="M258" s="50"/>
    </row>
    <row r="259" spans="1:13" ht="40.200000000000003" thickBot="1" x14ac:dyDescent="0.3">
      <c r="A259" s="19" t="s">
        <v>502</v>
      </c>
      <c r="B259" s="47" t="s">
        <v>503</v>
      </c>
      <c r="C259" s="48" t="s">
        <v>4</v>
      </c>
      <c r="D259" s="48" t="s">
        <v>297</v>
      </c>
      <c r="E259" s="51">
        <v>50</v>
      </c>
      <c r="F259" s="51">
        <v>50</v>
      </c>
      <c r="G259" s="51">
        <v>50</v>
      </c>
      <c r="H259" s="51">
        <v>0</v>
      </c>
      <c r="I259" s="48" t="s">
        <v>107</v>
      </c>
      <c r="J259" s="20" t="s">
        <v>91</v>
      </c>
      <c r="K259" s="88" t="s">
        <v>504</v>
      </c>
      <c r="L259" s="88" t="s">
        <v>504</v>
      </c>
      <c r="M259" s="50" t="s">
        <v>505</v>
      </c>
    </row>
    <row r="260" spans="1:13" ht="26.4" x14ac:dyDescent="0.25">
      <c r="A260" s="19" t="s">
        <v>506</v>
      </c>
      <c r="B260" s="47" t="s">
        <v>228</v>
      </c>
      <c r="C260" s="48" t="s">
        <v>4</v>
      </c>
      <c r="D260" s="48" t="s">
        <v>297</v>
      </c>
      <c r="E260" s="49">
        <f>SUM(E261:E261)+53</f>
        <v>53</v>
      </c>
      <c r="F260" s="49">
        <f>SUM(F261:F261)+53</f>
        <v>53</v>
      </c>
      <c r="G260" s="49">
        <f>SUM(G261:G261)+53</f>
        <v>53</v>
      </c>
      <c r="H260" s="49">
        <f>SUM(H261:H261)</f>
        <v>0</v>
      </c>
      <c r="I260" s="48" t="s">
        <v>230</v>
      </c>
      <c r="J260" s="20" t="s">
        <v>91</v>
      </c>
      <c r="K260" s="88" t="s">
        <v>507</v>
      </c>
      <c r="L260" s="88" t="s">
        <v>507</v>
      </c>
      <c r="M260" s="50" t="s">
        <v>497</v>
      </c>
    </row>
    <row r="261" spans="1:13" ht="93" thickBot="1" x14ac:dyDescent="0.3">
      <c r="A261" s="22"/>
      <c r="B261" s="26"/>
      <c r="C261" s="40"/>
      <c r="D261" s="40"/>
      <c r="E261" s="41">
        <v>0</v>
      </c>
      <c r="F261" s="41">
        <v>0</v>
      </c>
      <c r="G261" s="41">
        <v>0</v>
      </c>
      <c r="H261" s="41">
        <v>0</v>
      </c>
      <c r="I261" s="40" t="s">
        <v>229</v>
      </c>
      <c r="J261" s="21" t="s">
        <v>91</v>
      </c>
      <c r="K261" s="86" t="s">
        <v>508</v>
      </c>
      <c r="L261" s="86" t="s">
        <v>488</v>
      </c>
      <c r="M261" s="42" t="s">
        <v>509</v>
      </c>
    </row>
    <row r="262" spans="1:13" ht="40.200000000000003" thickBot="1" x14ac:dyDescent="0.3">
      <c r="A262" s="19" t="s">
        <v>510</v>
      </c>
      <c r="B262" s="47" t="s">
        <v>511</v>
      </c>
      <c r="C262" s="48"/>
      <c r="D262" s="48"/>
      <c r="E262" s="49">
        <f>E263+E265+E268</f>
        <v>314</v>
      </c>
      <c r="F262" s="49">
        <f>F263+F265+F268</f>
        <v>314</v>
      </c>
      <c r="G262" s="49">
        <f>G263+G265+G268</f>
        <v>313.10000000000002</v>
      </c>
      <c r="H262" s="49">
        <f>H263+H265+H268</f>
        <v>0.89999999999999991</v>
      </c>
      <c r="I262" s="48"/>
      <c r="J262" s="20"/>
      <c r="K262" s="88"/>
      <c r="L262" s="88"/>
      <c r="M262" s="50"/>
    </row>
    <row r="263" spans="1:13" ht="39.6" x14ac:dyDescent="0.25">
      <c r="A263" s="19" t="s">
        <v>512</v>
      </c>
      <c r="B263" s="47" t="s">
        <v>65</v>
      </c>
      <c r="C263" s="48" t="s">
        <v>4</v>
      </c>
      <c r="D263" s="48" t="s">
        <v>297</v>
      </c>
      <c r="E263" s="49">
        <f>SUM(E264:E264)+5</f>
        <v>5</v>
      </c>
      <c r="F263" s="49">
        <f>SUM(F264:F264)+5</f>
        <v>5</v>
      </c>
      <c r="G263" s="49">
        <f>SUM(G264:G264)+5</f>
        <v>5</v>
      </c>
      <c r="H263" s="49">
        <f>SUM(H264:H264)</f>
        <v>0</v>
      </c>
      <c r="I263" s="48" t="s">
        <v>513</v>
      </c>
      <c r="J263" s="20" t="s">
        <v>91</v>
      </c>
      <c r="K263" s="88" t="s">
        <v>370</v>
      </c>
      <c r="L263" s="88" t="s">
        <v>370</v>
      </c>
      <c r="M263" s="50" t="s">
        <v>514</v>
      </c>
    </row>
    <row r="264" spans="1:13" ht="13.8" thickBot="1" x14ac:dyDescent="0.3">
      <c r="A264" s="22"/>
      <c r="B264" s="26"/>
      <c r="C264" s="40"/>
      <c r="D264" s="40"/>
      <c r="E264" s="41">
        <v>0</v>
      </c>
      <c r="F264" s="41">
        <v>0</v>
      </c>
      <c r="G264" s="41">
        <v>0</v>
      </c>
      <c r="H264" s="41">
        <v>0</v>
      </c>
      <c r="I264" s="40" t="s">
        <v>90</v>
      </c>
      <c r="J264" s="21" t="s">
        <v>91</v>
      </c>
      <c r="K264" s="86" t="s">
        <v>319</v>
      </c>
      <c r="L264" s="86" t="s">
        <v>319</v>
      </c>
      <c r="M264" s="42"/>
    </row>
    <row r="265" spans="1:13" ht="109.95" customHeight="1" x14ac:dyDescent="0.25">
      <c r="A265" s="19" t="s">
        <v>515</v>
      </c>
      <c r="B265" s="47" t="s">
        <v>66</v>
      </c>
      <c r="C265" s="48"/>
      <c r="D265" s="48"/>
      <c r="E265" s="49">
        <f>SUM(E266:E267)</f>
        <v>309</v>
      </c>
      <c r="F265" s="49">
        <f>SUM(F266:F267)</f>
        <v>309</v>
      </c>
      <c r="G265" s="49">
        <f>SUM(G266:G267)</f>
        <v>308.10000000000002</v>
      </c>
      <c r="H265" s="49">
        <f>SUM(H266:H267)</f>
        <v>0.89999999999999991</v>
      </c>
      <c r="I265" s="48" t="s">
        <v>90</v>
      </c>
      <c r="J265" s="20" t="s">
        <v>91</v>
      </c>
      <c r="K265" s="88" t="s">
        <v>479</v>
      </c>
      <c r="L265" s="88" t="s">
        <v>322</v>
      </c>
      <c r="M265" s="117" t="s">
        <v>553</v>
      </c>
    </row>
    <row r="266" spans="1:13" x14ac:dyDescent="0.25">
      <c r="A266" s="22"/>
      <c r="B266" s="26"/>
      <c r="C266" s="40" t="s">
        <v>50</v>
      </c>
      <c r="D266" s="40" t="s">
        <v>422</v>
      </c>
      <c r="E266" s="52">
        <v>151</v>
      </c>
      <c r="F266" s="52">
        <v>151</v>
      </c>
      <c r="G266" s="52">
        <v>150.80000000000001</v>
      </c>
      <c r="H266" s="52">
        <v>0.2</v>
      </c>
      <c r="I266" s="40"/>
      <c r="J266" s="21"/>
      <c r="K266" s="86"/>
      <c r="L266" s="86"/>
      <c r="M266" s="118"/>
    </row>
    <row r="267" spans="1:13" ht="13.8" thickBot="1" x14ac:dyDescent="0.3">
      <c r="A267" s="22"/>
      <c r="B267" s="26"/>
      <c r="C267" s="40" t="s">
        <v>4</v>
      </c>
      <c r="D267" s="40" t="s">
        <v>297</v>
      </c>
      <c r="E267" s="52">
        <v>158</v>
      </c>
      <c r="F267" s="52">
        <v>158</v>
      </c>
      <c r="G267" s="52">
        <v>157.30000000000001</v>
      </c>
      <c r="H267" s="52">
        <v>0.7</v>
      </c>
      <c r="I267" s="40"/>
      <c r="J267" s="21"/>
      <c r="K267" s="86"/>
      <c r="L267" s="86"/>
      <c r="M267" s="119"/>
    </row>
    <row r="268" spans="1:13" ht="27" hidden="1" thickBot="1" x14ac:dyDescent="0.3">
      <c r="A268" s="19" t="s">
        <v>516</v>
      </c>
      <c r="B268" s="47" t="s">
        <v>517</v>
      </c>
      <c r="C268" s="48"/>
      <c r="D268" s="48"/>
      <c r="E268" s="51">
        <v>0</v>
      </c>
      <c r="F268" s="51">
        <v>0</v>
      </c>
      <c r="G268" s="51">
        <v>0</v>
      </c>
      <c r="H268" s="51">
        <v>0</v>
      </c>
      <c r="I268" s="48"/>
      <c r="J268" s="20"/>
      <c r="K268" s="88"/>
      <c r="L268" s="88"/>
      <c r="M268" s="50"/>
    </row>
    <row r="269" spans="1:13" ht="27" thickBot="1" x14ac:dyDescent="0.3">
      <c r="A269" s="17" t="s">
        <v>231</v>
      </c>
      <c r="B269" s="43" t="s">
        <v>232</v>
      </c>
      <c r="C269" s="44"/>
      <c r="D269" s="44"/>
      <c r="E269" s="45">
        <f>E270+E295+E297+E299+E305</f>
        <v>4605.4000000000005</v>
      </c>
      <c r="F269" s="45">
        <f>F270+F295+F297+F299+F305</f>
        <v>3919.7</v>
      </c>
      <c r="G269" s="45">
        <f>G270+G295+G297+G299+G305</f>
        <v>3560.6000000000004</v>
      </c>
      <c r="H269" s="45">
        <f>H270+H295+H297+H299+H305</f>
        <v>359.1</v>
      </c>
      <c r="I269" s="44"/>
      <c r="J269" s="18"/>
      <c r="K269" s="87"/>
      <c r="L269" s="87"/>
      <c r="M269" s="46"/>
    </row>
    <row r="270" spans="1:13" ht="27" thickBot="1" x14ac:dyDescent="0.3">
      <c r="A270" s="19" t="s">
        <v>233</v>
      </c>
      <c r="B270" s="47" t="s">
        <v>234</v>
      </c>
      <c r="C270" s="48"/>
      <c r="D270" s="48"/>
      <c r="E270" s="49">
        <f>E271+E274+E275+E278+E279+E280+E281+E285+E286+E287+E288+E289+E292+E293+E294</f>
        <v>2187.8000000000002</v>
      </c>
      <c r="F270" s="49">
        <f>F271+F274+F275+F278+F279+F280+F281+F285+F286+F287+F288+F289+F292+F293+F294</f>
        <v>2103.1</v>
      </c>
      <c r="G270" s="49">
        <f>G271+G274+G275+G278+G279+G280+G281+G285+G286+G287+G288+G289+G292+G293+G294+0.1</f>
        <v>1932.5</v>
      </c>
      <c r="H270" s="49">
        <f>H271+H274+H275+H278+H279+H280+H281+H285+H286+H287+H288+H289+H292+H293+H294-0.1</f>
        <v>170.60000000000002</v>
      </c>
      <c r="I270" s="48"/>
      <c r="J270" s="20"/>
      <c r="K270" s="88"/>
      <c r="L270" s="88"/>
      <c r="M270" s="50"/>
    </row>
    <row r="271" spans="1:13" ht="227.55" customHeight="1" x14ac:dyDescent="0.25">
      <c r="A271" s="19" t="s">
        <v>235</v>
      </c>
      <c r="B271" s="47" t="s">
        <v>13</v>
      </c>
      <c r="C271" s="48"/>
      <c r="D271" s="48"/>
      <c r="E271" s="49">
        <f>SUM(E272:E273)</f>
        <v>485.3</v>
      </c>
      <c r="F271" s="49">
        <f>SUM(F272:F273)</f>
        <v>559.4</v>
      </c>
      <c r="G271" s="49">
        <f>SUM(G272:G273)</f>
        <v>551.29999999999995</v>
      </c>
      <c r="H271" s="49">
        <f>SUM(H272:H273)</f>
        <v>8.1</v>
      </c>
      <c r="I271" s="48" t="s">
        <v>21</v>
      </c>
      <c r="J271" s="20" t="s">
        <v>91</v>
      </c>
      <c r="K271" s="88" t="s">
        <v>518</v>
      </c>
      <c r="L271" s="88" t="s">
        <v>518</v>
      </c>
      <c r="M271" s="114" t="s">
        <v>603</v>
      </c>
    </row>
    <row r="272" spans="1:13" x14ac:dyDescent="0.25">
      <c r="A272" s="22"/>
      <c r="B272" s="26"/>
      <c r="C272" s="40" t="s">
        <v>4</v>
      </c>
      <c r="D272" s="40" t="s">
        <v>297</v>
      </c>
      <c r="E272" s="52">
        <v>470</v>
      </c>
      <c r="F272" s="52">
        <v>544.1</v>
      </c>
      <c r="G272" s="52">
        <v>536</v>
      </c>
      <c r="H272" s="52">
        <v>8.1</v>
      </c>
      <c r="I272" s="40"/>
      <c r="J272" s="21"/>
      <c r="K272" s="86"/>
      <c r="L272" s="86"/>
      <c r="M272" s="115"/>
    </row>
    <row r="273" spans="1:13" ht="13.8" thickBot="1" x14ac:dyDescent="0.3">
      <c r="A273" s="22"/>
      <c r="B273" s="26"/>
      <c r="C273" s="40" t="s">
        <v>50</v>
      </c>
      <c r="D273" s="40" t="s">
        <v>422</v>
      </c>
      <c r="E273" s="52">
        <v>15.3</v>
      </c>
      <c r="F273" s="52">
        <v>15.3</v>
      </c>
      <c r="G273" s="52">
        <v>15.3</v>
      </c>
      <c r="H273" s="52">
        <v>0</v>
      </c>
      <c r="I273" s="40"/>
      <c r="J273" s="21"/>
      <c r="K273" s="86"/>
      <c r="L273" s="86"/>
      <c r="M273" s="116"/>
    </row>
    <row r="274" spans="1:13" ht="40.200000000000003" customHeight="1" thickBot="1" x14ac:dyDescent="0.3">
      <c r="A274" s="19" t="s">
        <v>519</v>
      </c>
      <c r="B274" s="47" t="s">
        <v>579</v>
      </c>
      <c r="C274" s="48" t="s">
        <v>4</v>
      </c>
      <c r="D274" s="48" t="s">
        <v>297</v>
      </c>
      <c r="E274" s="51">
        <v>115</v>
      </c>
      <c r="F274" s="51">
        <v>98.2</v>
      </c>
      <c r="G274" s="51">
        <v>98.2</v>
      </c>
      <c r="H274" s="51">
        <v>0</v>
      </c>
      <c r="I274" s="48" t="s">
        <v>520</v>
      </c>
      <c r="J274" s="20" t="s">
        <v>83</v>
      </c>
      <c r="K274" s="88" t="s">
        <v>291</v>
      </c>
      <c r="L274" s="88" t="s">
        <v>291</v>
      </c>
      <c r="M274" s="50" t="s">
        <v>521</v>
      </c>
    </row>
    <row r="275" spans="1:13" ht="39.6" x14ac:dyDescent="0.25">
      <c r="A275" s="19" t="s">
        <v>236</v>
      </c>
      <c r="B275" s="47" t="s">
        <v>237</v>
      </c>
      <c r="C275" s="48"/>
      <c r="D275" s="48"/>
      <c r="E275" s="49">
        <f>SUM(E276:E277)</f>
        <v>36.700000000000003</v>
      </c>
      <c r="F275" s="49">
        <f>SUM(F276:F277)</f>
        <v>36.700000000000003</v>
      </c>
      <c r="G275" s="49">
        <f>SUM(G276:G277)</f>
        <v>36.299999999999997</v>
      </c>
      <c r="H275" s="49">
        <f>SUM(H276:H277)</f>
        <v>0.4</v>
      </c>
      <c r="I275" s="48" t="s">
        <v>35</v>
      </c>
      <c r="J275" s="20" t="s">
        <v>91</v>
      </c>
      <c r="K275" s="88" t="s">
        <v>522</v>
      </c>
      <c r="L275" s="88" t="s">
        <v>522</v>
      </c>
      <c r="M275" s="50" t="s">
        <v>523</v>
      </c>
    </row>
    <row r="276" spans="1:13" x14ac:dyDescent="0.25">
      <c r="A276" s="22"/>
      <c r="B276" s="26"/>
      <c r="C276" s="40" t="s">
        <v>4</v>
      </c>
      <c r="D276" s="40" t="s">
        <v>297</v>
      </c>
      <c r="E276" s="52">
        <v>33.700000000000003</v>
      </c>
      <c r="F276" s="52">
        <v>33.700000000000003</v>
      </c>
      <c r="G276" s="52">
        <v>33.299999999999997</v>
      </c>
      <c r="H276" s="52">
        <v>0.4</v>
      </c>
      <c r="I276" s="40"/>
      <c r="J276" s="21"/>
      <c r="K276" s="86"/>
      <c r="L276" s="86"/>
      <c r="M276" s="42"/>
    </row>
    <row r="277" spans="1:13" ht="13.8" thickBot="1" x14ac:dyDescent="0.3">
      <c r="A277" s="22"/>
      <c r="B277" s="26"/>
      <c r="C277" s="40" t="s">
        <v>50</v>
      </c>
      <c r="D277" s="40" t="s">
        <v>524</v>
      </c>
      <c r="E277" s="52">
        <v>3</v>
      </c>
      <c r="F277" s="52">
        <v>3</v>
      </c>
      <c r="G277" s="52">
        <v>3</v>
      </c>
      <c r="H277" s="52">
        <v>0</v>
      </c>
      <c r="I277" s="40"/>
      <c r="J277" s="21"/>
      <c r="K277" s="86"/>
      <c r="L277" s="86"/>
      <c r="M277" s="42"/>
    </row>
    <row r="278" spans="1:13" ht="154.19999999999999" customHeight="1" thickBot="1" x14ac:dyDescent="0.3">
      <c r="A278" s="19" t="s">
        <v>238</v>
      </c>
      <c r="B278" s="47" t="s">
        <v>9</v>
      </c>
      <c r="C278" s="48" t="s">
        <v>4</v>
      </c>
      <c r="D278" s="48" t="s">
        <v>297</v>
      </c>
      <c r="E278" s="51">
        <v>90.2</v>
      </c>
      <c r="F278" s="51">
        <v>90.2</v>
      </c>
      <c r="G278" s="51">
        <v>90.2</v>
      </c>
      <c r="H278" s="51">
        <v>0</v>
      </c>
      <c r="I278" s="48" t="s">
        <v>239</v>
      </c>
      <c r="J278" s="20" t="s">
        <v>84</v>
      </c>
      <c r="K278" s="88" t="s">
        <v>395</v>
      </c>
      <c r="L278" s="88" t="s">
        <v>343</v>
      </c>
      <c r="M278" s="81" t="s">
        <v>604</v>
      </c>
    </row>
    <row r="279" spans="1:13" ht="98.55" customHeight="1" thickBot="1" x14ac:dyDescent="0.3">
      <c r="A279" s="19" t="s">
        <v>240</v>
      </c>
      <c r="B279" s="47" t="s">
        <v>12</v>
      </c>
      <c r="C279" s="48" t="s">
        <v>4</v>
      </c>
      <c r="D279" s="48" t="s">
        <v>297</v>
      </c>
      <c r="E279" s="51">
        <v>55</v>
      </c>
      <c r="F279" s="51">
        <v>55</v>
      </c>
      <c r="G279" s="51">
        <v>54.9</v>
      </c>
      <c r="H279" s="51">
        <v>0.1</v>
      </c>
      <c r="I279" s="48" t="s">
        <v>22</v>
      </c>
      <c r="J279" s="20" t="s">
        <v>91</v>
      </c>
      <c r="K279" s="88" t="s">
        <v>329</v>
      </c>
      <c r="L279" s="88" t="s">
        <v>329</v>
      </c>
      <c r="M279" s="81" t="s">
        <v>605</v>
      </c>
    </row>
    <row r="280" spans="1:13" ht="27" thickBot="1" x14ac:dyDescent="0.3">
      <c r="A280" s="19" t="s">
        <v>241</v>
      </c>
      <c r="B280" s="47" t="s">
        <v>8</v>
      </c>
      <c r="C280" s="48" t="s">
        <v>4</v>
      </c>
      <c r="D280" s="48" t="s">
        <v>297</v>
      </c>
      <c r="E280" s="51">
        <v>17.5</v>
      </c>
      <c r="F280" s="51">
        <v>15.1</v>
      </c>
      <c r="G280" s="51">
        <v>15</v>
      </c>
      <c r="H280" s="51">
        <v>0.1</v>
      </c>
      <c r="I280" s="48" t="s">
        <v>242</v>
      </c>
      <c r="J280" s="20" t="s">
        <v>243</v>
      </c>
      <c r="K280" s="88" t="s">
        <v>525</v>
      </c>
      <c r="L280" s="88" t="s">
        <v>525</v>
      </c>
      <c r="M280" s="50" t="s">
        <v>526</v>
      </c>
    </row>
    <row r="281" spans="1:13" ht="26.4" x14ac:dyDescent="0.25">
      <c r="A281" s="19" t="s">
        <v>244</v>
      </c>
      <c r="B281" s="47" t="s">
        <v>10</v>
      </c>
      <c r="C281" s="48"/>
      <c r="D281" s="48"/>
      <c r="E281" s="49">
        <f>SUM(E282:E284)</f>
        <v>290</v>
      </c>
      <c r="F281" s="49">
        <f>SUM(F282:F284)</f>
        <v>287.70000000000005</v>
      </c>
      <c r="G281" s="49">
        <f>SUM(G282:G284)</f>
        <v>286.89999999999998</v>
      </c>
      <c r="H281" s="49">
        <f>SUM(H282:H284)</f>
        <v>0.79999999999999993</v>
      </c>
      <c r="I281" s="48" t="s">
        <v>245</v>
      </c>
      <c r="J281" s="20" t="s">
        <v>84</v>
      </c>
      <c r="K281" s="88" t="s">
        <v>527</v>
      </c>
      <c r="L281" s="88" t="s">
        <v>527</v>
      </c>
      <c r="M281" s="50" t="s">
        <v>526</v>
      </c>
    </row>
    <row r="282" spans="1:13" ht="13.2" customHeight="1" x14ac:dyDescent="0.25">
      <c r="A282" s="22"/>
      <c r="B282" s="26"/>
      <c r="C282" s="40" t="s">
        <v>5</v>
      </c>
      <c r="D282" s="40" t="s">
        <v>351</v>
      </c>
      <c r="E282" s="52">
        <v>2.6</v>
      </c>
      <c r="F282" s="52">
        <v>2.6</v>
      </c>
      <c r="G282" s="52">
        <v>2.5</v>
      </c>
      <c r="H282" s="52">
        <v>0.1</v>
      </c>
      <c r="I282" s="40"/>
      <c r="J282" s="21"/>
      <c r="K282" s="86"/>
      <c r="L282" s="86"/>
      <c r="M282" s="42"/>
    </row>
    <row r="283" spans="1:13" x14ac:dyDescent="0.25">
      <c r="A283" s="22"/>
      <c r="B283" s="26"/>
      <c r="C283" s="40" t="s">
        <v>4</v>
      </c>
      <c r="D283" s="40" t="s">
        <v>297</v>
      </c>
      <c r="E283" s="52">
        <v>261.39999999999998</v>
      </c>
      <c r="F283" s="52">
        <v>259.10000000000002</v>
      </c>
      <c r="G283" s="52">
        <v>258.39999999999998</v>
      </c>
      <c r="H283" s="52">
        <v>0.7</v>
      </c>
      <c r="I283" s="40"/>
      <c r="J283" s="21"/>
      <c r="K283" s="86"/>
      <c r="L283" s="86"/>
      <c r="M283" s="42"/>
    </row>
    <row r="284" spans="1:13" ht="13.8" thickBot="1" x14ac:dyDescent="0.3">
      <c r="A284" s="22"/>
      <c r="B284" s="26"/>
      <c r="C284" s="40" t="s">
        <v>50</v>
      </c>
      <c r="D284" s="40" t="s">
        <v>524</v>
      </c>
      <c r="E284" s="52">
        <v>26</v>
      </c>
      <c r="F284" s="52">
        <v>26</v>
      </c>
      <c r="G284" s="52">
        <v>26</v>
      </c>
      <c r="H284" s="52">
        <v>0</v>
      </c>
      <c r="I284" s="40"/>
      <c r="J284" s="21"/>
      <c r="K284" s="86"/>
      <c r="L284" s="86"/>
      <c r="M284" s="42"/>
    </row>
    <row r="285" spans="1:13" ht="53.55" customHeight="1" thickBot="1" x14ac:dyDescent="0.3">
      <c r="A285" s="19" t="s">
        <v>246</v>
      </c>
      <c r="B285" s="47" t="s">
        <v>17</v>
      </c>
      <c r="C285" s="48" t="s">
        <v>4</v>
      </c>
      <c r="D285" s="48" t="s">
        <v>297</v>
      </c>
      <c r="E285" s="51">
        <v>330</v>
      </c>
      <c r="F285" s="51">
        <v>290</v>
      </c>
      <c r="G285" s="51">
        <v>290</v>
      </c>
      <c r="H285" s="51">
        <v>0</v>
      </c>
      <c r="I285" s="48" t="s">
        <v>23</v>
      </c>
      <c r="J285" s="20" t="s">
        <v>91</v>
      </c>
      <c r="K285" s="88" t="s">
        <v>411</v>
      </c>
      <c r="L285" s="88" t="s">
        <v>457</v>
      </c>
      <c r="M285" s="50" t="s">
        <v>606</v>
      </c>
    </row>
    <row r="286" spans="1:13" ht="27" hidden="1" customHeight="1" thickBot="1" x14ac:dyDescent="0.3">
      <c r="A286" s="19" t="s">
        <v>528</v>
      </c>
      <c r="B286" s="47" t="s">
        <v>529</v>
      </c>
      <c r="C286" s="48"/>
      <c r="D286" s="48"/>
      <c r="E286" s="51">
        <v>0</v>
      </c>
      <c r="F286" s="51">
        <v>0</v>
      </c>
      <c r="G286" s="51">
        <v>0</v>
      </c>
      <c r="H286" s="51">
        <v>0</v>
      </c>
      <c r="I286" s="48" t="s">
        <v>530</v>
      </c>
      <c r="J286" s="20" t="s">
        <v>91</v>
      </c>
      <c r="K286" s="88" t="s">
        <v>319</v>
      </c>
      <c r="L286" s="88" t="s">
        <v>360</v>
      </c>
      <c r="M286" s="50"/>
    </row>
    <row r="287" spans="1:13" ht="172.2" thickBot="1" x14ac:dyDescent="0.3">
      <c r="A287" s="19" t="s">
        <v>247</v>
      </c>
      <c r="B287" s="47" t="s">
        <v>25</v>
      </c>
      <c r="C287" s="48" t="s">
        <v>4</v>
      </c>
      <c r="D287" s="48" t="s">
        <v>297</v>
      </c>
      <c r="E287" s="51">
        <v>180</v>
      </c>
      <c r="F287" s="51">
        <v>157.80000000000001</v>
      </c>
      <c r="G287" s="51">
        <v>156.9</v>
      </c>
      <c r="H287" s="51">
        <v>0.9</v>
      </c>
      <c r="I287" s="48" t="s">
        <v>248</v>
      </c>
      <c r="J287" s="20" t="s">
        <v>91</v>
      </c>
      <c r="K287" s="88" t="s">
        <v>287</v>
      </c>
      <c r="L287" s="88" t="s">
        <v>411</v>
      </c>
      <c r="M287" s="50" t="s">
        <v>607</v>
      </c>
    </row>
    <row r="288" spans="1:13" ht="185.55" customHeight="1" thickBot="1" x14ac:dyDescent="0.3">
      <c r="A288" s="19" t="s">
        <v>249</v>
      </c>
      <c r="B288" s="47" t="s">
        <v>51</v>
      </c>
      <c r="C288" s="48" t="s">
        <v>4</v>
      </c>
      <c r="D288" s="48" t="s">
        <v>297</v>
      </c>
      <c r="E288" s="51">
        <v>200</v>
      </c>
      <c r="F288" s="51">
        <v>171.6</v>
      </c>
      <c r="G288" s="51">
        <v>171.5</v>
      </c>
      <c r="H288" s="51">
        <v>0.1</v>
      </c>
      <c r="I288" s="48" t="s">
        <v>250</v>
      </c>
      <c r="J288" s="20" t="s">
        <v>91</v>
      </c>
      <c r="K288" s="88" t="s">
        <v>531</v>
      </c>
      <c r="L288" s="88" t="s">
        <v>507</v>
      </c>
      <c r="M288" s="50" t="s">
        <v>609</v>
      </c>
    </row>
    <row r="289" spans="1:13" ht="52.8" x14ac:dyDescent="0.25">
      <c r="A289" s="19" t="s">
        <v>251</v>
      </c>
      <c r="B289" s="47" t="s">
        <v>252</v>
      </c>
      <c r="C289" s="48"/>
      <c r="D289" s="48"/>
      <c r="E289" s="49">
        <f>SUM(E290:E291)</f>
        <v>213.1</v>
      </c>
      <c r="F289" s="49">
        <f>SUM(F290:F291)</f>
        <v>213.1</v>
      </c>
      <c r="G289" s="49">
        <f>SUM(G290:G291)+0.1</f>
        <v>56.6</v>
      </c>
      <c r="H289" s="49">
        <f>SUM(H290:H291)-0.1</f>
        <v>156.5</v>
      </c>
      <c r="I289" s="48" t="s">
        <v>189</v>
      </c>
      <c r="J289" s="20" t="s">
        <v>91</v>
      </c>
      <c r="K289" s="88" t="s">
        <v>309</v>
      </c>
      <c r="L289" s="88" t="s">
        <v>309</v>
      </c>
      <c r="M289" s="50" t="s">
        <v>610</v>
      </c>
    </row>
    <row r="290" spans="1:13" ht="26.4" x14ac:dyDescent="0.25">
      <c r="A290" s="22"/>
      <c r="B290" s="26"/>
      <c r="C290" s="40" t="s">
        <v>4</v>
      </c>
      <c r="D290" s="40" t="s">
        <v>297</v>
      </c>
      <c r="E290" s="52">
        <v>168</v>
      </c>
      <c r="F290" s="52">
        <v>168</v>
      </c>
      <c r="G290" s="52">
        <v>11.6</v>
      </c>
      <c r="H290" s="52">
        <v>156.4</v>
      </c>
      <c r="I290" s="40" t="s">
        <v>253</v>
      </c>
      <c r="J290" s="21" t="s">
        <v>91</v>
      </c>
      <c r="K290" s="86" t="s">
        <v>329</v>
      </c>
      <c r="L290" s="86" t="s">
        <v>336</v>
      </c>
      <c r="M290" s="42" t="s">
        <v>611</v>
      </c>
    </row>
    <row r="291" spans="1:13" ht="13.95" customHeight="1" thickBot="1" x14ac:dyDescent="0.3">
      <c r="A291" s="22"/>
      <c r="B291" s="26"/>
      <c r="C291" s="40" t="s">
        <v>50</v>
      </c>
      <c r="D291" s="40" t="s">
        <v>422</v>
      </c>
      <c r="E291" s="52">
        <v>45.1</v>
      </c>
      <c r="F291" s="52">
        <v>45.1</v>
      </c>
      <c r="G291" s="52">
        <v>44.9</v>
      </c>
      <c r="H291" s="52">
        <v>0.2</v>
      </c>
      <c r="I291" s="40"/>
      <c r="J291" s="21"/>
      <c r="K291" s="86"/>
      <c r="L291" s="86"/>
      <c r="M291" s="42"/>
    </row>
    <row r="292" spans="1:13" ht="27" thickBot="1" x14ac:dyDescent="0.3">
      <c r="A292" s="19" t="s">
        <v>254</v>
      </c>
      <c r="B292" s="47" t="s">
        <v>255</v>
      </c>
      <c r="C292" s="48" t="s">
        <v>4</v>
      </c>
      <c r="D292" s="48" t="s">
        <v>297</v>
      </c>
      <c r="E292" s="51">
        <v>90</v>
      </c>
      <c r="F292" s="51">
        <v>69.2</v>
      </c>
      <c r="G292" s="51">
        <v>69.2</v>
      </c>
      <c r="H292" s="51">
        <v>0</v>
      </c>
      <c r="I292" s="48" t="s">
        <v>90</v>
      </c>
      <c r="J292" s="20" t="s">
        <v>91</v>
      </c>
      <c r="K292" s="88" t="s">
        <v>532</v>
      </c>
      <c r="L292" s="88" t="s">
        <v>532</v>
      </c>
      <c r="M292" s="50" t="s">
        <v>533</v>
      </c>
    </row>
    <row r="293" spans="1:13" ht="27" thickBot="1" x14ac:dyDescent="0.3">
      <c r="A293" s="19" t="s">
        <v>534</v>
      </c>
      <c r="B293" s="47" t="s">
        <v>535</v>
      </c>
      <c r="C293" s="48" t="s">
        <v>4</v>
      </c>
      <c r="D293" s="48" t="s">
        <v>297</v>
      </c>
      <c r="E293" s="51">
        <v>85</v>
      </c>
      <c r="F293" s="51">
        <v>51.6</v>
      </c>
      <c r="G293" s="51">
        <v>51.2</v>
      </c>
      <c r="H293" s="51">
        <v>0.4</v>
      </c>
      <c r="I293" s="48" t="s">
        <v>11</v>
      </c>
      <c r="J293" s="20" t="s">
        <v>91</v>
      </c>
      <c r="K293" s="88" t="s">
        <v>336</v>
      </c>
      <c r="L293" s="88" t="s">
        <v>336</v>
      </c>
      <c r="M293" s="50" t="s">
        <v>536</v>
      </c>
    </row>
    <row r="294" spans="1:13" ht="66.599999999999994" customHeight="1" thickBot="1" x14ac:dyDescent="0.3">
      <c r="A294" s="19" t="s">
        <v>537</v>
      </c>
      <c r="B294" s="47" t="s">
        <v>538</v>
      </c>
      <c r="C294" s="48" t="s">
        <v>4</v>
      </c>
      <c r="D294" s="48" t="s">
        <v>297</v>
      </c>
      <c r="E294" s="51">
        <v>0</v>
      </c>
      <c r="F294" s="51">
        <v>7.5</v>
      </c>
      <c r="G294" s="51">
        <v>4.2</v>
      </c>
      <c r="H294" s="51">
        <v>3.3</v>
      </c>
      <c r="I294" s="48" t="s">
        <v>539</v>
      </c>
      <c r="J294" s="20" t="s">
        <v>91</v>
      </c>
      <c r="K294" s="88" t="s">
        <v>319</v>
      </c>
      <c r="L294" s="88" t="s">
        <v>319</v>
      </c>
      <c r="M294" s="50" t="s">
        <v>540</v>
      </c>
    </row>
    <row r="295" spans="1:13" ht="13.8" thickBot="1" x14ac:dyDescent="0.3">
      <c r="A295" s="19" t="s">
        <v>256</v>
      </c>
      <c r="B295" s="47" t="s">
        <v>7</v>
      </c>
      <c r="C295" s="48"/>
      <c r="D295" s="48"/>
      <c r="E295" s="49">
        <f>SUM(E296:E296)</f>
        <v>31.3</v>
      </c>
      <c r="F295" s="49">
        <f>SUM(F296:F296)</f>
        <v>25.6</v>
      </c>
      <c r="G295" s="49">
        <f>SUM(G296:G296)</f>
        <v>13.4</v>
      </c>
      <c r="H295" s="49">
        <f>SUM(H296:H296)</f>
        <v>12.2</v>
      </c>
      <c r="I295" s="48"/>
      <c r="J295" s="20"/>
      <c r="K295" s="88"/>
      <c r="L295" s="88"/>
      <c r="M295" s="50"/>
    </row>
    <row r="296" spans="1:13" ht="79.8" thickBot="1" x14ac:dyDescent="0.3">
      <c r="A296" s="19" t="s">
        <v>257</v>
      </c>
      <c r="B296" s="47" t="s">
        <v>67</v>
      </c>
      <c r="C296" s="48" t="s">
        <v>4</v>
      </c>
      <c r="D296" s="48" t="s">
        <v>297</v>
      </c>
      <c r="E296" s="51">
        <v>31.3</v>
      </c>
      <c r="F296" s="51">
        <v>25.6</v>
      </c>
      <c r="G296" s="51">
        <v>13.4</v>
      </c>
      <c r="H296" s="51">
        <v>12.2</v>
      </c>
      <c r="I296" s="48" t="s">
        <v>24</v>
      </c>
      <c r="J296" s="20" t="s">
        <v>91</v>
      </c>
      <c r="K296" s="88" t="s">
        <v>541</v>
      </c>
      <c r="L296" s="88" t="s">
        <v>542</v>
      </c>
      <c r="M296" s="50" t="s">
        <v>543</v>
      </c>
    </row>
    <row r="297" spans="1:13" ht="27" hidden="1" customHeight="1" thickBot="1" x14ac:dyDescent="0.3">
      <c r="A297" s="19" t="s">
        <v>258</v>
      </c>
      <c r="B297" s="47" t="s">
        <v>58</v>
      </c>
      <c r="C297" s="48"/>
      <c r="D297" s="48"/>
      <c r="E297" s="49">
        <f>SUM(E298:E298)</f>
        <v>30</v>
      </c>
      <c r="F297" s="49">
        <f>SUM(F298:F298)</f>
        <v>45</v>
      </c>
      <c r="G297" s="49">
        <f>SUM(G298:G298)</f>
        <v>32.200000000000003</v>
      </c>
      <c r="H297" s="49">
        <f>SUM(H298:H298)</f>
        <v>12.8</v>
      </c>
      <c r="I297" s="48"/>
      <c r="J297" s="20"/>
      <c r="K297" s="88"/>
      <c r="L297" s="88"/>
      <c r="M297" s="50"/>
    </row>
    <row r="298" spans="1:13" ht="141.6" customHeight="1" thickBot="1" x14ac:dyDescent="0.3">
      <c r="A298" s="19" t="s">
        <v>259</v>
      </c>
      <c r="B298" s="47" t="s">
        <v>58</v>
      </c>
      <c r="C298" s="48" t="s">
        <v>4</v>
      </c>
      <c r="D298" s="48" t="s">
        <v>297</v>
      </c>
      <c r="E298" s="51">
        <v>30</v>
      </c>
      <c r="F298" s="51">
        <v>45</v>
      </c>
      <c r="G298" s="51">
        <v>32.200000000000003</v>
      </c>
      <c r="H298" s="51">
        <v>12.8</v>
      </c>
      <c r="I298" s="48" t="s">
        <v>260</v>
      </c>
      <c r="J298" s="20" t="s">
        <v>84</v>
      </c>
      <c r="K298" s="88" t="s">
        <v>336</v>
      </c>
      <c r="L298" s="88" t="s">
        <v>309</v>
      </c>
      <c r="M298" s="50" t="s">
        <v>612</v>
      </c>
    </row>
    <row r="299" spans="1:13" ht="27" thickBot="1" x14ac:dyDescent="0.3">
      <c r="A299" s="19" t="s">
        <v>261</v>
      </c>
      <c r="B299" s="47" t="s">
        <v>262</v>
      </c>
      <c r="C299" s="48"/>
      <c r="D299" s="48"/>
      <c r="E299" s="49">
        <f>SUM(E300:E301)</f>
        <v>55</v>
      </c>
      <c r="F299" s="49">
        <f>SUM(F300:F301)</f>
        <v>41.7</v>
      </c>
      <c r="G299" s="49">
        <f>SUM(G300:G301)</f>
        <v>39.1</v>
      </c>
      <c r="H299" s="49">
        <f>SUM(H300:H301)</f>
        <v>2.6</v>
      </c>
      <c r="I299" s="48"/>
      <c r="J299" s="20"/>
      <c r="K299" s="88"/>
      <c r="L299" s="88"/>
      <c r="M299" s="50"/>
    </row>
    <row r="300" spans="1:13" ht="40.200000000000003" customHeight="1" thickBot="1" x14ac:dyDescent="0.3">
      <c r="A300" s="19" t="s">
        <v>263</v>
      </c>
      <c r="B300" s="47" t="s">
        <v>52</v>
      </c>
      <c r="C300" s="48" t="s">
        <v>4</v>
      </c>
      <c r="D300" s="48" t="s">
        <v>297</v>
      </c>
      <c r="E300" s="51">
        <v>11.5</v>
      </c>
      <c r="F300" s="51">
        <v>11.5</v>
      </c>
      <c r="G300" s="51">
        <v>10.9</v>
      </c>
      <c r="H300" s="51">
        <v>0.6</v>
      </c>
      <c r="I300" s="48" t="s">
        <v>267</v>
      </c>
      <c r="J300" s="20" t="s">
        <v>91</v>
      </c>
      <c r="K300" s="88" t="s">
        <v>544</v>
      </c>
      <c r="L300" s="88" t="s">
        <v>544</v>
      </c>
      <c r="M300" s="50" t="s">
        <v>545</v>
      </c>
    </row>
    <row r="301" spans="1:13" ht="39.6" x14ac:dyDescent="0.25">
      <c r="A301" s="19" t="s">
        <v>266</v>
      </c>
      <c r="B301" s="47" t="s">
        <v>268</v>
      </c>
      <c r="C301" s="48"/>
      <c r="D301" s="48"/>
      <c r="E301" s="49">
        <f>SUM(E302:E304)</f>
        <v>43.5</v>
      </c>
      <c r="F301" s="49">
        <f>SUM(F302:F304)</f>
        <v>30.2</v>
      </c>
      <c r="G301" s="49">
        <f>SUM(G302:G304)</f>
        <v>28.200000000000003</v>
      </c>
      <c r="H301" s="49">
        <f>SUM(H302:H304)</f>
        <v>2</v>
      </c>
      <c r="I301" s="48" t="s">
        <v>68</v>
      </c>
      <c r="J301" s="20" t="s">
        <v>91</v>
      </c>
      <c r="K301" s="88" t="s">
        <v>309</v>
      </c>
      <c r="L301" s="88" t="s">
        <v>309</v>
      </c>
      <c r="M301" s="50" t="s">
        <v>614</v>
      </c>
    </row>
    <row r="302" spans="1:13" x14ac:dyDescent="0.25">
      <c r="A302" s="22"/>
      <c r="B302" s="26"/>
      <c r="C302" s="40" t="s">
        <v>1</v>
      </c>
      <c r="D302" s="40" t="s">
        <v>316</v>
      </c>
      <c r="E302" s="52">
        <v>0</v>
      </c>
      <c r="F302" s="52">
        <v>8.9</v>
      </c>
      <c r="G302" s="52">
        <v>8.9</v>
      </c>
      <c r="H302" s="52">
        <v>0</v>
      </c>
      <c r="I302" s="40" t="s">
        <v>189</v>
      </c>
      <c r="J302" s="21" t="s">
        <v>91</v>
      </c>
      <c r="K302" s="86" t="s">
        <v>319</v>
      </c>
      <c r="L302" s="86" t="s">
        <v>319</v>
      </c>
      <c r="M302" s="42" t="s">
        <v>613</v>
      </c>
    </row>
    <row r="303" spans="1:13" x14ac:dyDescent="0.25">
      <c r="A303" s="22"/>
      <c r="B303" s="26"/>
      <c r="C303" s="40" t="s">
        <v>4</v>
      </c>
      <c r="D303" s="40" t="s">
        <v>297</v>
      </c>
      <c r="E303" s="52">
        <v>36.299999999999997</v>
      </c>
      <c r="F303" s="52">
        <v>14.1</v>
      </c>
      <c r="G303" s="52">
        <v>13.3</v>
      </c>
      <c r="H303" s="52">
        <v>0.8</v>
      </c>
      <c r="I303" s="40" t="s">
        <v>546</v>
      </c>
      <c r="J303" s="21" t="s">
        <v>91</v>
      </c>
      <c r="K303" s="86" t="s">
        <v>319</v>
      </c>
      <c r="L303" s="86" t="s">
        <v>319</v>
      </c>
      <c r="M303" s="42"/>
    </row>
    <row r="304" spans="1:13" ht="13.8" thickBot="1" x14ac:dyDescent="0.3">
      <c r="A304" s="22"/>
      <c r="B304" s="26"/>
      <c r="C304" s="40" t="s">
        <v>50</v>
      </c>
      <c r="D304" s="40" t="s">
        <v>422</v>
      </c>
      <c r="E304" s="52">
        <v>7.2</v>
      </c>
      <c r="F304" s="52">
        <v>7.2</v>
      </c>
      <c r="G304" s="52">
        <v>6</v>
      </c>
      <c r="H304" s="52">
        <v>1.2</v>
      </c>
      <c r="I304" s="40"/>
      <c r="J304" s="21"/>
      <c r="K304" s="86"/>
      <c r="L304" s="86"/>
      <c r="M304" s="42"/>
    </row>
    <row r="305" spans="1:13" ht="27" hidden="1" thickBot="1" x14ac:dyDescent="0.3">
      <c r="A305" s="19" t="s">
        <v>547</v>
      </c>
      <c r="B305" s="47" t="s">
        <v>264</v>
      </c>
      <c r="C305" s="48"/>
      <c r="D305" s="48"/>
      <c r="E305" s="49">
        <f>SUM(E306:E306)</f>
        <v>2301.3000000000002</v>
      </c>
      <c r="F305" s="49">
        <f>SUM(F306:F306)</f>
        <v>1704.3000000000002</v>
      </c>
      <c r="G305" s="49">
        <f>SUM(G306:G306)</f>
        <v>1543.4</v>
      </c>
      <c r="H305" s="49">
        <f>SUM(H306:H306)</f>
        <v>160.9</v>
      </c>
      <c r="I305" s="48"/>
      <c r="J305" s="20"/>
      <c r="K305" s="88"/>
      <c r="L305" s="88"/>
      <c r="M305" s="50"/>
    </row>
    <row r="306" spans="1:13" ht="26.4" x14ac:dyDescent="0.25">
      <c r="A306" s="19" t="s">
        <v>548</v>
      </c>
      <c r="B306" s="47" t="s">
        <v>264</v>
      </c>
      <c r="C306" s="48"/>
      <c r="D306" s="48"/>
      <c r="E306" s="49">
        <f>SUM(E307:E309)</f>
        <v>2301.3000000000002</v>
      </c>
      <c r="F306" s="49">
        <f>SUM(F307:F309)</f>
        <v>1704.3000000000002</v>
      </c>
      <c r="G306" s="49">
        <f>SUM(G307:G309)</f>
        <v>1543.4</v>
      </c>
      <c r="H306" s="49">
        <f>SUM(H307:H309)</f>
        <v>160.9</v>
      </c>
      <c r="I306" s="48" t="s">
        <v>265</v>
      </c>
      <c r="J306" s="20" t="s">
        <v>84</v>
      </c>
      <c r="K306" s="88" t="s">
        <v>448</v>
      </c>
      <c r="L306" s="88" t="s">
        <v>448</v>
      </c>
      <c r="M306" s="50" t="s">
        <v>549</v>
      </c>
    </row>
    <row r="307" spans="1:13" x14ac:dyDescent="0.25">
      <c r="A307" s="22"/>
      <c r="B307" s="26"/>
      <c r="C307" s="40" t="s">
        <v>50</v>
      </c>
      <c r="D307" s="40" t="s">
        <v>524</v>
      </c>
      <c r="E307" s="52">
        <v>279.10000000000002</v>
      </c>
      <c r="F307" s="52">
        <v>279.10000000000002</v>
      </c>
      <c r="G307" s="52">
        <v>279.10000000000002</v>
      </c>
      <c r="H307" s="52">
        <v>0</v>
      </c>
      <c r="I307" s="40"/>
      <c r="J307" s="21"/>
      <c r="K307" s="86"/>
      <c r="L307" s="86"/>
      <c r="M307" s="42"/>
    </row>
    <row r="308" spans="1:13" x14ac:dyDescent="0.25">
      <c r="A308" s="22"/>
      <c r="B308" s="26"/>
      <c r="C308" s="40" t="s">
        <v>4</v>
      </c>
      <c r="D308" s="40" t="s">
        <v>297</v>
      </c>
      <c r="E308" s="52">
        <v>1951.3</v>
      </c>
      <c r="F308" s="52">
        <v>1354.3</v>
      </c>
      <c r="G308" s="52">
        <v>1193.4000000000001</v>
      </c>
      <c r="H308" s="52">
        <v>160.9</v>
      </c>
      <c r="I308" s="40"/>
      <c r="J308" s="21"/>
      <c r="K308" s="86"/>
      <c r="L308" s="86"/>
      <c r="M308" s="42"/>
    </row>
    <row r="309" spans="1:13" ht="13.8" thickBot="1" x14ac:dyDescent="0.3">
      <c r="A309" s="64"/>
      <c r="B309" s="65"/>
      <c r="C309" s="66" t="s">
        <v>50</v>
      </c>
      <c r="D309" s="66" t="s">
        <v>422</v>
      </c>
      <c r="E309" s="67">
        <v>70.900000000000006</v>
      </c>
      <c r="F309" s="67">
        <v>70.900000000000006</v>
      </c>
      <c r="G309" s="67">
        <v>70.900000000000006</v>
      </c>
      <c r="H309" s="67">
        <v>0</v>
      </c>
      <c r="I309" s="66"/>
      <c r="J309" s="68"/>
      <c r="K309" s="95"/>
      <c r="L309" s="95"/>
      <c r="M309" s="69"/>
    </row>
    <row r="310" spans="1:13" hidden="1" x14ac:dyDescent="0.25">
      <c r="A310" s="23"/>
      <c r="B310" s="23"/>
      <c r="C310" s="70"/>
      <c r="D310" s="70"/>
      <c r="E310" s="71"/>
      <c r="F310" s="71"/>
      <c r="G310" s="71"/>
      <c r="H310" s="71"/>
      <c r="I310" s="70"/>
      <c r="J310" s="24"/>
      <c r="K310" s="96"/>
      <c r="L310" s="96"/>
      <c r="M310" s="70"/>
    </row>
    <row r="311" spans="1:13" hidden="1" x14ac:dyDescent="0.25">
      <c r="A311" s="23"/>
      <c r="B311" s="23"/>
      <c r="C311" s="70"/>
      <c r="D311" s="70"/>
      <c r="E311" s="71"/>
      <c r="F311" s="71"/>
      <c r="G311" s="71"/>
      <c r="H311" s="71"/>
      <c r="I311" s="70"/>
      <c r="J311" s="24"/>
      <c r="K311" s="96"/>
      <c r="L311" s="96"/>
      <c r="M311" s="70"/>
    </row>
    <row r="312" spans="1:13" hidden="1" x14ac:dyDescent="0.25">
      <c r="A312" s="23"/>
      <c r="B312" s="23"/>
      <c r="C312" s="70"/>
      <c r="D312" s="70"/>
      <c r="E312" s="71"/>
      <c r="F312" s="71"/>
      <c r="G312" s="71"/>
      <c r="H312" s="71"/>
      <c r="I312" s="70"/>
      <c r="J312" s="24"/>
      <c r="K312" s="96"/>
      <c r="L312" s="96"/>
      <c r="M312" s="70"/>
    </row>
    <row r="313" spans="1:13" x14ac:dyDescent="0.25">
      <c r="A313" s="23"/>
      <c r="B313" s="23"/>
      <c r="C313" s="70"/>
      <c r="D313" s="70"/>
      <c r="E313" s="71"/>
      <c r="F313" s="71"/>
      <c r="G313" s="71"/>
      <c r="H313" s="71"/>
      <c r="I313" s="70"/>
      <c r="J313" s="24"/>
      <c r="K313" s="96"/>
      <c r="L313" s="96"/>
      <c r="M313" s="70"/>
    </row>
    <row r="314" spans="1:13" x14ac:dyDescent="0.25">
      <c r="A314" s="120" t="s">
        <v>0</v>
      </c>
      <c r="B314" s="120"/>
      <c r="C314" s="120"/>
      <c r="D314" s="120"/>
      <c r="E314" s="120"/>
      <c r="F314" s="120"/>
      <c r="G314" s="71"/>
      <c r="H314" s="71"/>
      <c r="I314" s="70"/>
      <c r="J314" s="24"/>
      <c r="K314" s="96"/>
      <c r="L314" s="96"/>
      <c r="M314" s="70"/>
    </row>
    <row r="315" spans="1:13" ht="45" customHeight="1" x14ac:dyDescent="0.25">
      <c r="A315" s="72" t="s">
        <v>69</v>
      </c>
      <c r="B315" s="72" t="s">
        <v>70</v>
      </c>
      <c r="C315" s="72" t="s">
        <v>72</v>
      </c>
      <c r="D315" s="72" t="s">
        <v>73</v>
      </c>
      <c r="E315" s="72" t="s">
        <v>74</v>
      </c>
      <c r="F315" s="72" t="s">
        <v>75</v>
      </c>
      <c r="G315" s="73"/>
      <c r="H315" s="73"/>
    </row>
    <row r="316" spans="1:13" x14ac:dyDescent="0.25">
      <c r="A316" s="26" t="s">
        <v>2</v>
      </c>
      <c r="B316" s="26" t="s">
        <v>270</v>
      </c>
      <c r="C316" s="74">
        <v>3</v>
      </c>
      <c r="D316" s="74">
        <v>9.5</v>
      </c>
      <c r="E316" s="74">
        <v>6.4</v>
      </c>
      <c r="F316" s="74">
        <v>3.1</v>
      </c>
    </row>
    <row r="317" spans="1:13" ht="26.4" x14ac:dyDescent="0.25">
      <c r="A317" s="26" t="s">
        <v>36</v>
      </c>
      <c r="B317" s="26" t="s">
        <v>580</v>
      </c>
      <c r="C317" s="74">
        <v>1808.1</v>
      </c>
      <c r="D317" s="74">
        <v>1964.5</v>
      </c>
      <c r="E317" s="74">
        <v>1133.3</v>
      </c>
      <c r="F317" s="74">
        <v>831.2</v>
      </c>
    </row>
    <row r="318" spans="1:13" ht="26.4" x14ac:dyDescent="0.25">
      <c r="A318" s="26" t="s">
        <v>62</v>
      </c>
      <c r="B318" s="26" t="s">
        <v>615</v>
      </c>
      <c r="C318" s="74">
        <v>495.3</v>
      </c>
      <c r="D318" s="74">
        <v>495.3</v>
      </c>
      <c r="E318" s="74">
        <v>445.3</v>
      </c>
      <c r="F318" s="74">
        <v>50</v>
      </c>
    </row>
    <row r="319" spans="1:13" ht="26.4" x14ac:dyDescent="0.25">
      <c r="A319" s="26" t="s">
        <v>50</v>
      </c>
      <c r="B319" s="26" t="s">
        <v>271</v>
      </c>
      <c r="C319" s="74">
        <v>5240.5</v>
      </c>
      <c r="D319" s="74">
        <v>4094.4</v>
      </c>
      <c r="E319" s="74">
        <v>3217.2</v>
      </c>
      <c r="F319" s="74">
        <v>877.2</v>
      </c>
    </row>
    <row r="320" spans="1:13" x14ac:dyDescent="0.25">
      <c r="A320" s="26" t="s">
        <v>14</v>
      </c>
      <c r="B320" s="26" t="s">
        <v>272</v>
      </c>
      <c r="C320" s="74">
        <v>5390</v>
      </c>
      <c r="D320" s="74">
        <v>5390</v>
      </c>
      <c r="E320" s="74">
        <v>3602.8</v>
      </c>
      <c r="F320" s="74">
        <v>1787.2</v>
      </c>
    </row>
    <row r="321" spans="1:6" x14ac:dyDescent="0.25">
      <c r="A321" s="26" t="s">
        <v>27</v>
      </c>
      <c r="B321" s="26" t="s">
        <v>273</v>
      </c>
      <c r="C321" s="74">
        <v>415.4</v>
      </c>
      <c r="D321" s="74">
        <v>415.4</v>
      </c>
      <c r="E321" s="74">
        <v>413.7</v>
      </c>
      <c r="F321" s="74">
        <v>1.7</v>
      </c>
    </row>
    <row r="322" spans="1:6" ht="26.4" x14ac:dyDescent="0.25">
      <c r="A322" s="26" t="s">
        <v>5</v>
      </c>
      <c r="B322" s="26" t="s">
        <v>274</v>
      </c>
      <c r="C322" s="74">
        <v>45941</v>
      </c>
      <c r="D322" s="74">
        <v>50092.6</v>
      </c>
      <c r="E322" s="74">
        <v>50026.2</v>
      </c>
      <c r="F322" s="74">
        <v>66.400000000000006</v>
      </c>
    </row>
    <row r="323" spans="1:6" x14ac:dyDescent="0.25">
      <c r="A323" s="26" t="s">
        <v>18</v>
      </c>
      <c r="B323" s="26" t="s">
        <v>275</v>
      </c>
      <c r="C323" s="74">
        <v>0</v>
      </c>
      <c r="D323" s="74">
        <v>815.5</v>
      </c>
      <c r="E323" s="74">
        <v>675.7</v>
      </c>
      <c r="F323" s="74">
        <v>139.80000000000001</v>
      </c>
    </row>
    <row r="324" spans="1:6" x14ac:dyDescent="0.25">
      <c r="A324" s="26" t="s">
        <v>1</v>
      </c>
      <c r="B324" s="26" t="s">
        <v>276</v>
      </c>
      <c r="C324" s="74">
        <v>0</v>
      </c>
      <c r="D324" s="74">
        <v>44.9</v>
      </c>
      <c r="E324" s="74">
        <v>40.4</v>
      </c>
      <c r="F324" s="74">
        <v>4.5</v>
      </c>
    </row>
    <row r="325" spans="1:6" x14ac:dyDescent="0.25">
      <c r="A325" s="26" t="s">
        <v>4</v>
      </c>
      <c r="B325" s="26" t="s">
        <v>277</v>
      </c>
      <c r="C325" s="74">
        <v>44900.5</v>
      </c>
      <c r="D325" s="74">
        <v>43903.8</v>
      </c>
      <c r="E325" s="74">
        <v>42488.9</v>
      </c>
      <c r="F325" s="74">
        <v>1414.8</v>
      </c>
    </row>
    <row r="326" spans="1:6" x14ac:dyDescent="0.25">
      <c r="A326" s="26" t="s">
        <v>460</v>
      </c>
      <c r="B326" s="26" t="s">
        <v>550</v>
      </c>
      <c r="C326" s="74">
        <v>49.3</v>
      </c>
      <c r="D326" s="74">
        <v>30.7</v>
      </c>
      <c r="E326" s="74">
        <v>16.899999999999999</v>
      </c>
      <c r="F326" s="74">
        <v>13.8</v>
      </c>
    </row>
    <row r="327" spans="1:6" x14ac:dyDescent="0.25">
      <c r="A327" s="27"/>
      <c r="B327" s="75" t="s">
        <v>6</v>
      </c>
      <c r="C327" s="76">
        <f>SUM(C316:C326)</f>
        <v>104243.1</v>
      </c>
      <c r="D327" s="76">
        <f>SUM(D316:D326)</f>
        <v>107256.59999999999</v>
      </c>
      <c r="E327" s="76">
        <f>SUM(E316:E326)</f>
        <v>102066.79999999999</v>
      </c>
      <c r="F327" s="76">
        <f>SUM(F316:F326)</f>
        <v>5189.7</v>
      </c>
    </row>
  </sheetData>
  <mergeCells count="65">
    <mergeCell ref="A159:A162"/>
    <mergeCell ref="M159:M162"/>
    <mergeCell ref="M68:M69"/>
    <mergeCell ref="M18:M27"/>
    <mergeCell ref="I18:I27"/>
    <mergeCell ref="M144:M146"/>
    <mergeCell ref="B159:B162"/>
    <mergeCell ref="A42:A44"/>
    <mergeCell ref="B42:B44"/>
    <mergeCell ref="B28:B29"/>
    <mergeCell ref="B30:B31"/>
    <mergeCell ref="A61:A63"/>
    <mergeCell ref="B61:B63"/>
    <mergeCell ref="A98:A100"/>
    <mergeCell ref="B98:B100"/>
    <mergeCell ref="M101:M104"/>
    <mergeCell ref="A1:M1"/>
    <mergeCell ref="A2:M2"/>
    <mergeCell ref="A4:A6"/>
    <mergeCell ref="B4:B6"/>
    <mergeCell ref="C4:C6"/>
    <mergeCell ref="D4:D6"/>
    <mergeCell ref="E4:E6"/>
    <mergeCell ref="F4:F6"/>
    <mergeCell ref="G4:G6"/>
    <mergeCell ref="H4:H6"/>
    <mergeCell ref="I4:M4"/>
    <mergeCell ref="I5:I6"/>
    <mergeCell ref="J5:J6"/>
    <mergeCell ref="K5:L5"/>
    <mergeCell ref="M5:M6"/>
    <mergeCell ref="B15:B16"/>
    <mergeCell ref="B32:B33"/>
    <mergeCell ref="B34:B35"/>
    <mergeCell ref="B36:B37"/>
    <mergeCell ref="B38:B39"/>
    <mergeCell ref="M139:M141"/>
    <mergeCell ref="B150:B151"/>
    <mergeCell ref="B89:B91"/>
    <mergeCell ref="A92:A94"/>
    <mergeCell ref="B92:B94"/>
    <mergeCell ref="A95:A97"/>
    <mergeCell ref="B95:B97"/>
    <mergeCell ref="A15:A16"/>
    <mergeCell ref="M271:M273"/>
    <mergeCell ref="M265:M267"/>
    <mergeCell ref="A314:F314"/>
    <mergeCell ref="M166:M168"/>
    <mergeCell ref="A169:A170"/>
    <mergeCell ref="B169:B170"/>
    <mergeCell ref="M179:M182"/>
    <mergeCell ref="M229:M230"/>
    <mergeCell ref="M253:M255"/>
    <mergeCell ref="A64:A65"/>
    <mergeCell ref="B64:B65"/>
    <mergeCell ref="A86:A88"/>
    <mergeCell ref="B86:B88"/>
    <mergeCell ref="M153:M154"/>
    <mergeCell ref="A89:A91"/>
    <mergeCell ref="A38:A39"/>
    <mergeCell ref="A28:A29"/>
    <mergeCell ref="A30:A31"/>
    <mergeCell ref="A32:A33"/>
    <mergeCell ref="A34:A35"/>
    <mergeCell ref="A36:A37"/>
  </mergeCells>
  <printOptions horizontalCentered="1"/>
  <pageMargins left="0.39370078740157483" right="0.39370078740157483" top="0.39370078740157483" bottom="0.3937007874015748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10 programa</vt:lpstr>
      <vt:lpstr>Ataskaita!Print_Area</vt:lpstr>
      <vt:lpstr>'10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2021-02-25T19:21:49Z</cp:lastPrinted>
  <dcterms:created xsi:type="dcterms:W3CDTF">2006-05-12T05:50:12Z</dcterms:created>
  <dcterms:modified xsi:type="dcterms:W3CDTF">2021-02-25T19:21:58Z</dcterms:modified>
</cp:coreProperties>
</file>