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1-2023 SVP\SPRENDIMO PROJEKTAS 2021-2023 SVP\SPRENDIMAS 2021-12-25 TAR2-\"/>
    </mc:Choice>
  </mc:AlternateContent>
  <bookViews>
    <workbookView xWindow="-120" yWindow="-120" windowWidth="23160" windowHeight="9120" firstSheet="1" activeTab="1"/>
  </bookViews>
  <sheets>
    <sheet name="Aiškinamoji lentelė" sheetId="12" state="hidden" r:id="rId1"/>
    <sheet name="12 programa" sheetId="13" r:id="rId2"/>
  </sheets>
  <definedNames>
    <definedName name="_xlnm.Print_Area" localSheetId="1">'12 programa'!$A$1:$N$233</definedName>
    <definedName name="_xlnm.Print_Area" localSheetId="0">'Aiškinamoji lentelė'!$A$1:$R$272</definedName>
    <definedName name="_xlnm.Print_Titles" localSheetId="1">'12 programa'!$7:$9</definedName>
    <definedName name="_xlnm.Print_Titles" localSheetId="0">'Aiškinamoji lentelė'!$6:$8</definedName>
  </definedNames>
  <calcPr calcId="162913"/>
</workbook>
</file>

<file path=xl/calcChain.xml><?xml version="1.0" encoding="utf-8"?>
<calcChain xmlns="http://schemas.openxmlformats.org/spreadsheetml/2006/main">
  <c r="H185" i="13" l="1"/>
  <c r="H64" i="13" l="1"/>
  <c r="J215" i="13" l="1"/>
  <c r="I215" i="13"/>
  <c r="H215" i="13"/>
  <c r="L255" i="12"/>
  <c r="I200" i="13"/>
  <c r="I173" i="13"/>
  <c r="I142" i="13"/>
  <c r="I135" i="13"/>
  <c r="I120" i="13"/>
  <c r="I107" i="13"/>
  <c r="I104" i="13"/>
  <c r="I225" i="13"/>
  <c r="J226" i="13"/>
  <c r="I226" i="13"/>
  <c r="J225" i="13"/>
  <c r="J224" i="13"/>
  <c r="I224" i="13"/>
  <c r="H226" i="13"/>
  <c r="H225" i="13"/>
  <c r="H224" i="13"/>
  <c r="H222" i="13"/>
  <c r="H221" i="13"/>
  <c r="H220" i="13"/>
  <c r="H219" i="13"/>
  <c r="J217" i="13"/>
  <c r="I217" i="13"/>
  <c r="H217" i="13"/>
  <c r="I216" i="13"/>
  <c r="H216" i="13"/>
  <c r="J214" i="13"/>
  <c r="I214" i="13"/>
  <c r="H214" i="13"/>
  <c r="J213" i="13"/>
  <c r="I213" i="13"/>
  <c r="H213" i="13"/>
  <c r="J15" i="13" l="1"/>
  <c r="I15" i="13"/>
  <c r="H15" i="13"/>
  <c r="I45" i="13" l="1"/>
  <c r="J45" i="13"/>
  <c r="J200" i="13"/>
  <c r="H200" i="13"/>
  <c r="I185" i="13"/>
  <c r="J185" i="13"/>
  <c r="H173" i="13"/>
  <c r="H174" i="13" s="1"/>
  <c r="J173" i="13"/>
  <c r="I122" i="13"/>
  <c r="I212" i="13" s="1"/>
  <c r="J122" i="13"/>
  <c r="J212" i="13" s="1"/>
  <c r="H122" i="13"/>
  <c r="H212" i="13" s="1"/>
  <c r="I121" i="13"/>
  <c r="J121" i="13"/>
  <c r="J211" i="13" s="1"/>
  <c r="H121" i="13"/>
  <c r="H211" i="13" s="1"/>
  <c r="J120" i="13"/>
  <c r="H120" i="13"/>
  <c r="H104" i="13"/>
  <c r="J104" i="13"/>
  <c r="K31" i="12"/>
  <c r="I128" i="13" l="1"/>
  <c r="I211" i="13"/>
  <c r="H128" i="13"/>
  <c r="J128" i="13"/>
  <c r="I40" i="13"/>
  <c r="J40" i="13"/>
  <c r="H40" i="13"/>
  <c r="H16" i="13"/>
  <c r="I21" i="13"/>
  <c r="J21" i="13"/>
  <c r="H21" i="13"/>
  <c r="H218" i="13" l="1"/>
  <c r="H45" i="13"/>
  <c r="H146" i="13"/>
  <c r="H142" i="13"/>
  <c r="H135" i="13"/>
  <c r="H107" i="13"/>
  <c r="H47" i="13"/>
  <c r="H49" i="13"/>
  <c r="H52" i="13"/>
  <c r="H55" i="13"/>
  <c r="H57" i="13"/>
  <c r="H137" i="13"/>
  <c r="H156" i="13"/>
  <c r="H157" i="13"/>
  <c r="H179" i="13"/>
  <c r="H203" i="13"/>
  <c r="H204" i="13" s="1"/>
  <c r="H58" i="13" l="1"/>
  <c r="H147" i="13"/>
  <c r="H223" i="13"/>
  <c r="J222" i="13"/>
  <c r="I222" i="13"/>
  <c r="J221" i="13"/>
  <c r="I221" i="13"/>
  <c r="J220" i="13"/>
  <c r="I220" i="13"/>
  <c r="J219" i="13"/>
  <c r="I219" i="13"/>
  <c r="J218" i="13"/>
  <c r="I218" i="13"/>
  <c r="J216" i="13"/>
  <c r="J203" i="13"/>
  <c r="I203" i="13"/>
  <c r="I204" i="13" s="1"/>
  <c r="I179" i="13"/>
  <c r="J168" i="13"/>
  <c r="I162" i="13"/>
  <c r="I174" i="13" s="1"/>
  <c r="J146" i="13"/>
  <c r="I146" i="13"/>
  <c r="J142" i="13"/>
  <c r="J137" i="13"/>
  <c r="I137" i="13"/>
  <c r="J135" i="13"/>
  <c r="J107" i="13"/>
  <c r="J57" i="13"/>
  <c r="I57" i="13"/>
  <c r="J55" i="13"/>
  <c r="I55" i="13"/>
  <c r="J52" i="13"/>
  <c r="I52" i="13"/>
  <c r="J49" i="13"/>
  <c r="I49" i="13"/>
  <c r="J47" i="13"/>
  <c r="I47" i="13"/>
  <c r="I147" i="13" l="1"/>
  <c r="I58" i="13"/>
  <c r="I205" i="13" s="1"/>
  <c r="J204" i="13"/>
  <c r="H210" i="13"/>
  <c r="H209" i="13" s="1"/>
  <c r="H227" i="13" s="1"/>
  <c r="J147" i="13"/>
  <c r="H205" i="13"/>
  <c r="H206" i="13" s="1"/>
  <c r="J223" i="13"/>
  <c r="J210" i="13"/>
  <c r="J209" i="13" s="1"/>
  <c r="I223" i="13"/>
  <c r="J58" i="13"/>
  <c r="J174" i="13"/>
  <c r="I210" i="13"/>
  <c r="I209" i="13" s="1"/>
  <c r="H229" i="13" l="1"/>
  <c r="I227" i="13"/>
  <c r="J227" i="13"/>
  <c r="I206" i="13"/>
  <c r="J205" i="13"/>
  <c r="J206" i="13" s="1"/>
  <c r="K63" i="12"/>
  <c r="L63" i="12"/>
  <c r="M63" i="12"/>
  <c r="J63" i="12"/>
  <c r="I229" i="13" l="1"/>
  <c r="J229" i="13"/>
  <c r="L211" i="12"/>
  <c r="K217" i="12" l="1"/>
  <c r="K219" i="12"/>
  <c r="J219" i="12"/>
  <c r="K183" i="12"/>
  <c r="K182" i="12"/>
  <c r="K33" i="12" l="1"/>
  <c r="L33" i="12"/>
  <c r="M33" i="12"/>
  <c r="K35" i="12"/>
  <c r="L35" i="12"/>
  <c r="M35" i="12"/>
  <c r="K38" i="12"/>
  <c r="L38" i="12"/>
  <c r="M38" i="12"/>
  <c r="J22" i="12"/>
  <c r="M251" i="12" l="1"/>
  <c r="L251" i="12"/>
  <c r="J262" i="12"/>
  <c r="J261" i="12"/>
  <c r="J260" i="12"/>
  <c r="J259" i="12"/>
  <c r="J256" i="12"/>
  <c r="J255" i="12"/>
  <c r="J253" i="12"/>
  <c r="J252" i="12"/>
  <c r="K251" i="12"/>
  <c r="K147" i="12"/>
  <c r="J147" i="12"/>
  <c r="L134" i="12"/>
  <c r="M134" i="12"/>
  <c r="K134" i="12"/>
  <c r="J113" i="12"/>
  <c r="J109" i="12"/>
  <c r="J92" i="12"/>
  <c r="J86" i="12"/>
  <c r="K23" i="12"/>
  <c r="K42" i="12"/>
  <c r="K45" i="12"/>
  <c r="L58" i="12"/>
  <c r="M58" i="12"/>
  <c r="K58" i="12"/>
  <c r="J16" i="12"/>
  <c r="J258" i="12" s="1"/>
  <c r="J15" i="12"/>
  <c r="J251" i="12" l="1"/>
  <c r="M197" i="12"/>
  <c r="M207" i="12" s="1"/>
  <c r="K211" i="12" l="1"/>
  <c r="J189" i="12" l="1"/>
  <c r="J207" i="12" s="1"/>
  <c r="L189" i="12"/>
  <c r="K207" i="12" l="1"/>
  <c r="L147" i="12" l="1"/>
  <c r="M147" i="12"/>
  <c r="J162" i="12" l="1"/>
  <c r="J163" i="12" s="1"/>
  <c r="M252" i="12" l="1"/>
  <c r="L252" i="12"/>
  <c r="L253" i="12"/>
  <c r="K252" i="12"/>
  <c r="M250" i="12" l="1"/>
  <c r="L207" i="12"/>
  <c r="J174" i="12"/>
  <c r="K155" i="12"/>
  <c r="L155" i="12"/>
  <c r="M155" i="12"/>
  <c r="J155" i="12"/>
  <c r="J45" i="12"/>
  <c r="L256" i="12" l="1"/>
  <c r="L254" i="12"/>
  <c r="L250" i="12"/>
  <c r="L238" i="12"/>
  <c r="L170" i="12"/>
  <c r="L163" i="12"/>
  <c r="L131" i="12"/>
  <c r="L45" i="12"/>
  <c r="L31" i="12"/>
  <c r="L23" i="12"/>
  <c r="K131" i="12"/>
  <c r="M131" i="12"/>
  <c r="M238" i="12"/>
  <c r="K238" i="12"/>
  <c r="M174" i="12"/>
  <c r="L174" i="12"/>
  <c r="K174" i="12"/>
  <c r="M165" i="12"/>
  <c r="L165" i="12"/>
  <c r="K165" i="12"/>
  <c r="M266" i="12" l="1"/>
  <c r="M265" i="12"/>
  <c r="M264" i="12"/>
  <c r="M262" i="12"/>
  <c r="M261" i="12"/>
  <c r="M260" i="12"/>
  <c r="M259" i="12"/>
  <c r="M258" i="12"/>
  <c r="M257" i="12"/>
  <c r="M256" i="12"/>
  <c r="M255" i="12"/>
  <c r="M254" i="12"/>
  <c r="M253" i="12"/>
  <c r="L266" i="12"/>
  <c r="L265" i="12"/>
  <c r="L264" i="12"/>
  <c r="L262" i="12"/>
  <c r="L261" i="12"/>
  <c r="L260" i="12"/>
  <c r="L259" i="12"/>
  <c r="L258" i="12"/>
  <c r="L257" i="12"/>
  <c r="K266" i="12"/>
  <c r="K265" i="12"/>
  <c r="K264" i="12"/>
  <c r="K262" i="12"/>
  <c r="K261" i="12"/>
  <c r="K260" i="12"/>
  <c r="K259" i="12"/>
  <c r="K258" i="12"/>
  <c r="K257" i="12"/>
  <c r="K256" i="12"/>
  <c r="K255" i="12"/>
  <c r="K254" i="12"/>
  <c r="K253" i="12"/>
  <c r="K250" i="12"/>
  <c r="J266" i="12"/>
  <c r="J264" i="12"/>
  <c r="K241" i="12"/>
  <c r="L241" i="12"/>
  <c r="M241" i="12"/>
  <c r="K214" i="12"/>
  <c r="L214" i="12"/>
  <c r="M214" i="12"/>
  <c r="K222" i="12"/>
  <c r="L222" i="12"/>
  <c r="M222" i="12"/>
  <c r="L219" i="12"/>
  <c r="M219" i="12"/>
  <c r="K208" i="12"/>
  <c r="L208" i="12"/>
  <c r="M208" i="12"/>
  <c r="K177" i="12"/>
  <c r="L177" i="12"/>
  <c r="L178" i="12" s="1"/>
  <c r="M177" i="12"/>
  <c r="K170" i="12"/>
  <c r="M170" i="12"/>
  <c r="K163" i="12"/>
  <c r="M163" i="12"/>
  <c r="K61" i="12"/>
  <c r="L61" i="12"/>
  <c r="M61" i="12"/>
  <c r="M55" i="12"/>
  <c r="K55" i="12"/>
  <c r="L55" i="12"/>
  <c r="K53" i="12"/>
  <c r="L53" i="12"/>
  <c r="M53" i="12"/>
  <c r="M45" i="12"/>
  <c r="L42" i="12"/>
  <c r="M42" i="12"/>
  <c r="M31" i="12"/>
  <c r="M23" i="12"/>
  <c r="J241" i="12"/>
  <c r="J238" i="12"/>
  <c r="J214" i="12"/>
  <c r="J222" i="12"/>
  <c r="J208" i="12"/>
  <c r="J177" i="12"/>
  <c r="J170" i="12"/>
  <c r="J165" i="12"/>
  <c r="J134" i="12"/>
  <c r="J105" i="12"/>
  <c r="J61" i="12"/>
  <c r="J56" i="12"/>
  <c r="J55" i="12"/>
  <c r="J53" i="12"/>
  <c r="J40" i="12"/>
  <c r="J254" i="12" s="1"/>
  <c r="J38" i="12"/>
  <c r="J35" i="12"/>
  <c r="J33" i="12"/>
  <c r="J28" i="12"/>
  <c r="J26" i="12"/>
  <c r="J25" i="12"/>
  <c r="J257" i="12" l="1"/>
  <c r="J58" i="12"/>
  <c r="J250" i="12"/>
  <c r="J223" i="12"/>
  <c r="J242" i="12" s="1"/>
  <c r="M51" i="12"/>
  <c r="M64" i="12" s="1"/>
  <c r="K223" i="12"/>
  <c r="K242" i="12" s="1"/>
  <c r="L51" i="12"/>
  <c r="L64" i="12" s="1"/>
  <c r="K51" i="12"/>
  <c r="K64" i="12" s="1"/>
  <c r="J42" i="12"/>
  <c r="J23" i="12"/>
  <c r="J31" i="12"/>
  <c r="J131" i="12"/>
  <c r="J178" i="12" s="1"/>
  <c r="M223" i="12"/>
  <c r="M242" i="12" s="1"/>
  <c r="M178" i="12"/>
  <c r="L223" i="12"/>
  <c r="L242" i="12" s="1"/>
  <c r="J265" i="12"/>
  <c r="J263" i="12" s="1"/>
  <c r="K178" i="12"/>
  <c r="M263" i="12"/>
  <c r="M249" i="12"/>
  <c r="M248" i="12" s="1"/>
  <c r="L263" i="12"/>
  <c r="K263" i="12"/>
  <c r="K249" i="12"/>
  <c r="K248" i="12" s="1"/>
  <c r="J51" i="12" l="1"/>
  <c r="J64" i="12" s="1"/>
  <c r="J243" i="12" s="1"/>
  <c r="J244" i="12" s="1"/>
  <c r="M243" i="12"/>
  <c r="M244" i="12" s="1"/>
  <c r="J249" i="12"/>
  <c r="J248" i="12" s="1"/>
  <c r="J267" i="12" s="1"/>
  <c r="L243" i="12"/>
  <c r="L244" i="12" s="1"/>
  <c r="K243" i="12"/>
  <c r="K244" i="12" s="1"/>
  <c r="L249" i="12"/>
  <c r="L248" i="12" s="1"/>
  <c r="L267" i="12" s="1"/>
  <c r="K267" i="12"/>
  <c r="M267" i="12"/>
  <c r="K269" i="12" l="1"/>
  <c r="L269" i="12"/>
  <c r="M269" i="12"/>
  <c r="J269" i="12"/>
</calcChain>
</file>

<file path=xl/comments1.xml><?xml version="1.0" encoding="utf-8"?>
<comments xmlns="http://schemas.openxmlformats.org/spreadsheetml/2006/main">
  <authors>
    <author>Snieguole Kacerauskaite</author>
    <author>Indrė Butenienė</author>
  </authors>
  <commentList>
    <comment ref="F42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(2020 m. - 398)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VšĮ "SOS kaimas"</t>
        </r>
      </text>
    </comment>
    <comment ref="J44" authorId="1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 BĮ Klaipėdos šeimos ir vaiko gerovės centras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139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40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43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F175" authorId="0" shapeId="0">
      <text>
        <r>
          <rPr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</text>
    </comment>
    <comment ref="F17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1.3. Išvystyti smulkiam verslui palankią ekosistemą </t>
        </r>
        <r>
          <rPr>
            <sz val="9"/>
            <color indexed="81"/>
            <rFont val="Tahoma"/>
            <family val="2"/>
            <charset val="186"/>
          </rPr>
          <t>(Klaipėdos m. IIT VVG vietos plėtros strategijoje 912 tūkst. Eur skirta SVV projektams vykdyti 2018-2022 m.</t>
        </r>
      </text>
    </comment>
    <comment ref="F199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6.3.4. Įrengta naujų vietų senyvo amžiaus asmenų globos namuose - 80 </t>
        </r>
      </text>
    </comment>
    <comment ref="F205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6.3.7. Grupinių gyvenimo namų įkūrimas vaikams, paliekantiems vaikų globos namus, vnt.</t>
        </r>
      </text>
    </comment>
    <comment ref="E211" authorId="0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F213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F217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(2020 m. - 398)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111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13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E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6.3. Socialinių paslaugų plėtra
6.3.4. Įrengta naujų vietų senyvo amžiaus asmenų globos namuose - 80 
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6.3.7. Grupinių gyvenimo namų įkūrimas vaikams, paliekantiems vaikų globos namus, vnt.</t>
        </r>
      </text>
    </comment>
    <comment ref="D179" authorId="0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E179" authorId="0" shapeId="0">
      <text>
        <r>
          <rPr>
            <sz val="9"/>
            <color indexed="81"/>
            <rFont val="Tahoma"/>
            <family val="2"/>
            <charset val="186"/>
          </rPr>
          <t xml:space="preserve">6.3. Socialinių paslaugų plėtra
6.3.9. Įsigyta ar pastatyta socialinio būsto butų,  vnt. </t>
        </r>
      </text>
    </comment>
    <comment ref="E182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</commentList>
</comments>
</file>

<file path=xl/sharedStrings.xml><?xml version="1.0" encoding="utf-8"?>
<sst xmlns="http://schemas.openxmlformats.org/spreadsheetml/2006/main" count="1139" uniqueCount="325">
  <si>
    <t>SOCIALINĖS ATSKIRTIES MAŽINIMO PROGRAMOS (NR. 12)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</si>
  <si>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</si>
  <si>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</si>
  <si>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</si>
  <si>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</si>
  <si>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</si>
  <si>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</si>
  <si>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</si>
  <si>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</si>
  <si>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</si>
  <si>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kriterijaus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</si>
  <si>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</si>
  <si>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</si>
  <si>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</si>
  <si>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</si>
  <si>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</si>
  <si>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</si>
  <si>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3</t>
  </si>
  <si>
    <t>SB(VB)</t>
  </si>
  <si>
    <t xml:space="preserve">Piniginės socialinės paramos nepasiturinčioms šeimoms ir vieniems gyvenantiems asmenims bei paramos mirties atveju teikimas, išmokant pašalpas ir kompensacijas </t>
  </si>
  <si>
    <t>SB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</si>
  <si>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</si>
  <si>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</si>
  <si>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</si>
  <si>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</si>
  <si>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</si>
  <si>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</si>
  <si>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</si>
  <si>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</si>
  <si>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</si>
  <si>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Mokinių iš mažas pajamas gaunančių šeimų nemokamo maitinimo gamybos išlaidų padengimas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</si>
  <si>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</si>
  <si>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</si>
  <si>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</si>
  <si>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</si>
  <si>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</si>
  <si>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</si>
  <si>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</si>
  <si>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05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</si>
  <si>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</si>
  <si>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</si>
  <si>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</si>
  <si>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SB(SP)</t>
  </si>
  <si>
    <t>Kt</t>
  </si>
  <si>
    <t>BĮ Klaipėdos miesto šeimos ir vaiko gerovės centre, iš jų:</t>
  </si>
  <si>
    <t>BĮ Klaipėdos vaikų globos namuose „Rytas“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</si>
  <si>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</si>
  <si>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</si>
  <si>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Psichosocialinės pagalbos teikimas šeimoms, auginančioms vaiką su negalia ir patiriančioms krizes</t>
  </si>
  <si>
    <t>Socialinių projektų dalinis finansavimas:</t>
  </si>
  <si>
    <t xml:space="preserve">Nevyriausybinių organizacijų socialinių projektų </t>
  </si>
  <si>
    <t xml:space="preserve">Socialinės reabilitacijos paslaugų neįgaliesiems bendruomenėje projektų </t>
  </si>
  <si>
    <t>Būsto pritaikymas neįgaliesiems</t>
  </si>
  <si>
    <t>6</t>
  </si>
  <si>
    <t>Pritaikyta butų neįgaliesiems, skaičius</t>
  </si>
  <si>
    <t>06</t>
  </si>
  <si>
    <t>07</t>
  </si>
  <si>
    <t>ES</t>
  </si>
  <si>
    <t>Teikiamų socialinių paslaugų infrastruktūros tobulinimas siekiant atitikti keliamus reikalavimus:</t>
  </si>
  <si>
    <t>I</t>
  </si>
  <si>
    <t xml:space="preserve">Užtikrinti Klaipėdos miesto socialinio būsto fondo plėtrą ir valstybės politikos, padedančios apsirūpinti būstu, įgyvendinimą </t>
  </si>
  <si>
    <t>Socialinio būsto fondo plėtra: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</si>
  <si>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</si>
  <si>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</si>
  <si>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</si>
  <si>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</si>
  <si>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</si>
  <si>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</si>
  <si>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</si>
  <si>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</si>
  <si>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</si>
  <si>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</si>
  <si>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</si>
  <si>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</si>
  <si>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</si>
  <si>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</si>
  <si>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</si>
  <si>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</si>
  <si>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</si>
  <si>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</si>
  <si>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</si>
  <si>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</si>
  <si>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</si>
  <si>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</si>
  <si>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IŠ VISO:</t>
  </si>
  <si>
    <t>Vietų skaičius įstaigoje</t>
  </si>
  <si>
    <t>SB(SPL)</t>
  </si>
  <si>
    <t>08</t>
  </si>
  <si>
    <t>09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</si>
  <si>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</si>
  <si>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</si>
  <si>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Pagalbos į namus paslaugos teikimas senyvo amžiaus asmenims ir suaugusiems asmenims su negalia</t>
  </si>
  <si>
    <t>Vidutiniškai per mėn. išmokamų laidojimo pašalpų skaičius</t>
  </si>
  <si>
    <t>Vidutinis išmokamų kompensacijų nepriklausomybės gynėjams skaičius per mėn.</t>
  </si>
  <si>
    <t>Būsto nuomos ar išperkamosios būsto nuomos mokesčių dalies kompensaciją gavusių asmenų skaičius</t>
  </si>
  <si>
    <t>Nemokamą maitinimą gaunančių mokinių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</si>
  <si>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</si>
  <si>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</si>
  <si>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Daugiabučių namų, kuriuose vykdomi atnaujinimo darbai, skaičius</t>
  </si>
  <si>
    <t>Savivaldybės butų, kuriuose pašalintos avarijų grėsmės ar padariniai, skaičius</t>
  </si>
  <si>
    <t>Nemokamo maitinimo organizavimas labdaros valgykloje Klaipėdos mieste gyvenantiems asmenims, nepajėgiantiems maitintis savo namuose</t>
  </si>
  <si>
    <t>Socialinės srities renginių organizavimas</t>
  </si>
  <si>
    <t>1.3.2.1</t>
  </si>
  <si>
    <t xml:space="preserve"> 1.3.3.2, 1.3.3.3, 1.3.3.5</t>
  </si>
  <si>
    <t>Būsto įsigijimas bendruomeniniams vaikų globos namams</t>
  </si>
  <si>
    <t>Paslaugų gavėjų skaičius</t>
  </si>
  <si>
    <t>Projekto „Kompleksinės paslaugos šeimai Klaipėdos mieste“ įgyvendinimas</t>
  </si>
  <si>
    <t xml:space="preserve"> </t>
  </si>
  <si>
    <t xml:space="preserve"> - smurto artimoje aplinkoje prevencijos priemonių įgyvendinimas</t>
  </si>
  <si>
    <t xml:space="preserve">Šîldoma įstaigų, skaičius 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</si>
  <si>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</si>
  <si>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Asmenų, kuriems teikiamos integracijos paslaugos, skaičius</t>
  </si>
  <si>
    <t>Prižiūrima eksploatuojamų keltuvų, vnt.</t>
  </si>
  <si>
    <t>Asmenų su sunkia negalia, kuriems teikiamos socialinės globos paslaugos, skaičius</t>
  </si>
  <si>
    <t>Paslaugas gavusių asmenų skaičius</t>
  </si>
  <si>
    <t>Savivaldybės socialinio būsto fondo gyvenamųjų namų statyba žemės sklypuose Irklų g. 1 ir Rambyno g. 14A</t>
  </si>
  <si>
    <t>BĮ Neįgaliųjų centre „Klaipėdos lakštutė“</t>
  </si>
  <si>
    <t>BĮ Klaipėdos miesto nakvynės namuose</t>
  </si>
  <si>
    <t>BĮ Klaipėdos vaikų globos namuose „Smiltelė“</t>
  </si>
  <si>
    <t>BĮ Klaipėdos socialinių paslaugų centre „Danė“</t>
  </si>
  <si>
    <t xml:space="preserve">Klaipėdos miesto integruotų investicijų teritorijos vietos veiklos grupės 2016–2022 metų vietos plėtros įgyvendinimas ir veiklų administravimas </t>
  </si>
  <si>
    <t>Atlikta rekonstravimo darbų, proc.</t>
  </si>
  <si>
    <t>Atliktas rekonstravimas, proc</t>
  </si>
  <si>
    <t xml:space="preserve">Butų pirkimas politiniams kaliniams ir tremtiniams bei jų šeimų nariams 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</si>
  <si>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</si>
  <si>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</si>
  <si>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 xml:space="preserve"> - projekto „Lietuva – kitataučių užuovėja“ įgyvendinimas;</t>
  </si>
  <si>
    <t>SB(ES)</t>
  </si>
  <si>
    <t>SB(ESA)</t>
  </si>
  <si>
    <t>Materialinės paramos Klaipėdos miesto savivaldybės gyventojams, atsidūrusiems sunkioje materialinėje padėtyje, teikimas</t>
  </si>
  <si>
    <t>Vidutinis materialinės paramos išmokų Klaipėdos miesto gyventojams, atsidūrusiems sunkioje materialinėje padėtyje, skaičius per mėn.</t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</si>
  <si>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>, projekto „Paslaugų organizavimo ir asmenų aptarnavimo kokybės gerinimas teikiant socialinę paramą Klaipėdos miesto savivaldybėje“ įgyvendinimas</t>
    </r>
  </si>
  <si>
    <t>Vietos bendruomenių savivaldos programos įgyvendinimas</t>
  </si>
  <si>
    <t>Iš dalies finansuota projektų</t>
  </si>
  <si>
    <t>SB(ESL)</t>
  </si>
  <si>
    <t>2020-ieji metai</t>
  </si>
  <si>
    <t>Atlikta rangos darbų, proc.</t>
  </si>
  <si>
    <t>700</t>
  </si>
  <si>
    <t>Paramos teikimas labiausiai skurstantiems asmenims, įgyvendinant projektą „Parama maisto produktais IV“ (projekto Nr. EPSF-2016-V-04-01)</t>
  </si>
  <si>
    <t>Vidutinis paramos gavėjo ir (ar) bendrai su juo gyvenančių asmenų skaičius per mėnesį</t>
  </si>
  <si>
    <t>Suteikta paramos rūbais, avalyne, kt., asmenų skaičius</t>
  </si>
  <si>
    <t xml:space="preserve">Dienos socialinės globos paslaugos įstaigoje gavėjų skaičius </t>
  </si>
  <si>
    <t>Pagalbos į namus paslaugos gavėjų skaičius</t>
  </si>
  <si>
    <t>Dienos socialinės globos paslaugos asmens namuose, gavėjų skaičius</t>
  </si>
  <si>
    <t xml:space="preserve">Vietų skaičius trumpalaikės soc. globos paslaugai gauti </t>
  </si>
  <si>
    <t>Planinis vaikų skaičius</t>
  </si>
  <si>
    <t>Dienos socialinę globą per mėn. gaunančių vaikų su negalia skaičius dienos socialinės globos centre</t>
  </si>
  <si>
    <t xml:space="preserve">Pagalbos į namus paslaugos gavėjų skaičius per mėnesį </t>
  </si>
  <si>
    <t>Vidutiniškai per dieną nemokamą maitinimą gaunančių asmenų skaičius</t>
  </si>
  <si>
    <t xml:space="preserve">Vidutinis šeimų, auginančių vaiką su negalia ir patiriančių krizes, skaičius per mėn. </t>
  </si>
  <si>
    <t>Laikiniesiems darbams įdarbintų bedarbių skaičius per metus</t>
  </si>
  <si>
    <t>Darbo rinkos politikos priemonių, skirtų socialinę atskirtį patiriantiems asmenims, vykdymas</t>
  </si>
  <si>
    <t xml:space="preserve">Parengta vadybos kokybės sistemos ar metodo įgyvendinimo / įdiegimo įstaigose dokumentacija, vnt. </t>
  </si>
  <si>
    <t xml:space="preserve">Nakvynės namų pastato (Viršutinė g. 21) rekonstravimas </t>
  </si>
  <si>
    <t>Sutrumpėjęs nuomininkų pasirinktos valstybės garantijos įvykdymo terminas, mėnesiai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</si>
  <si>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</si>
  <si>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>Paramos teikimas labiausiai skurstantiems asmenims, įgyvendinant projektą „Parama higienos prekėmis“ Nr. EPSF-2017-V-05-01</t>
  </si>
  <si>
    <t>Vaikų, gaunančių ilgalaikės globos paslaugas, skaičius</t>
  </si>
  <si>
    <t>Psichosocialinės pagalbos paslaugų gavėjų skaičius</t>
  </si>
  <si>
    <t>Darbuotojai, dalyvavę kompetencijų stiprinime, skaičius</t>
  </si>
  <si>
    <t>Įsigyta būstų, vnt.</t>
  </si>
  <si>
    <t>Nupirkta butų,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</si>
  <si>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</si>
  <si>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Projekto  </t>
    </r>
    <r>
      <rPr>
        <b/>
        <sz val="10"/>
        <rFont val="Times New Roman"/>
        <family val="1"/>
      </rPr>
      <t>„Integrali pagalba į namus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</si>
  <si>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____________________________________</t>
  </si>
  <si>
    <t>Pritaikyta būstų vaikams su sunkia negalia, vaikų skaičius</t>
  </si>
  <si>
    <t>SB'</t>
  </si>
  <si>
    <t xml:space="preserve">Budinčio globotojo veiklos organizavimas </t>
  </si>
  <si>
    <t>Įsigytas automobilis</t>
  </si>
  <si>
    <t xml:space="preserve">Vietų skaičius  intensyvios krizių įveikimo  pagalbos paslaugai gauti </t>
  </si>
  <si>
    <t>Įsigyta apsaugos ir priešgaisrinė sistema, vnt.</t>
  </si>
  <si>
    <t>Įsigyta virtuvės įranga, baldai, vnt.</t>
  </si>
  <si>
    <t>11</t>
  </si>
  <si>
    <t>Suremontuotų butų skaičius</t>
  </si>
  <si>
    <t>Suorganizuota renginių, skaičius</t>
  </si>
  <si>
    <t>SB(F)</t>
  </si>
  <si>
    <r>
      <t>Savivaldybės biudžeto lėšos, gautos už parduotus savivaldybės būstus</t>
    </r>
    <r>
      <rPr>
        <b/>
        <sz val="10"/>
        <rFont val="Times New Roman"/>
        <family val="1"/>
        <charset val="186"/>
      </rPr>
      <t xml:space="preserve"> SB(F)</t>
    </r>
  </si>
  <si>
    <t>Įveiklintas globos centras</t>
  </si>
  <si>
    <t>Sukurta papildomų darbo vietų</t>
  </si>
  <si>
    <t>Parengta metodinė programa</t>
  </si>
  <si>
    <t>SB(FL)</t>
  </si>
  <si>
    <t xml:space="preserve">Vidutinis prižiūrimų vaikų skaičius per mėnesį </t>
  </si>
  <si>
    <t>Išmokų gavėjų skaičius</t>
  </si>
  <si>
    <t>Suteikta transporto paslaugų, asmenų skaičius</t>
  </si>
  <si>
    <t>BĮ Klaipėdos miesto socialinės paramos centre, iš jų:</t>
  </si>
  <si>
    <t xml:space="preserve"> - kovos su prekyba žmonėmis prevencinių priemonių  įgyvendinimas;</t>
  </si>
  <si>
    <r>
      <t>Savivaldybės biudžeto lėšų, gautų už parduotus savivaldybės būstus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likutis </t>
    </r>
    <r>
      <rPr>
        <b/>
        <sz val="10"/>
        <rFont val="Times New Roman"/>
        <family val="1"/>
        <charset val="186"/>
      </rPr>
      <t>SB(FL)</t>
    </r>
  </si>
  <si>
    <t>Suteikta į namus paslaugų / socialinės globos asmens namuose paslaugų, asmenų skaičius</t>
  </si>
  <si>
    <t>Išduota techninės pagalbos priemonių, vnt./asmenų skaičius</t>
  </si>
  <si>
    <t>Pareigybių, skirtų padėti adaptuotis prieglobstį Lietuvos Respublikoje gavusiems  užsieniečiams, skaičius</t>
  </si>
  <si>
    <t>Organizuota tėvystės įgūdžių / globėjų (rūpintojų) mokymų skaičius</t>
  </si>
  <si>
    <t>Asmenų, pradėjusių gyventi savarankiškai, skaičius</t>
  </si>
  <si>
    <t>Suremontuota bendruomeninių vaikų globos namų, butų skaičius</t>
  </si>
  <si>
    <t>NVO projektų, gaunančių dalinį finansavimą iš savivaldybės biudžeto, skaičius / bendrojo finasavimo procentas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</si>
  <si>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</si>
  <si>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r>
      <t>Europos Sąjungos finansinės paramos lėšų likučio metų pradžioje lėšos</t>
    </r>
    <r>
      <rPr>
        <b/>
        <sz val="10"/>
        <rFont val="Times New Roman"/>
        <family val="1"/>
        <charset val="186"/>
      </rPr>
      <t xml:space="preserve"> SB(ESL)</t>
    </r>
  </si>
  <si>
    <t>Savivaldybės biudžetas, iš jo:</t>
  </si>
  <si>
    <t>SB(VBL)</t>
  </si>
  <si>
    <t xml:space="preserve"> - projekto„Vaikų gerovės ir saugumo didinimo, paslaugų šeimai, globėjams (rūpintojams) kokybės didinimo bei prieinamumo plėtra“ įgyvendinimas;</t>
  </si>
  <si>
    <t>Papriemonės kodas</t>
  </si>
  <si>
    <t>10</t>
  </si>
  <si>
    <t>Vykdytojas</t>
  </si>
  <si>
    <t>Iš dalies finansuotų projektų skaičius (reabilitacijai)</t>
  </si>
  <si>
    <t>Asmenų su sunkia negalia, kuriems teikiamos socialinės globos paslaugos, skaičius  (perkamos paslaugos)</t>
  </si>
  <si>
    <t>Asmenų su sunkia negalia, kuriems teikiamos socialinės globos paslaugos, skaičius  (Socialinės paramos centras)</t>
  </si>
  <si>
    <t>Asmenų su sunkia negalia, kuriems teikiamos socialinės globos paslaugos, skaičius  (Klaipėdos lakštutė)</t>
  </si>
  <si>
    <t>Asmenų su sunkia negalia, kuriems teikiamos socialinės globos paslaugos, skaičius  (Globos namai)</t>
  </si>
  <si>
    <t>Asmenų su sunkia negalia, kuriems teikiamos socialinės globos paslaugos, skaičius  (DANĖ)</t>
  </si>
  <si>
    <t>Asmenų su sunkia negalia, kuriems teikiamos socialinės globos paslaugos, skaičius  (Sutrikusio vystymosi kūdikių namai)</t>
  </si>
  <si>
    <t>2/3</t>
  </si>
  <si>
    <t>300/60</t>
  </si>
  <si>
    <t xml:space="preserve">Suteikta socialinių įgūdžių ugdymo ir palaikymo paslaugų socialinę riziką patyriančiose šeimose (kartų) </t>
  </si>
  <si>
    <t>Parengtas techn. projektas, vnt.</t>
  </si>
  <si>
    <t>P1</t>
  </si>
  <si>
    <t>Atlikta paprastųjų remonto darbų, proc.</t>
  </si>
  <si>
    <t xml:space="preserve">Klaipėdos vaikų globos namų „Smiltelė“ patalpų ir infrastruktūros pritaikymas vaikų dienos centro veiklai </t>
  </si>
  <si>
    <t xml:space="preserve">Automobilių stovėjimo aikštelės įrengimas žėmės sklype Rambyno g. 14 </t>
  </si>
  <si>
    <t xml:space="preserve">Budinčių globėjų skaičius per metus </t>
  </si>
  <si>
    <t>1/40</t>
  </si>
  <si>
    <t>P6</t>
  </si>
  <si>
    <t>Vidutiniškai per mėn. paslaugas gaunančių socialinę riziką patiriančių vaikų skaičius</t>
  </si>
  <si>
    <t>Socialinės paramos skyrius</t>
  </si>
  <si>
    <t xml:space="preserve">Projektų skyrius </t>
  </si>
  <si>
    <t>Projektų skyrius</t>
  </si>
  <si>
    <t>Pastatytas daugiabutis gyv. namas Rambyno g. 14A/butų skaičius</t>
  </si>
  <si>
    <t xml:space="preserve">  </t>
  </si>
  <si>
    <t>Įsigyta būstų, vnt</t>
  </si>
  <si>
    <r>
      <t xml:space="preserve">Kiti finansavimo šaltiniai </t>
    </r>
    <r>
      <rPr>
        <b/>
        <sz val="10"/>
        <rFont val="Times New Roman"/>
        <family val="1"/>
        <charset val="186"/>
      </rPr>
      <t xml:space="preserve">Kt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</si>
  <si>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t>Plėtoti socialinių paslaugų infrastruktūrą, įrengiant  naujus ir modernizuojant esamus socialines paslaugas teikiančių įstaigų pastatus, užtikrinti įstaigų ūkinį aptarnavimą</t>
  </si>
  <si>
    <t>Komunalinių paslaugų (šildymo, vandens, nuotekų) įsigijimas</t>
  </si>
  <si>
    <t>Tvarkoma paviršinių (lietaus) nuotekų, įstaigų skaičius</t>
  </si>
  <si>
    <t>Tvarkomas centralizuotas vandentiekis ir kanalizacija, įstaigų skaičius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</si>
  <si>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</si>
  <si>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Vykdoma projektų, skaičius</t>
  </si>
  <si>
    <t>Socialinių įgūdžių ugdymo, palaikymo ir (ar)  atkūrimo paslaugų teikimas vaikų dienos centre</t>
  </si>
  <si>
    <t>Įsigyta skalbinių džiovyklė, vnt.</t>
  </si>
  <si>
    <t xml:space="preserve"> Planas</t>
  </si>
  <si>
    <t xml:space="preserve"> Turto valdymo  skyrius</t>
  </si>
  <si>
    <t>Turto valdymo skyrius</t>
  </si>
  <si>
    <t>Planavimo ir analizės skyrius - programos sąmatų tvirtinimas</t>
  </si>
  <si>
    <t>Socialinės paramos skyrius - priemonės vykdymas,</t>
  </si>
  <si>
    <t>Statybos ir infrastruktūros plėtros skyrius</t>
  </si>
  <si>
    <t>Jaunimo ir bendruomenių reikalų koordinavimo grupė</t>
  </si>
  <si>
    <t>Įsigyta kompiuterių, vnt.</t>
  </si>
  <si>
    <t xml:space="preserve">Papildomai nupirkta paslaugų vaikams iš socialinės rizikos šeimų, vaikų skaičius </t>
  </si>
  <si>
    <t>Bendruomenių įtraukties į sprendimų priėmimą modelio parengimas</t>
  </si>
  <si>
    <t>Nutolusių klientų aptarnavimo centrų (KAC) steigimo analizės parengimas</t>
  </si>
  <si>
    <t>Vyr. patarėjas D. Petrolevičius</t>
  </si>
  <si>
    <t>Parengtas modelis</t>
  </si>
  <si>
    <t>Parengta analizė, vnt.</t>
  </si>
  <si>
    <t>1000/ 800</t>
  </si>
  <si>
    <t>Darbuotojų, kuriems skirtos vienkartinės premijos, skaičius</t>
  </si>
  <si>
    <t>Darbuotojų skaičius, kuriems padidintas darbo užmokestis karantino metu</t>
  </si>
  <si>
    <t>Darbuotojų, kuriems padidintas darbo užmokestis karantino metu, skaičius</t>
  </si>
  <si>
    <t>Socialinio būsto skyrius</t>
  </si>
  <si>
    <t>2020 m. asignavimų planas*</t>
  </si>
  <si>
    <t>2021 m. asignavimų projektas</t>
  </si>
  <si>
    <t>2022 m. asignavimų projektas</t>
  </si>
  <si>
    <t>2023 m. asignavimų projektas</t>
  </si>
  <si>
    <t>2021-ieji metai</t>
  </si>
  <si>
    <t>2022-ieji metai</t>
  </si>
  <si>
    <t>2023-ieji metai</t>
  </si>
  <si>
    <t>Parengta piliečių chartija, vnt.</t>
  </si>
  <si>
    <t>Įsigyta įranga, baldai, proc.</t>
  </si>
  <si>
    <t xml:space="preserve">Vaikų dienos centruose socialinių įgūdžių ir palaikymo paslaugas gaunančių vaikų skaičius </t>
  </si>
  <si>
    <t>Sporto salės remontas BĮ Klaipėdos socialinių paslaugų centre „Danė“ (Kretingos g. 44)</t>
  </si>
  <si>
    <t>Atlikti remonto darbai, proc.</t>
  </si>
  <si>
    <t>Parengtas techninis projektas</t>
  </si>
  <si>
    <t>Grupinio gyvenimo namų steigimo neįgaliems jaunuoliams, išeinantiems iš vaikų globos namų, inicijavimas</t>
  </si>
  <si>
    <t xml:space="preserve">2020–2023 M. KLAIPĖDOS MIESTO SAVIVALDYBĖS  </t>
  </si>
  <si>
    <t>1000/   800</t>
  </si>
  <si>
    <t xml:space="preserve">Dienos socialinę globą per mėn. gaunančių asmenų  su psichine negalia dienos socialinės globos centre skaičius </t>
  </si>
  <si>
    <t>2</t>
  </si>
  <si>
    <t xml:space="preserve">Statinių administravimo  skyrius  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</si>
  <si>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</si>
  <si>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Asmenų gaunančių priedus už administravimą, skaičius</t>
  </si>
  <si>
    <t>Vidutinis asmenų, gavusių piniginę socialinę paramą nepasiturintiems gyventojams, kurių turimas turtas laikinai nevertinamas, skaičius per mėn.</t>
  </si>
  <si>
    <t>Dienos globos asmens namuose teikimas asmenims su negalia</t>
  </si>
  <si>
    <t>Paslaugos gavėjų skaičius per mėnesį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</si>
  <si>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</si>
  <si>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r>
      <t xml:space="preserve">Laikino apgyvendinimo namų infrastruktūros modernizavimas </t>
    </r>
    <r>
      <rPr>
        <sz val="10"/>
        <rFont val="Times New Roman"/>
        <family val="1"/>
      </rPr>
      <t xml:space="preserve">(Šilutės pl. 8, nakvynės namai) </t>
    </r>
  </si>
  <si>
    <r>
      <t xml:space="preserve">Senyvo amžiaus asmenų globos paslaugų plėtra </t>
    </r>
    <r>
      <rPr>
        <sz val="10"/>
        <rFont val="Times New Roman"/>
        <family val="1"/>
      </rPr>
      <t xml:space="preserve">rekonstruojant pastatą, esantį Melnragės gyvenamąjame rajone, Vaivos g. 23 </t>
    </r>
  </si>
  <si>
    <t>Savivaldybės socialinio būsto fondo gyvenamųjų namų statyba žemės sklype Akmenų g. 1 B</t>
  </si>
  <si>
    <t>* Pagal Klaipėdos miesto savivaldybės tarybos 2020-10-29 sprendimą T2-231</t>
  </si>
  <si>
    <t>Atlikta aplinkos sutvarkymo darbų, proc.</t>
  </si>
  <si>
    <t xml:space="preserve"> Projektų skyrius</t>
  </si>
  <si>
    <r>
      <t>Projekto „</t>
    </r>
    <r>
      <rPr>
        <b/>
        <sz val="10"/>
        <rFont val="Times New Roman"/>
        <family val="1"/>
        <charset val="186"/>
      </rPr>
      <t>Bendruomeninių vaikų globos namų steigimas Klaipėdos mieste“</t>
    </r>
    <r>
      <rPr>
        <sz val="10"/>
        <rFont val="Times New Roman"/>
        <family val="1"/>
        <charset val="186"/>
      </rPr>
      <t xml:space="preserve"> įgyvendinimas (Kalvos g. 4)</t>
    </r>
  </si>
  <si>
    <t>Nakvynės namų (Dubysos g. 39) sanitarinių mazgų remontas</t>
  </si>
  <si>
    <r>
      <t xml:space="preserve">Savivaldybei piniginei socialinei paramai finansuoti skirtos lėšos </t>
    </r>
    <r>
      <rPr>
        <b/>
        <sz val="10"/>
        <rFont val="Times New Roman"/>
        <family val="1"/>
        <charset val="186"/>
      </rPr>
      <t>SB(S)</t>
    </r>
  </si>
  <si>
    <t>SB(S)</t>
  </si>
  <si>
    <t>Akredituotos vaikų dienos socialinės priežiūros organizavimas</t>
  </si>
  <si>
    <t>Įstaigų skaičius</t>
  </si>
  <si>
    <t>Integravimo į darbo rinką projektų veiklose dalyvaujančių asmenų skaičius per metus</t>
  </si>
  <si>
    <t xml:space="preserve">Įrengta naujų vietų senyvo amžiaus asmenų globos namuose, vnt. </t>
  </si>
  <si>
    <t>Atlikta darbų, proc.</t>
  </si>
  <si>
    <t>841</t>
  </si>
  <si>
    <t>Planas</t>
  </si>
  <si>
    <t xml:space="preserve">2021–2023 M. KLAIPĖDOS MIESTO SAVIVALDYBĖS  </t>
  </si>
  <si>
    <t xml:space="preserve">Klaipėdos miesto savivaldybės socialinės atskirties mažinimo programos (Nr. 12) aprašymo </t>
  </si>
  <si>
    <t>priedas</t>
  </si>
  <si>
    <t>SB(VB)'</t>
  </si>
  <si>
    <t>SB(S)'</t>
  </si>
  <si>
    <t>SB(SP)'</t>
  </si>
  <si>
    <t>SB(SPL)'</t>
  </si>
  <si>
    <t>Kt'</t>
  </si>
  <si>
    <t>LRVB'</t>
  </si>
  <si>
    <t>ES'</t>
  </si>
  <si>
    <t>SB(ESA)'</t>
  </si>
  <si>
    <t>SB(ES)'</t>
  </si>
  <si>
    <t>SB''</t>
  </si>
  <si>
    <t>BĮ Klaipėdos miesto globos namuose</t>
  </si>
  <si>
    <t>SB(L)'</t>
  </si>
  <si>
    <t>SB(ESL)'</t>
  </si>
  <si>
    <t>SB(F)'</t>
  </si>
  <si>
    <t>SB(FL)'</t>
  </si>
  <si>
    <t>Profesinės sąjungos narių skaičius</t>
  </si>
  <si>
    <t>2021 m.</t>
  </si>
  <si>
    <t>2023 m.</t>
  </si>
  <si>
    <t>2022 m.</t>
  </si>
  <si>
    <t>Asmenų su sunkia negalia, kuriems teikiamos socialinės globos paslaugos, skaičius  („Klaipėdos lakštutė“)</t>
  </si>
  <si>
    <t>Asmenų su sunkia negalia, kuriems teikiamos socialinės globos paslaugos, skaičius  („Danė“)</t>
  </si>
  <si>
    <t xml:space="preserve">Suteikta socialinių įgūdžių ugdymo ir palaikymo paslaugų socialinę riziką patiriančiose šeimose (kartų) </t>
  </si>
  <si>
    <t>Socialinių įgūdžių ugdymo, palaikymo ir (ar) atkūrimo paslaugų teikimas vaikų dienos centre</t>
  </si>
  <si>
    <t>Savivaldybės socialinio būsto fondo gyvenamųjų namų statyba žemės sklype Akmenų g. 1B</t>
  </si>
  <si>
    <t>Aiškinamojo rašto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</si>
</sst>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8"/>
      <name val="Times New Roman"/>
      <family val="1"/>
    </font>
    <font>
      <i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9" fillId="0" borderId="0" applyBorder="0" applyProtection="0"/>
  </cellStyleXfs>
  <cellXfs count="1709">
    <xf numFmtId="0" fontId="0" fillId="0" borderId="0" xfId="0"/>
    <xf numFmtId="3" fontId="2" fillId="0" borderId="0" xfId="0" applyNumberFormat="1" applyFont="1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2" borderId="34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center" vertical="top" wrapText="1"/>
    </xf>
    <xf numFmtId="49" fontId="4" fillId="0" borderId="54" xfId="0" applyNumberFormat="1" applyFont="1" applyFill="1" applyBorder="1" applyAlignment="1">
      <alignment horizontal="center" vertical="top"/>
    </xf>
    <xf numFmtId="164" fontId="4" fillId="3" borderId="42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/>
    </xf>
    <xf numFmtId="3" fontId="3" fillId="2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vertical="top" wrapText="1"/>
    </xf>
    <xf numFmtId="3" fontId="3" fillId="0" borderId="54" xfId="0" applyNumberFormat="1" applyFont="1" applyBorder="1" applyAlignment="1">
      <alignment horizontal="center" vertical="top" wrapText="1"/>
    </xf>
    <xf numFmtId="49" fontId="4" fillId="0" borderId="60" xfId="0" applyNumberFormat="1" applyFont="1" applyFill="1" applyBorder="1" applyAlignment="1">
      <alignment horizontal="center" vertical="top"/>
    </xf>
    <xf numFmtId="3" fontId="2" fillId="0" borderId="0" xfId="0" applyNumberFormat="1" applyFont="1" applyBorder="1"/>
    <xf numFmtId="3" fontId="6" fillId="0" borderId="54" xfId="0" applyNumberFormat="1" applyFont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3" fontId="3" fillId="2" borderId="64" xfId="0" applyNumberFormat="1" applyFont="1" applyFill="1" applyBorder="1" applyAlignment="1">
      <alignment horizontal="center" vertical="top"/>
    </xf>
    <xf numFmtId="3" fontId="6" fillId="0" borderId="7" xfId="0" applyNumberFormat="1" applyFont="1" applyBorder="1" applyAlignment="1">
      <alignment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vertical="top" wrapText="1"/>
    </xf>
    <xf numFmtId="3" fontId="4" fillId="0" borderId="62" xfId="0" applyNumberFormat="1" applyFont="1" applyFill="1" applyBorder="1" applyAlignment="1">
      <alignment vertical="top" wrapText="1"/>
    </xf>
    <xf numFmtId="3" fontId="4" fillId="3" borderId="41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Border="1" applyAlignment="1">
      <alignment horizontal="center" vertical="top" wrapText="1"/>
    </xf>
    <xf numFmtId="3" fontId="4" fillId="3" borderId="61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12" fillId="0" borderId="0" xfId="0" applyNumberFormat="1" applyFont="1"/>
    <xf numFmtId="3" fontId="14" fillId="0" borderId="0" xfId="0" applyNumberFormat="1" applyFont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top" textRotation="180" wrapText="1"/>
    </xf>
    <xf numFmtId="164" fontId="3" fillId="5" borderId="30" xfId="0" applyNumberFormat="1" applyFont="1" applyFill="1" applyBorder="1" applyAlignment="1">
      <alignment horizontal="center" vertical="top"/>
    </xf>
    <xf numFmtId="164" fontId="4" fillId="3" borderId="30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164" fontId="1" fillId="3" borderId="41" xfId="0" applyNumberFormat="1" applyFont="1" applyFill="1" applyBorder="1" applyAlignment="1">
      <alignment horizontal="center" vertical="top"/>
    </xf>
    <xf numFmtId="3" fontId="1" fillId="2" borderId="14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3" fontId="1" fillId="2" borderId="13" xfId="0" applyNumberFormat="1" applyFont="1" applyFill="1" applyBorder="1" applyAlignment="1">
      <alignment horizontal="center" vertical="top"/>
    </xf>
    <xf numFmtId="3" fontId="4" fillId="0" borderId="39" xfId="0" applyNumberFormat="1" applyFont="1" applyBorder="1" applyAlignment="1">
      <alignment horizontal="center" vertical="top" textRotation="90"/>
    </xf>
    <xf numFmtId="3" fontId="4" fillId="0" borderId="36" xfId="0" applyNumberFormat="1" applyFont="1" applyBorder="1" applyAlignment="1">
      <alignment horizontal="center" vertical="top" textRotation="90"/>
    </xf>
    <xf numFmtId="3" fontId="4" fillId="0" borderId="0" xfId="0" applyNumberFormat="1" applyFont="1" applyBorder="1" applyAlignment="1">
      <alignment horizontal="center" vertical="top" textRotation="90"/>
    </xf>
    <xf numFmtId="3" fontId="4" fillId="0" borderId="62" xfId="0" applyNumberFormat="1" applyFont="1" applyBorder="1" applyAlignment="1">
      <alignment horizontal="center" vertical="top" textRotation="90"/>
    </xf>
    <xf numFmtId="3" fontId="1" fillId="0" borderId="39" xfId="0" applyNumberFormat="1" applyFont="1" applyFill="1" applyBorder="1" applyAlignment="1">
      <alignment vertical="center" textRotation="90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3" borderId="45" xfId="0" applyNumberFormat="1" applyFont="1" applyFill="1" applyBorder="1" applyAlignment="1">
      <alignment horizontal="center" vertical="top"/>
    </xf>
    <xf numFmtId="164" fontId="1" fillId="3" borderId="42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1" fillId="3" borderId="16" xfId="0" applyNumberFormat="1" applyFont="1" applyFill="1" applyBorder="1" applyAlignment="1">
      <alignment vertical="top" wrapText="1"/>
    </xf>
    <xf numFmtId="3" fontId="4" fillId="4" borderId="37" xfId="0" applyNumberFormat="1" applyFont="1" applyFill="1" applyBorder="1" applyAlignment="1">
      <alignment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vertical="center" textRotation="90" wrapText="1"/>
    </xf>
    <xf numFmtId="3" fontId="4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3" borderId="0" xfId="0" applyNumberFormat="1" applyFont="1" applyFill="1" applyBorder="1" applyAlignment="1">
      <alignment horizontal="center" vertical="top"/>
    </xf>
    <xf numFmtId="3" fontId="4" fillId="3" borderId="54" xfId="0" applyNumberFormat="1" applyFont="1" applyFill="1" applyBorder="1" applyAlignment="1">
      <alignment horizontal="center" vertical="top"/>
    </xf>
    <xf numFmtId="3" fontId="6" fillId="0" borderId="14" xfId="0" applyNumberFormat="1" applyFont="1" applyBorder="1" applyAlignment="1">
      <alignment horizontal="center" vertical="top"/>
    </xf>
    <xf numFmtId="3" fontId="4" fillId="3" borderId="30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 textRotation="90"/>
    </xf>
    <xf numFmtId="3" fontId="4" fillId="0" borderId="45" xfId="0" applyNumberFormat="1" applyFont="1" applyFill="1" applyBorder="1" applyAlignment="1">
      <alignment horizontal="center" vertical="top"/>
    </xf>
    <xf numFmtId="3" fontId="3" fillId="5" borderId="55" xfId="0" applyNumberFormat="1" applyFont="1" applyFill="1" applyBorder="1" applyAlignment="1">
      <alignment horizontal="center" vertical="top"/>
    </xf>
    <xf numFmtId="3" fontId="4" fillId="4" borderId="42" xfId="0" applyNumberFormat="1" applyFont="1" applyFill="1" applyBorder="1" applyAlignment="1">
      <alignment horizontal="center" vertical="top" wrapText="1"/>
    </xf>
    <xf numFmtId="3" fontId="3" fillId="5" borderId="42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3" fontId="4" fillId="3" borderId="45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center" textRotation="90" wrapText="1"/>
    </xf>
    <xf numFmtId="3" fontId="1" fillId="3" borderId="45" xfId="0" applyNumberFormat="1" applyFont="1" applyFill="1" applyBorder="1" applyAlignment="1">
      <alignment horizontal="center" vertical="top"/>
    </xf>
    <xf numFmtId="164" fontId="6" fillId="5" borderId="30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 wrapText="1"/>
    </xf>
    <xf numFmtId="164" fontId="6" fillId="3" borderId="42" xfId="0" applyNumberFormat="1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top" wrapText="1"/>
    </xf>
    <xf numFmtId="3" fontId="1" fillId="3" borderId="54" xfId="0" applyNumberFormat="1" applyFont="1" applyFill="1" applyBorder="1" applyAlignment="1">
      <alignment horizontal="center" vertical="top"/>
    </xf>
    <xf numFmtId="3" fontId="4" fillId="3" borderId="37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/>
    </xf>
    <xf numFmtId="3" fontId="4" fillId="3" borderId="31" xfId="0" applyNumberFormat="1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/>
    </xf>
    <xf numFmtId="164" fontId="4" fillId="3" borderId="37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vertical="top"/>
    </xf>
    <xf numFmtId="164" fontId="6" fillId="3" borderId="41" xfId="0" applyNumberFormat="1" applyFont="1" applyFill="1" applyBorder="1" applyAlignment="1">
      <alignment horizontal="center" vertical="top"/>
    </xf>
    <xf numFmtId="164" fontId="6" fillId="3" borderId="0" xfId="0" applyNumberFormat="1" applyFont="1" applyFill="1" applyBorder="1" applyAlignment="1">
      <alignment horizontal="center" vertical="top"/>
    </xf>
    <xf numFmtId="3" fontId="3" fillId="7" borderId="33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3" fontId="3" fillId="7" borderId="41" xfId="0" applyNumberFormat="1" applyFont="1" applyFill="1" applyBorder="1" applyAlignment="1">
      <alignment horizontal="center" vertical="top"/>
    </xf>
    <xf numFmtId="3" fontId="3" fillId="7" borderId="62" xfId="0" applyNumberFormat="1" applyFont="1" applyFill="1" applyBorder="1" applyAlignment="1">
      <alignment horizontal="center" vertical="top"/>
    </xf>
    <xf numFmtId="3" fontId="3" fillId="7" borderId="36" xfId="0" applyNumberFormat="1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 wrapText="1"/>
    </xf>
    <xf numFmtId="3" fontId="1" fillId="7" borderId="39" xfId="0" applyNumberFormat="1" applyFont="1" applyFill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4" borderId="28" xfId="0" applyNumberFormat="1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3" fontId="4" fillId="3" borderId="30" xfId="0" applyNumberFormat="1" applyFont="1" applyFill="1" applyBorder="1" applyAlignment="1">
      <alignment vertical="top" wrapText="1"/>
    </xf>
    <xf numFmtId="3" fontId="3" fillId="3" borderId="43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3" borderId="3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3" fontId="4" fillId="3" borderId="35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3" fontId="3" fillId="3" borderId="61" xfId="0" applyNumberFormat="1" applyFont="1" applyFill="1" applyBorder="1" applyAlignment="1">
      <alignment horizontal="center" vertical="top" wrapText="1"/>
    </xf>
    <xf numFmtId="3" fontId="3" fillId="3" borderId="54" xfId="0" applyNumberFormat="1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vertical="top" wrapText="1"/>
    </xf>
    <xf numFmtId="3" fontId="1" fillId="3" borderId="42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 wrapText="1"/>
    </xf>
    <xf numFmtId="3" fontId="6" fillId="5" borderId="5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 wrapText="1"/>
    </xf>
    <xf numFmtId="3" fontId="3" fillId="5" borderId="55" xfId="0" applyNumberFormat="1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  <xf numFmtId="0" fontId="6" fillId="5" borderId="55" xfId="0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vertical="top"/>
    </xf>
    <xf numFmtId="3" fontId="4" fillId="0" borderId="41" xfId="0" applyNumberFormat="1" applyFont="1" applyBorder="1" applyAlignment="1">
      <alignment vertical="center" textRotation="90"/>
    </xf>
    <xf numFmtId="0" fontId="4" fillId="0" borderId="41" xfId="0" applyFont="1" applyFill="1" applyBorder="1" applyAlignment="1">
      <alignment vertical="top" wrapText="1"/>
    </xf>
    <xf numFmtId="165" fontId="3" fillId="5" borderId="55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/>
    </xf>
    <xf numFmtId="3" fontId="1" fillId="0" borderId="71" xfId="0" applyNumberFormat="1" applyFont="1" applyFill="1" applyBorder="1" applyAlignment="1">
      <alignment vertical="center" textRotation="90" wrapText="1"/>
    </xf>
    <xf numFmtId="3" fontId="4" fillId="0" borderId="16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3" fontId="4" fillId="3" borderId="60" xfId="0" applyNumberFormat="1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3" fillId="5" borderId="11" xfId="0" applyNumberFormat="1" applyFont="1" applyFill="1" applyBorder="1" applyAlignment="1">
      <alignment horizontal="center" vertical="top"/>
    </xf>
    <xf numFmtId="3" fontId="4" fillId="3" borderId="54" xfId="0" applyNumberFormat="1" applyFont="1" applyFill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3" fillId="9" borderId="23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 wrapText="1"/>
    </xf>
    <xf numFmtId="164" fontId="6" fillId="8" borderId="73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vertical="top"/>
    </xf>
    <xf numFmtId="3" fontId="4" fillId="3" borderId="30" xfId="0" applyNumberFormat="1" applyFont="1" applyFill="1" applyBorder="1" applyAlignment="1">
      <alignment horizontal="center" vertical="top" wrapText="1"/>
    </xf>
    <xf numFmtId="164" fontId="4" fillId="3" borderId="30" xfId="0" applyNumberFormat="1" applyFont="1" applyFill="1" applyBorder="1" applyAlignment="1">
      <alignment horizontal="center" vertical="top"/>
    </xf>
    <xf numFmtId="164" fontId="6" fillId="5" borderId="46" xfId="0" applyNumberFormat="1" applyFon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5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1" fillId="3" borderId="46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164" fontId="6" fillId="2" borderId="73" xfId="0" applyNumberFormat="1" applyFont="1" applyFill="1" applyBorder="1" applyAlignment="1">
      <alignment horizontal="center" vertical="top"/>
    </xf>
    <xf numFmtId="164" fontId="3" fillId="7" borderId="73" xfId="0" applyNumberFormat="1" applyFont="1" applyFill="1" applyBorder="1" applyAlignment="1">
      <alignment horizontal="center" vertical="top"/>
    </xf>
    <xf numFmtId="164" fontId="3" fillId="8" borderId="25" xfId="0" applyNumberFormat="1" applyFont="1" applyFill="1" applyBorder="1" applyAlignment="1">
      <alignment horizontal="center" vertical="top" wrapText="1"/>
    </xf>
    <xf numFmtId="164" fontId="4" fillId="3" borderId="38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4" fontId="6" fillId="5" borderId="58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3" borderId="40" xfId="0" applyNumberFormat="1" applyFont="1" applyFill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3" borderId="46" xfId="0" applyNumberFormat="1" applyFont="1" applyFill="1" applyBorder="1" applyAlignment="1">
      <alignment horizontal="center" vertical="top" wrapText="1"/>
    </xf>
    <xf numFmtId="164" fontId="4" fillId="3" borderId="40" xfId="0" applyNumberFormat="1" applyFont="1" applyFill="1" applyBorder="1" applyAlignment="1">
      <alignment horizontal="center" vertical="top" wrapText="1"/>
    </xf>
    <xf numFmtId="164" fontId="4" fillId="4" borderId="48" xfId="0" applyNumberFormat="1" applyFont="1" applyFill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vertical="top"/>
    </xf>
    <xf numFmtId="3" fontId="4" fillId="3" borderId="7" xfId="0" applyNumberFormat="1" applyFont="1" applyFill="1" applyBorder="1" applyAlignment="1">
      <alignment vertical="top" wrapText="1"/>
    </xf>
    <xf numFmtId="3" fontId="4" fillId="3" borderId="25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4" fillId="4" borderId="54" xfId="0" applyNumberFormat="1" applyFont="1" applyFill="1" applyBorder="1" applyAlignment="1">
      <alignment horizontal="center" vertical="top"/>
    </xf>
    <xf numFmtId="49" fontId="4" fillId="4" borderId="60" xfId="0" applyNumberFormat="1" applyFont="1" applyFill="1" applyBorder="1" applyAlignment="1">
      <alignment horizontal="center" vertical="top"/>
    </xf>
    <xf numFmtId="49" fontId="4" fillId="4" borderId="53" xfId="0" applyNumberFormat="1" applyFont="1" applyFill="1" applyBorder="1" applyAlignment="1">
      <alignment horizontal="center" vertical="top"/>
    </xf>
    <xf numFmtId="49" fontId="4" fillId="4" borderId="45" xfId="0" applyNumberFormat="1" applyFont="1" applyFill="1" applyBorder="1" applyAlignment="1">
      <alignment horizontal="center" vertical="top"/>
    </xf>
    <xf numFmtId="49" fontId="4" fillId="4" borderId="4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 textRotation="180" wrapText="1"/>
    </xf>
    <xf numFmtId="3" fontId="1" fillId="0" borderId="26" xfId="0" applyNumberFormat="1" applyFont="1" applyBorder="1" applyAlignment="1">
      <alignment horizontal="center" vertical="center" textRotation="90"/>
    </xf>
    <xf numFmtId="3" fontId="2" fillId="3" borderId="60" xfId="0" applyNumberFormat="1" applyFont="1" applyFill="1" applyBorder="1" applyAlignment="1">
      <alignment horizontal="center" vertical="top" wrapText="1"/>
    </xf>
    <xf numFmtId="0" fontId="10" fillId="3" borderId="60" xfId="0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5" fontId="6" fillId="2" borderId="7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3" fontId="10" fillId="3" borderId="61" xfId="0" applyNumberFormat="1" applyFont="1" applyFill="1" applyBorder="1" applyAlignment="1">
      <alignment horizontal="center" vertical="top" wrapText="1"/>
    </xf>
    <xf numFmtId="164" fontId="1" fillId="3" borderId="48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vertical="center" textRotation="90" wrapText="1"/>
    </xf>
    <xf numFmtId="3" fontId="1" fillId="0" borderId="42" xfId="0" applyNumberFormat="1" applyFont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4" fillId="3" borderId="6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3" borderId="53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165" fontId="4" fillId="3" borderId="46" xfId="0" applyNumberFormat="1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 wrapText="1"/>
    </xf>
    <xf numFmtId="49" fontId="1" fillId="4" borderId="65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65" xfId="0" applyNumberFormat="1" applyFont="1" applyFill="1" applyBorder="1" applyAlignment="1">
      <alignment horizontal="center" vertical="top"/>
    </xf>
    <xf numFmtId="3" fontId="6" fillId="0" borderId="68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 vertical="top"/>
    </xf>
    <xf numFmtId="3" fontId="1" fillId="3" borderId="51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6" fillId="3" borderId="41" xfId="0" applyNumberFormat="1" applyFont="1" applyFill="1" applyBorder="1" applyAlignment="1">
      <alignment horizontal="center" vertical="center" wrapText="1"/>
    </xf>
    <xf numFmtId="3" fontId="3" fillId="9" borderId="4" xfId="0" applyNumberFormat="1" applyFont="1" applyFill="1" applyBorder="1" applyAlignment="1">
      <alignment horizontal="center" vertical="top"/>
    </xf>
    <xf numFmtId="3" fontId="3" fillId="9" borderId="13" xfId="0" applyNumberFormat="1" applyFont="1" applyFill="1" applyBorder="1" applyAlignment="1">
      <alignment vertical="top"/>
    </xf>
    <xf numFmtId="3" fontId="3" fillId="9" borderId="13" xfId="0" applyNumberFormat="1" applyFont="1" applyFill="1" applyBorder="1" applyAlignment="1">
      <alignment horizontal="center" vertical="top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65" xfId="0" applyNumberFormat="1" applyFont="1" applyFill="1" applyBorder="1" applyAlignment="1">
      <alignment horizontal="center" vertical="top"/>
    </xf>
    <xf numFmtId="3" fontId="6" fillId="3" borderId="39" xfId="0" applyNumberFormat="1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left" vertical="top" wrapText="1"/>
    </xf>
    <xf numFmtId="3" fontId="4" fillId="0" borderId="42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/>
    </xf>
    <xf numFmtId="0" fontId="15" fillId="3" borderId="0" xfId="0" applyFont="1" applyFill="1"/>
    <xf numFmtId="0" fontId="22" fillId="3" borderId="0" xfId="0" applyFont="1" applyFill="1" applyBorder="1"/>
    <xf numFmtId="164" fontId="4" fillId="11" borderId="30" xfId="1" applyNumberFormat="1" applyFont="1" applyFill="1" applyBorder="1" applyAlignment="1">
      <alignment horizontal="center" vertical="top"/>
    </xf>
    <xf numFmtId="164" fontId="4" fillId="11" borderId="49" xfId="1" applyNumberFormat="1" applyFont="1" applyFill="1" applyBorder="1" applyAlignment="1">
      <alignment horizontal="center" vertical="top"/>
    </xf>
    <xf numFmtId="164" fontId="1" fillId="3" borderId="48" xfId="1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49" fontId="1" fillId="3" borderId="0" xfId="1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vertical="top" wrapText="1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164" fontId="1" fillId="3" borderId="42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center" vertical="top"/>
    </xf>
    <xf numFmtId="164" fontId="4" fillId="11" borderId="41" xfId="1" applyNumberFormat="1" applyFont="1" applyFill="1" applyBorder="1" applyAlignment="1">
      <alignment horizontal="center" vertical="top"/>
    </xf>
    <xf numFmtId="0" fontId="4" fillId="3" borderId="30" xfId="0" applyFont="1" applyFill="1" applyBorder="1" applyAlignment="1">
      <alignment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3" fontId="1" fillId="4" borderId="0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top" wrapText="1"/>
    </xf>
    <xf numFmtId="3" fontId="17" fillId="3" borderId="16" xfId="0" applyNumberFormat="1" applyFont="1" applyFill="1" applyBorder="1" applyAlignment="1">
      <alignment horizontal="left" vertical="top" wrapText="1"/>
    </xf>
    <xf numFmtId="3" fontId="4" fillId="0" borderId="30" xfId="0" applyNumberFormat="1" applyFont="1" applyFill="1" applyBorder="1" applyAlignment="1">
      <alignment horizontal="left" vertical="top" wrapText="1"/>
    </xf>
    <xf numFmtId="3" fontId="4" fillId="0" borderId="46" xfId="0" applyNumberFormat="1" applyFont="1" applyFill="1" applyBorder="1" applyAlignment="1">
      <alignment horizontal="left" vertical="top" wrapText="1"/>
    </xf>
    <xf numFmtId="164" fontId="1" fillId="3" borderId="40" xfId="1" applyNumberFormat="1" applyFont="1" applyFill="1" applyBorder="1" applyAlignment="1">
      <alignment horizontal="center" vertical="top"/>
    </xf>
    <xf numFmtId="3" fontId="6" fillId="3" borderId="49" xfId="0" applyNumberFormat="1" applyFont="1" applyFill="1" applyBorder="1" applyAlignment="1">
      <alignment vertical="center" wrapText="1"/>
    </xf>
    <xf numFmtId="3" fontId="6" fillId="3" borderId="39" xfId="0" applyNumberFormat="1" applyFont="1" applyFill="1" applyBorder="1" applyAlignment="1">
      <alignment vertical="top" wrapText="1"/>
    </xf>
    <xf numFmtId="3" fontId="10" fillId="3" borderId="52" xfId="0" applyNumberFormat="1" applyFont="1" applyFill="1" applyBorder="1" applyAlignment="1">
      <alignment horizontal="center" vertical="center" textRotation="90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3" fillId="3" borderId="72" xfId="0" applyNumberFormat="1" applyFont="1" applyFill="1" applyBorder="1" applyAlignment="1">
      <alignment vertical="top"/>
    </xf>
    <xf numFmtId="3" fontId="3" fillId="3" borderId="71" xfId="0" applyNumberFormat="1" applyFont="1" applyFill="1" applyBorder="1" applyAlignment="1">
      <alignment vertical="top"/>
    </xf>
    <xf numFmtId="3" fontId="3" fillId="3" borderId="70" xfId="0" applyNumberFormat="1" applyFont="1" applyFill="1" applyBorder="1" applyAlignment="1">
      <alignment vertical="top"/>
    </xf>
    <xf numFmtId="3" fontId="4" fillId="3" borderId="39" xfId="0" applyNumberFormat="1" applyFont="1" applyFill="1" applyBorder="1" applyAlignment="1">
      <alignment vertical="center" textRotation="90" wrapText="1"/>
    </xf>
    <xf numFmtId="3" fontId="6" fillId="3" borderId="5" xfId="0" applyNumberFormat="1" applyFont="1" applyFill="1" applyBorder="1" applyAlignment="1">
      <alignment horizontal="center" vertical="top"/>
    </xf>
    <xf numFmtId="3" fontId="6" fillId="3" borderId="66" xfId="0" applyNumberFormat="1" applyFont="1" applyFill="1" applyBorder="1" applyAlignment="1">
      <alignment vertical="top" wrapText="1"/>
    </xf>
    <xf numFmtId="3" fontId="17" fillId="3" borderId="46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center" vertical="top"/>
    </xf>
    <xf numFmtId="3" fontId="17" fillId="3" borderId="18" xfId="0" applyNumberFormat="1" applyFont="1" applyFill="1" applyBorder="1" applyAlignment="1">
      <alignment horizontal="center" vertical="top"/>
    </xf>
    <xf numFmtId="3" fontId="17" fillId="3" borderId="31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 wrapText="1"/>
    </xf>
    <xf numFmtId="0" fontId="1" fillId="3" borderId="51" xfId="0" applyFont="1" applyFill="1" applyBorder="1" applyAlignment="1">
      <alignment vertical="top" wrapText="1"/>
    </xf>
    <xf numFmtId="0" fontId="4" fillId="3" borderId="51" xfId="0" applyFont="1" applyFill="1" applyBorder="1" applyAlignment="1">
      <alignment vertical="top" wrapText="1"/>
    </xf>
    <xf numFmtId="3" fontId="4" fillId="0" borderId="35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1" fillId="3" borderId="35" xfId="0" applyNumberFormat="1" applyFont="1" applyFill="1" applyBorder="1" applyAlignment="1">
      <alignment horizontal="left" vertical="top"/>
    </xf>
    <xf numFmtId="165" fontId="4" fillId="3" borderId="40" xfId="0" applyNumberFormat="1" applyFont="1" applyFill="1" applyBorder="1" applyAlignment="1">
      <alignment horizontal="center" vertical="top" wrapText="1"/>
    </xf>
    <xf numFmtId="164" fontId="3" fillId="2" borderId="73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" fillId="3" borderId="61" xfId="0" applyFont="1" applyFill="1" applyBorder="1" applyAlignment="1">
      <alignment horizontal="center" vertical="top" wrapText="1"/>
    </xf>
    <xf numFmtId="3" fontId="4" fillId="4" borderId="42" xfId="0" applyNumberFormat="1" applyFont="1" applyFill="1" applyBorder="1" applyAlignment="1">
      <alignment vertical="top" wrapText="1"/>
    </xf>
    <xf numFmtId="3" fontId="1" fillId="3" borderId="30" xfId="0" applyNumberFormat="1" applyFont="1" applyFill="1" applyBorder="1" applyAlignment="1">
      <alignment vertical="top" wrapText="1"/>
    </xf>
    <xf numFmtId="3" fontId="1" fillId="3" borderId="41" xfId="0" applyNumberFormat="1" applyFont="1" applyFill="1" applyBorder="1" applyAlignment="1">
      <alignment vertical="top" wrapText="1"/>
    </xf>
    <xf numFmtId="3" fontId="1" fillId="3" borderId="62" xfId="0" applyNumberFormat="1" applyFont="1" applyFill="1" applyBorder="1" applyAlignment="1">
      <alignment vertical="top" wrapText="1"/>
    </xf>
    <xf numFmtId="3" fontId="4" fillId="3" borderId="53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 wrapText="1"/>
    </xf>
    <xf numFmtId="49" fontId="1" fillId="3" borderId="40" xfId="1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" fillId="3" borderId="48" xfId="0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center" textRotation="90" wrapText="1"/>
    </xf>
    <xf numFmtId="3" fontId="4" fillId="3" borderId="41" xfId="0" applyNumberFormat="1" applyFont="1" applyFill="1" applyBorder="1" applyAlignment="1">
      <alignment horizontal="center" vertical="center" textRotation="90" wrapText="1"/>
    </xf>
    <xf numFmtId="3" fontId="4" fillId="3" borderId="11" xfId="0" applyNumberFormat="1" applyFont="1" applyFill="1" applyBorder="1" applyAlignment="1">
      <alignment horizontal="center" vertical="center" textRotation="90" wrapText="1"/>
    </xf>
    <xf numFmtId="3" fontId="4" fillId="3" borderId="59" xfId="0" applyNumberFormat="1" applyFont="1" applyFill="1" applyBorder="1" applyAlignment="1">
      <alignment horizontal="center" vertical="center" textRotation="90" wrapText="1"/>
    </xf>
    <xf numFmtId="164" fontId="7" fillId="0" borderId="7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3" borderId="0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51" xfId="0" applyNumberFormat="1" applyFont="1" applyFill="1" applyBorder="1" applyAlignment="1">
      <alignment horizontal="center" vertical="top"/>
    </xf>
    <xf numFmtId="3" fontId="3" fillId="5" borderId="31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6" fillId="3" borderId="71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horizontal="center" vertical="top"/>
    </xf>
    <xf numFmtId="3" fontId="4" fillId="3" borderId="11" xfId="0" applyNumberFormat="1" applyFont="1" applyFill="1" applyBorder="1" applyAlignment="1">
      <alignment vertical="top" wrapText="1"/>
    </xf>
    <xf numFmtId="164" fontId="1" fillId="3" borderId="30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Border="1" applyAlignment="1">
      <alignment vertical="top" wrapText="1"/>
    </xf>
    <xf numFmtId="3" fontId="4" fillId="3" borderId="42" xfId="0" applyNumberFormat="1" applyFont="1" applyFill="1" applyBorder="1" applyAlignment="1">
      <alignment vertical="top" wrapText="1"/>
    </xf>
    <xf numFmtId="3" fontId="1" fillId="3" borderId="30" xfId="0" applyNumberFormat="1" applyFont="1" applyFill="1" applyBorder="1" applyAlignment="1">
      <alignment horizontal="left" vertical="top" wrapText="1"/>
    </xf>
    <xf numFmtId="0" fontId="1" fillId="3" borderId="49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vertical="top" wrapText="1"/>
    </xf>
    <xf numFmtId="3" fontId="4" fillId="3" borderId="41" xfId="0" applyNumberFormat="1" applyFont="1" applyFill="1" applyBorder="1" applyAlignment="1">
      <alignment vertical="top" wrapText="1"/>
    </xf>
    <xf numFmtId="3" fontId="1" fillId="3" borderId="49" xfId="0" applyNumberFormat="1" applyFont="1" applyFill="1" applyBorder="1" applyAlignment="1">
      <alignment vertical="top" wrapText="1"/>
    </xf>
    <xf numFmtId="3" fontId="4" fillId="3" borderId="42" xfId="0" applyNumberFormat="1" applyFont="1" applyFill="1" applyBorder="1" applyAlignment="1">
      <alignment horizontal="center" vertical="top"/>
    </xf>
    <xf numFmtId="164" fontId="1" fillId="3" borderId="37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5" fontId="6" fillId="2" borderId="8" xfId="0" applyNumberFormat="1" applyFont="1" applyFill="1" applyBorder="1" applyAlignment="1">
      <alignment horizontal="center" vertical="top"/>
    </xf>
    <xf numFmtId="164" fontId="1" fillId="3" borderId="71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/>
    </xf>
    <xf numFmtId="164" fontId="3" fillId="5" borderId="74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center" vertical="top"/>
    </xf>
    <xf numFmtId="164" fontId="4" fillId="3" borderId="18" xfId="0" applyNumberFormat="1" applyFont="1" applyFill="1" applyBorder="1" applyAlignment="1">
      <alignment horizontal="center" vertical="top" wrapText="1"/>
    </xf>
    <xf numFmtId="164" fontId="4" fillId="3" borderId="31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 wrapText="1"/>
    </xf>
    <xf numFmtId="164" fontId="6" fillId="5" borderId="18" xfId="0" applyNumberFormat="1" applyFont="1" applyFill="1" applyBorder="1" applyAlignment="1">
      <alignment horizontal="center" vertical="top"/>
    </xf>
    <xf numFmtId="164" fontId="6" fillId="3" borderId="31" xfId="0" applyNumberFormat="1" applyFont="1" applyFill="1" applyBorder="1" applyAlignment="1">
      <alignment horizontal="center" vertical="top"/>
    </xf>
    <xf numFmtId="164" fontId="3" fillId="5" borderId="57" xfId="0" applyNumberFormat="1" applyFont="1" applyFill="1" applyBorder="1" applyAlignment="1">
      <alignment horizontal="center" vertical="top"/>
    </xf>
    <xf numFmtId="164" fontId="3" fillId="5" borderId="32" xfId="0" applyNumberFormat="1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64" fontId="1" fillId="3" borderId="44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3" borderId="44" xfId="0" applyNumberFormat="1" applyFont="1" applyFill="1" applyBorder="1" applyAlignment="1">
      <alignment horizontal="center" vertical="top"/>
    </xf>
    <xf numFmtId="164" fontId="1" fillId="3" borderId="44" xfId="0" applyNumberFormat="1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/>
    </xf>
    <xf numFmtId="164" fontId="6" fillId="3" borderId="44" xfId="0" applyNumberFormat="1" applyFont="1" applyFill="1" applyBorder="1" applyAlignment="1">
      <alignment horizontal="center" vertical="top"/>
    </xf>
    <xf numFmtId="164" fontId="6" fillId="3" borderId="13" xfId="0" applyNumberFormat="1" applyFont="1" applyFill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/>
    </xf>
    <xf numFmtId="165" fontId="6" fillId="2" borderId="34" xfId="0" applyNumberFormat="1" applyFont="1" applyFill="1" applyBorder="1" applyAlignment="1">
      <alignment horizontal="center" vertical="top"/>
    </xf>
    <xf numFmtId="164" fontId="1" fillId="4" borderId="35" xfId="0" applyNumberFormat="1" applyFont="1" applyFill="1" applyBorder="1" applyAlignment="1">
      <alignment horizontal="center" vertical="top"/>
    </xf>
    <xf numFmtId="164" fontId="1" fillId="3" borderId="51" xfId="0" applyNumberFormat="1" applyFont="1" applyFill="1" applyBorder="1" applyAlignment="1">
      <alignment horizontal="center" vertical="top"/>
    </xf>
    <xf numFmtId="165" fontId="1" fillId="3" borderId="31" xfId="0" applyNumberFormat="1" applyFont="1" applyFill="1" applyBorder="1" applyAlignment="1">
      <alignment horizontal="center" vertical="top"/>
    </xf>
    <xf numFmtId="165" fontId="1" fillId="3" borderId="31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/>
    </xf>
    <xf numFmtId="164" fontId="1" fillId="4" borderId="6" xfId="0" applyNumberFormat="1" applyFont="1" applyFill="1" applyBorder="1" applyAlignment="1">
      <alignment horizontal="center" vertical="top" wrapText="1"/>
    </xf>
    <xf numFmtId="164" fontId="4" fillId="4" borderId="76" xfId="0" applyNumberFormat="1" applyFont="1" applyFill="1" applyBorder="1" applyAlignment="1">
      <alignment horizontal="center" vertical="top" wrapText="1"/>
    </xf>
    <xf numFmtId="164" fontId="1" fillId="3" borderId="32" xfId="0" applyNumberFormat="1" applyFont="1" applyFill="1" applyBorder="1" applyAlignment="1">
      <alignment horizontal="center" vertical="top" wrapText="1"/>
    </xf>
    <xf numFmtId="164" fontId="1" fillId="3" borderId="76" xfId="0" applyNumberFormat="1" applyFont="1" applyFill="1" applyBorder="1" applyAlignment="1">
      <alignment horizontal="center" vertical="top" wrapText="1"/>
    </xf>
    <xf numFmtId="164" fontId="1" fillId="3" borderId="19" xfId="0" applyNumberFormat="1" applyFont="1" applyFill="1" applyBorder="1" applyAlignment="1">
      <alignment horizontal="center" vertical="top" wrapText="1"/>
    </xf>
    <xf numFmtId="165" fontId="4" fillId="3" borderId="32" xfId="0" applyNumberFormat="1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4" fillId="3" borderId="15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4" fillId="3" borderId="19" xfId="0" applyNumberFormat="1" applyFont="1" applyFill="1" applyBorder="1" applyAlignment="1">
      <alignment horizontal="center" vertical="top" wrapText="1"/>
    </xf>
    <xf numFmtId="164" fontId="4" fillId="3" borderId="32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164" fontId="1" fillId="3" borderId="19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6" fillId="5" borderId="55" xfId="0" applyNumberFormat="1" applyFont="1" applyFill="1" applyBorder="1" applyAlignment="1">
      <alignment horizontal="center" vertical="top"/>
    </xf>
    <xf numFmtId="164" fontId="1" fillId="4" borderId="37" xfId="0" applyNumberFormat="1" applyFont="1" applyFill="1" applyBorder="1" applyAlignment="1">
      <alignment horizontal="center" vertical="top" wrapText="1"/>
    </xf>
    <xf numFmtId="164" fontId="4" fillId="4" borderId="49" xfId="0" applyNumberFormat="1" applyFont="1" applyFill="1" applyBorder="1" applyAlignment="1">
      <alignment horizontal="center" vertical="top" wrapText="1"/>
    </xf>
    <xf numFmtId="164" fontId="1" fillId="3" borderId="49" xfId="0" applyNumberFormat="1" applyFont="1" applyFill="1" applyBorder="1" applyAlignment="1">
      <alignment horizontal="center" vertical="top" wrapText="1"/>
    </xf>
    <xf numFmtId="165" fontId="4" fillId="3" borderId="42" xfId="0" applyNumberFormat="1" applyFont="1" applyFill="1" applyBorder="1" applyAlignment="1">
      <alignment horizontal="center" vertical="top" wrapText="1"/>
    </xf>
    <xf numFmtId="164" fontId="4" fillId="3" borderId="41" xfId="0" applyNumberFormat="1" applyFont="1" applyFill="1" applyBorder="1" applyAlignment="1">
      <alignment horizontal="center" vertical="top"/>
    </xf>
    <xf numFmtId="164" fontId="4" fillId="0" borderId="37" xfId="0" applyNumberFormat="1" applyFont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3" borderId="50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 wrapText="1"/>
    </xf>
    <xf numFmtId="165" fontId="1" fillId="3" borderId="44" xfId="0" applyNumberFormat="1" applyFont="1" applyFill="1" applyBorder="1" applyAlignment="1">
      <alignment horizontal="center" vertical="top" wrapText="1"/>
    </xf>
    <xf numFmtId="165" fontId="1" fillId="3" borderId="13" xfId="0" applyNumberFormat="1" applyFont="1" applyFill="1" applyBorder="1" applyAlignment="1">
      <alignment horizontal="center" vertical="top" wrapText="1"/>
    </xf>
    <xf numFmtId="164" fontId="6" fillId="5" borderId="21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 wrapText="1"/>
    </xf>
    <xf numFmtId="164" fontId="4" fillId="4" borderId="50" xfId="0" applyNumberFormat="1" applyFont="1" applyFill="1" applyBorder="1" applyAlignment="1">
      <alignment horizontal="center" vertical="top" wrapText="1"/>
    </xf>
    <xf numFmtId="164" fontId="1" fillId="3" borderId="50" xfId="0" applyNumberFormat="1" applyFont="1" applyFill="1" applyBorder="1" applyAlignment="1">
      <alignment horizontal="center" vertical="top" wrapText="1"/>
    </xf>
    <xf numFmtId="165" fontId="4" fillId="3" borderId="44" xfId="0" applyNumberFormat="1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3" borderId="44" xfId="0" applyNumberFormat="1" applyFont="1" applyFill="1" applyBorder="1" applyAlignment="1">
      <alignment horizontal="center"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horizontal="center" vertical="top"/>
    </xf>
    <xf numFmtId="164" fontId="4" fillId="3" borderId="27" xfId="0" applyNumberFormat="1" applyFont="1" applyFill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164" fontId="1" fillId="3" borderId="42" xfId="1" applyNumberFormat="1" applyFont="1" applyFill="1" applyBorder="1" applyAlignment="1">
      <alignment horizontal="center" vertical="top"/>
    </xf>
    <xf numFmtId="164" fontId="1" fillId="3" borderId="49" xfId="1" applyNumberFormat="1" applyFont="1" applyFill="1" applyBorder="1" applyAlignment="1">
      <alignment horizontal="center" vertical="top"/>
    </xf>
    <xf numFmtId="164" fontId="4" fillId="3" borderId="29" xfId="0" applyNumberFormat="1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3" borderId="76" xfId="0" applyFont="1" applyFill="1" applyBorder="1" applyAlignment="1">
      <alignment horizontal="center" vertical="top" wrapText="1"/>
    </xf>
    <xf numFmtId="164" fontId="1" fillId="3" borderId="32" xfId="0" applyNumberFormat="1" applyFont="1" applyFill="1" applyBorder="1" applyAlignment="1">
      <alignment horizontal="center" vertical="top"/>
    </xf>
    <xf numFmtId="164" fontId="1" fillId="3" borderId="32" xfId="1" applyNumberFormat="1" applyFont="1" applyFill="1" applyBorder="1" applyAlignment="1">
      <alignment horizontal="center" vertical="top"/>
    </xf>
    <xf numFmtId="164" fontId="1" fillId="3" borderId="76" xfId="1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164" fontId="1" fillId="3" borderId="44" xfId="1" applyNumberFormat="1" applyFont="1" applyFill="1" applyBorder="1" applyAlignment="1">
      <alignment horizontal="center" vertical="top"/>
    </xf>
    <xf numFmtId="164" fontId="1" fillId="3" borderId="50" xfId="1" applyNumberFormat="1" applyFont="1" applyFill="1" applyBorder="1" applyAlignment="1">
      <alignment horizontal="center" vertical="top"/>
    </xf>
    <xf numFmtId="164" fontId="4" fillId="3" borderId="35" xfId="0" applyNumberFormat="1" applyFont="1" applyFill="1" applyBorder="1" applyAlignment="1">
      <alignment horizontal="center" vertical="top" wrapText="1"/>
    </xf>
    <xf numFmtId="164" fontId="4" fillId="11" borderId="18" xfId="1" applyNumberFormat="1" applyFont="1" applyFill="1" applyBorder="1" applyAlignment="1">
      <alignment horizontal="center" vertical="top"/>
    </xf>
    <xf numFmtId="164" fontId="4" fillId="11" borderId="51" xfId="1" applyNumberFormat="1" applyFont="1" applyFill="1" applyBorder="1" applyAlignment="1">
      <alignment horizontal="center" vertical="top"/>
    </xf>
    <xf numFmtId="164" fontId="4" fillId="11" borderId="0" xfId="1" applyNumberFormat="1" applyFont="1" applyFill="1" applyBorder="1" applyAlignment="1">
      <alignment horizontal="center" vertical="top"/>
    </xf>
    <xf numFmtId="165" fontId="3" fillId="5" borderId="56" xfId="0" applyNumberFormat="1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top"/>
    </xf>
    <xf numFmtId="164" fontId="3" fillId="7" borderId="10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 wrapText="1"/>
    </xf>
    <xf numFmtId="164" fontId="4" fillId="4" borderId="37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3" fillId="7" borderId="8" xfId="0" applyNumberFormat="1" applyFont="1" applyFill="1" applyBorder="1" applyAlignment="1">
      <alignment horizontal="center" vertical="top"/>
    </xf>
    <xf numFmtId="164" fontId="3" fillId="8" borderId="62" xfId="0" applyNumberFormat="1" applyFont="1" applyFill="1" applyBorder="1" applyAlignment="1">
      <alignment horizontal="center" vertical="top" wrapText="1"/>
    </xf>
    <xf numFmtId="164" fontId="4" fillId="11" borderId="12" xfId="1" applyNumberFormat="1" applyFont="1" applyFill="1" applyBorder="1" applyAlignment="1">
      <alignment horizontal="center" vertical="top"/>
    </xf>
    <xf numFmtId="164" fontId="4" fillId="11" borderId="50" xfId="1" applyNumberFormat="1" applyFont="1" applyFill="1" applyBorder="1" applyAlignment="1">
      <alignment horizontal="center" vertical="top"/>
    </xf>
    <xf numFmtId="164" fontId="4" fillId="11" borderId="13" xfId="1" applyNumberFormat="1" applyFont="1" applyFill="1" applyBorder="1" applyAlignment="1">
      <alignment horizontal="center" vertical="top"/>
    </xf>
    <xf numFmtId="165" fontId="3" fillId="5" borderId="21" xfId="0" applyNumberFormat="1" applyFont="1" applyFill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6" fillId="2" borderId="34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Fill="1" applyBorder="1" applyAlignment="1">
      <alignment vertical="top" wrapText="1"/>
    </xf>
    <xf numFmtId="3" fontId="4" fillId="0" borderId="26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164" fontId="1" fillId="3" borderId="16" xfId="1" applyNumberFormat="1" applyFont="1" applyFill="1" applyBorder="1" applyAlignment="1">
      <alignment horizontal="center" vertical="top"/>
    </xf>
    <xf numFmtId="164" fontId="1" fillId="3" borderId="41" xfId="1" applyNumberFormat="1" applyFont="1" applyFill="1" applyBorder="1" applyAlignment="1">
      <alignment horizontal="center" vertical="top"/>
    </xf>
    <xf numFmtId="164" fontId="1" fillId="3" borderId="13" xfId="1" applyNumberFormat="1" applyFont="1" applyFill="1" applyBorder="1" applyAlignment="1">
      <alignment horizontal="center" vertical="top"/>
    </xf>
    <xf numFmtId="164" fontId="1" fillId="3" borderId="15" xfId="1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3" fontId="6" fillId="3" borderId="0" xfId="0" applyNumberFormat="1" applyFont="1" applyFill="1" applyBorder="1" applyAlignment="1">
      <alignment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1" fillId="3" borderId="44" xfId="0" applyNumberFormat="1" applyFont="1" applyFill="1" applyBorder="1" applyAlignment="1">
      <alignment horizontal="center" vertical="top"/>
    </xf>
    <xf numFmtId="3" fontId="1" fillId="3" borderId="12" xfId="0" applyNumberFormat="1" applyFont="1" applyFill="1" applyBorder="1" applyAlignment="1">
      <alignment horizontal="center" vertical="top"/>
    </xf>
    <xf numFmtId="3" fontId="4" fillId="3" borderId="12" xfId="0" applyNumberFormat="1" applyFont="1" applyFill="1" applyBorder="1" applyAlignment="1">
      <alignment horizontal="center" vertical="top" wrapText="1"/>
    </xf>
    <xf numFmtId="3" fontId="1" fillId="4" borderId="44" xfId="0" applyNumberFormat="1" applyFont="1" applyFill="1" applyBorder="1" applyAlignment="1">
      <alignment horizontal="center" vertical="top" wrapText="1"/>
    </xf>
    <xf numFmtId="49" fontId="4" fillId="4" borderId="67" xfId="0" applyNumberFormat="1" applyFont="1" applyFill="1" applyBorder="1" applyAlignment="1">
      <alignment horizontal="center" vertical="top"/>
    </xf>
    <xf numFmtId="3" fontId="1" fillId="0" borderId="35" xfId="0" applyNumberFormat="1" applyFont="1" applyFill="1" applyBorder="1" applyAlignment="1">
      <alignment horizontal="center" vertical="top" textRotation="180" wrapText="1"/>
    </xf>
    <xf numFmtId="3" fontId="6" fillId="3" borderId="66" xfId="0" applyNumberFormat="1" applyFont="1" applyFill="1" applyBorder="1" applyAlignment="1">
      <alignment horizontal="center" vertical="top" wrapText="1"/>
    </xf>
    <xf numFmtId="3" fontId="6" fillId="3" borderId="71" xfId="0" applyNumberFormat="1" applyFont="1" applyFill="1" applyBorder="1" applyAlignment="1">
      <alignment horizontal="center" vertical="top" wrapText="1"/>
    </xf>
    <xf numFmtId="3" fontId="6" fillId="4" borderId="38" xfId="0" applyNumberFormat="1" applyFont="1" applyFill="1" applyBorder="1" applyAlignment="1">
      <alignment vertical="top" wrapText="1"/>
    </xf>
    <xf numFmtId="3" fontId="4" fillId="3" borderId="46" xfId="0" applyNumberFormat="1" applyFont="1" applyFill="1" applyBorder="1" applyAlignment="1">
      <alignment horizontal="left" vertical="top" wrapText="1"/>
    </xf>
    <xf numFmtId="3" fontId="4" fillId="4" borderId="5" xfId="0" applyNumberFormat="1" applyFont="1" applyFill="1" applyBorder="1" applyAlignment="1">
      <alignment horizontal="center" vertical="top" wrapText="1"/>
    </xf>
    <xf numFmtId="3" fontId="1" fillId="4" borderId="65" xfId="0" applyNumberFormat="1" applyFont="1" applyFill="1" applyBorder="1" applyAlignment="1">
      <alignment horizontal="center" vertical="top" wrapText="1"/>
    </xf>
    <xf numFmtId="3" fontId="1" fillId="4" borderId="67" xfId="0" applyNumberFormat="1" applyFont="1" applyFill="1" applyBorder="1" applyAlignment="1">
      <alignment horizontal="center" vertical="top" wrapText="1"/>
    </xf>
    <xf numFmtId="0" fontId="1" fillId="3" borderId="6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65" xfId="0" applyFont="1" applyFill="1" applyBorder="1" applyAlignment="1">
      <alignment horizontal="center" vertical="top" wrapText="1"/>
    </xf>
    <xf numFmtId="3" fontId="4" fillId="3" borderId="65" xfId="0" applyNumberFormat="1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/>
    </xf>
    <xf numFmtId="3" fontId="4" fillId="4" borderId="6" xfId="0" applyNumberFormat="1" applyFont="1" applyFill="1" applyBorder="1" applyAlignment="1">
      <alignment horizontal="center" vertical="top" wrapText="1"/>
    </xf>
    <xf numFmtId="3" fontId="1" fillId="4" borderId="32" xfId="0" applyNumberFormat="1" applyFont="1" applyFill="1" applyBorder="1" applyAlignment="1">
      <alignment horizontal="center" vertical="top" wrapText="1"/>
    </xf>
    <xf numFmtId="3" fontId="1" fillId="4" borderId="76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center" vertical="top" wrapText="1"/>
    </xf>
    <xf numFmtId="3" fontId="1" fillId="4" borderId="50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4" borderId="42" xfId="0" applyNumberFormat="1" applyFont="1" applyFill="1" applyBorder="1" applyAlignment="1">
      <alignment horizontal="center" vertical="top" wrapText="1"/>
    </xf>
    <xf numFmtId="3" fontId="1" fillId="4" borderId="49" xfId="0" applyNumberFormat="1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3" fontId="4" fillId="3" borderId="17" xfId="0" applyNumberFormat="1" applyFont="1" applyFill="1" applyBorder="1" applyAlignment="1">
      <alignment horizontal="center" vertical="top" wrapText="1"/>
    </xf>
    <xf numFmtId="1" fontId="1" fillId="3" borderId="65" xfId="0" applyNumberFormat="1" applyFont="1" applyFill="1" applyBorder="1" applyAlignment="1">
      <alignment horizontal="center" vertical="top" wrapText="1"/>
    </xf>
    <xf numFmtId="49" fontId="7" fillId="3" borderId="65" xfId="0" applyNumberFormat="1" applyFont="1" applyFill="1" applyBorder="1" applyAlignment="1">
      <alignment horizontal="center" vertical="top"/>
    </xf>
    <xf numFmtId="49" fontId="7" fillId="3" borderId="67" xfId="0" applyNumberFormat="1" applyFont="1" applyFill="1" applyBorder="1" applyAlignment="1">
      <alignment horizontal="center" vertical="top"/>
    </xf>
    <xf numFmtId="165" fontId="1" fillId="3" borderId="17" xfId="0" applyNumberFormat="1" applyFont="1" applyFill="1" applyBorder="1" applyAlignment="1">
      <alignment horizontal="center" vertical="top" wrapText="1"/>
    </xf>
    <xf numFmtId="0" fontId="1" fillId="3" borderId="67" xfId="0" applyFont="1" applyFill="1" applyBorder="1" applyAlignment="1">
      <alignment horizontal="center" vertical="top" wrapText="1"/>
    </xf>
    <xf numFmtId="0" fontId="4" fillId="3" borderId="67" xfId="0" applyFont="1" applyFill="1" applyBorder="1" applyAlignment="1">
      <alignment horizontal="center" vertical="top" wrapText="1"/>
    </xf>
    <xf numFmtId="49" fontId="1" fillId="3" borderId="65" xfId="0" applyNumberFormat="1" applyFont="1" applyFill="1" applyBorder="1" applyAlignment="1">
      <alignment horizontal="center" vertical="top" wrapText="1"/>
    </xf>
    <xf numFmtId="3" fontId="10" fillId="3" borderId="17" xfId="0" applyNumberFormat="1" applyFont="1" applyFill="1" applyBorder="1" applyAlignment="1">
      <alignment horizontal="center" vertical="top" wrapText="1"/>
    </xf>
    <xf numFmtId="3" fontId="4" fillId="3" borderId="17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3" fontId="4" fillId="3" borderId="14" xfId="0" applyNumberFormat="1" applyFont="1" applyFill="1" applyBorder="1" applyAlignment="1">
      <alignment horizontal="center" vertical="top" wrapText="1"/>
    </xf>
    <xf numFmtId="3" fontId="4" fillId="3" borderId="67" xfId="0" applyNumberFormat="1" applyFont="1" applyFill="1" applyBorder="1" applyAlignment="1">
      <alignment horizontal="center" vertical="top" wrapText="1"/>
    </xf>
    <xf numFmtId="3" fontId="4" fillId="3" borderId="65" xfId="0" applyNumberFormat="1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/>
    </xf>
    <xf numFmtId="3" fontId="4" fillId="3" borderId="5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0" fontId="7" fillId="3" borderId="67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0" fontId="4" fillId="3" borderId="23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69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15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center" vertical="top" wrapText="1"/>
    </xf>
    <xf numFmtId="1" fontId="1" fillId="3" borderId="32" xfId="0" applyNumberFormat="1" applyFont="1" applyFill="1" applyBorder="1" applyAlignment="1">
      <alignment horizontal="center" vertical="top" wrapText="1"/>
    </xf>
    <xf numFmtId="49" fontId="7" fillId="3" borderId="32" xfId="0" applyNumberFormat="1" applyFont="1" applyFill="1" applyBorder="1" applyAlignment="1">
      <alignment horizontal="center" vertical="top"/>
    </xf>
    <xf numFmtId="49" fontId="7" fillId="3" borderId="76" xfId="0" applyNumberFormat="1" applyFont="1" applyFill="1" applyBorder="1" applyAlignment="1">
      <alignment horizontal="center" vertical="top"/>
    </xf>
    <xf numFmtId="3" fontId="1" fillId="3" borderId="19" xfId="0" applyNumberFormat="1" applyFont="1" applyFill="1" applyBorder="1" applyAlignment="1">
      <alignment horizontal="center" vertical="top"/>
    </xf>
    <xf numFmtId="165" fontId="1" fillId="3" borderId="19" xfId="0" applyNumberFormat="1" applyFont="1" applyFill="1" applyBorder="1" applyAlignment="1">
      <alignment horizontal="center" vertical="top" wrapText="1"/>
    </xf>
    <xf numFmtId="0" fontId="4" fillId="3" borderId="76" xfId="0" applyFont="1" applyFill="1" applyBorder="1" applyAlignment="1">
      <alignment horizontal="center" vertical="top" wrapText="1"/>
    </xf>
    <xf numFmtId="49" fontId="1" fillId="3" borderId="32" xfId="0" applyNumberFormat="1" applyFont="1" applyFill="1" applyBorder="1" applyAlignment="1">
      <alignment horizontal="center" vertical="top" wrapText="1"/>
    </xf>
    <xf numFmtId="3" fontId="10" fillId="3" borderId="19" xfId="0" applyNumberFormat="1" applyFont="1" applyFill="1" applyBorder="1" applyAlignment="1">
      <alignment horizontal="center" vertical="top" wrapText="1"/>
    </xf>
    <xf numFmtId="3" fontId="4" fillId="3" borderId="19" xfId="0" applyNumberFormat="1" applyFont="1" applyFill="1" applyBorder="1" applyAlignment="1">
      <alignment horizontal="center" vertical="top"/>
    </xf>
    <xf numFmtId="49" fontId="4" fillId="3" borderId="19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3" fontId="4" fillId="3" borderId="15" xfId="0" applyNumberFormat="1" applyFont="1" applyFill="1" applyBorder="1" applyAlignment="1">
      <alignment horizontal="center" vertical="top" wrapText="1"/>
    </xf>
    <xf numFmtId="3" fontId="4" fillId="3" borderId="76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/>
    </xf>
    <xf numFmtId="3" fontId="4" fillId="3" borderId="76" xfId="0" applyNumberFormat="1" applyFont="1" applyFill="1" applyBorder="1" applyAlignment="1">
      <alignment horizontal="center" vertical="top"/>
    </xf>
    <xf numFmtId="0" fontId="15" fillId="3" borderId="15" xfId="0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4" fillId="3" borderId="6" xfId="0" applyNumberFormat="1" applyFont="1" applyFill="1" applyBorder="1" applyAlignment="1">
      <alignment horizontal="center" vertical="top" wrapText="1"/>
    </xf>
    <xf numFmtId="3" fontId="4" fillId="0" borderId="76" xfId="0" applyNumberFormat="1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76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0" fontId="4" fillId="3" borderId="24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vertical="top"/>
    </xf>
    <xf numFmtId="3" fontId="4" fillId="0" borderId="57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 wrapText="1"/>
    </xf>
    <xf numFmtId="3" fontId="1" fillId="3" borderId="4" xfId="0" applyNumberFormat="1" applyFont="1" applyFill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1" fontId="1" fillId="3" borderId="44" xfId="0" applyNumberFormat="1" applyFont="1" applyFill="1" applyBorder="1" applyAlignment="1">
      <alignment horizontal="center" vertical="top" wrapText="1"/>
    </xf>
    <xf numFmtId="49" fontId="7" fillId="3" borderId="44" xfId="0" applyNumberFormat="1" applyFont="1" applyFill="1" applyBorder="1" applyAlignment="1">
      <alignment horizontal="center" vertical="top"/>
    </xf>
    <xf numFmtId="49" fontId="7" fillId="3" borderId="50" xfId="0" applyNumberFormat="1" applyFont="1" applyFill="1" applyBorder="1" applyAlignment="1">
      <alignment horizontal="center" vertical="top"/>
    </xf>
    <xf numFmtId="165" fontId="1" fillId="3" borderId="12" xfId="0" applyNumberFormat="1" applyFont="1" applyFill="1" applyBorder="1" applyAlignment="1">
      <alignment horizontal="center" vertical="top" wrapText="1"/>
    </xf>
    <xf numFmtId="49" fontId="1" fillId="3" borderId="44" xfId="0" applyNumberFormat="1" applyFont="1" applyFill="1" applyBorder="1" applyAlignment="1">
      <alignment horizontal="center" vertical="top" wrapText="1"/>
    </xf>
    <xf numFmtId="3" fontId="10" fillId="3" borderId="12" xfId="0" applyNumberFormat="1" applyFont="1" applyFill="1" applyBorder="1" applyAlignment="1">
      <alignment horizontal="center" vertical="top" wrapText="1"/>
    </xf>
    <xf numFmtId="3" fontId="4" fillId="3" borderId="12" xfId="0" applyNumberFormat="1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0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0" fontId="7" fillId="3" borderId="50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0" fontId="4" fillId="3" borderId="22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3" fontId="4" fillId="3" borderId="15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76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 wrapText="1"/>
    </xf>
    <xf numFmtId="3" fontId="1" fillId="0" borderId="76" xfId="0" applyNumberFormat="1" applyFont="1" applyFill="1" applyBorder="1" applyAlignment="1">
      <alignment horizontal="center" vertical="top" wrapText="1"/>
    </xf>
    <xf numFmtId="3" fontId="1" fillId="3" borderId="32" xfId="0" applyNumberFormat="1" applyFont="1" applyFill="1" applyBorder="1" applyAlignment="1">
      <alignment horizontal="center" vertical="top"/>
    </xf>
    <xf numFmtId="3" fontId="2" fillId="3" borderId="24" xfId="0" applyNumberFormat="1" applyFont="1" applyFill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  <xf numFmtId="3" fontId="4" fillId="3" borderId="14" xfId="0" applyNumberFormat="1" applyFont="1" applyFill="1" applyBorder="1" applyAlignment="1">
      <alignment horizontal="center" vertical="top"/>
    </xf>
    <xf numFmtId="0" fontId="10" fillId="3" borderId="23" xfId="0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horizontal="center" vertical="top" wrapText="1"/>
    </xf>
    <xf numFmtId="3" fontId="4" fillId="3" borderId="22" xfId="0" applyNumberFormat="1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3" fontId="1" fillId="0" borderId="69" xfId="0" applyNumberFormat="1" applyFont="1" applyBorder="1" applyAlignment="1">
      <alignment horizontal="center" vertical="center" textRotation="90"/>
    </xf>
    <xf numFmtId="3" fontId="1" fillId="0" borderId="57" xfId="0" applyNumberFormat="1" applyFont="1" applyBorder="1" applyAlignment="1">
      <alignment horizontal="center" vertical="center" textRotation="90"/>
    </xf>
    <xf numFmtId="3" fontId="1" fillId="0" borderId="21" xfId="0" applyNumberFormat="1" applyFont="1" applyBorder="1" applyAlignment="1">
      <alignment horizontal="center" vertical="center" textRotation="90"/>
    </xf>
    <xf numFmtId="3" fontId="3" fillId="0" borderId="14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62" xfId="0" applyNumberFormat="1" applyFont="1" applyFill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0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3" borderId="5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49" fontId="4" fillId="0" borderId="47" xfId="0" applyNumberFormat="1" applyFont="1" applyFill="1" applyBorder="1" applyAlignment="1">
      <alignment horizontal="center" vertical="top"/>
    </xf>
    <xf numFmtId="3" fontId="1" fillId="3" borderId="37" xfId="0" applyNumberFormat="1" applyFont="1" applyFill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center" vertical="top"/>
    </xf>
    <xf numFmtId="1" fontId="1" fillId="3" borderId="42" xfId="0" applyNumberFormat="1" applyFont="1" applyFill="1" applyBorder="1" applyAlignment="1">
      <alignment horizontal="center" vertical="top" wrapText="1"/>
    </xf>
    <xf numFmtId="49" fontId="7" fillId="3" borderId="42" xfId="0" applyNumberFormat="1" applyFont="1" applyFill="1" applyBorder="1" applyAlignment="1">
      <alignment horizontal="center" vertical="top"/>
    </xf>
    <xf numFmtId="49" fontId="7" fillId="3" borderId="49" xfId="0" applyNumberFormat="1" applyFont="1" applyFill="1" applyBorder="1" applyAlignment="1">
      <alignment horizontal="center" vertical="top"/>
    </xf>
    <xf numFmtId="49" fontId="1" fillId="3" borderId="42" xfId="0" applyNumberFormat="1" applyFont="1" applyFill="1" applyBorder="1" applyAlignment="1">
      <alignment horizontal="center" vertical="top" wrapText="1"/>
    </xf>
    <xf numFmtId="165" fontId="1" fillId="3" borderId="30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3" fontId="10" fillId="3" borderId="30" xfId="0" applyNumberFormat="1" applyFont="1" applyFill="1" applyBorder="1" applyAlignment="1">
      <alignment horizontal="center" vertical="top" wrapText="1"/>
    </xf>
    <xf numFmtId="49" fontId="4" fillId="3" borderId="49" xfId="0" applyNumberFormat="1" applyFont="1" applyFill="1" applyBorder="1" applyAlignment="1">
      <alignment horizontal="center" vertical="top" wrapText="1"/>
    </xf>
    <xf numFmtId="0" fontId="15" fillId="3" borderId="41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42" xfId="0" applyNumberFormat="1" applyFont="1" applyFill="1" applyBorder="1" applyAlignment="1">
      <alignment horizontal="left" vertical="top" wrapText="1"/>
    </xf>
    <xf numFmtId="3" fontId="1" fillId="0" borderId="62" xfId="0" applyNumberFormat="1" applyFont="1" applyFill="1" applyBorder="1" applyAlignment="1">
      <alignment horizontal="left" vertical="top" wrapText="1"/>
    </xf>
    <xf numFmtId="3" fontId="4" fillId="0" borderId="13" xfId="0" applyNumberFormat="1" applyFont="1" applyBorder="1" applyAlignment="1">
      <alignment vertical="top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49" xfId="0" applyNumberFormat="1" applyFont="1" applyBorder="1" applyAlignment="1">
      <alignment horizontal="center" vertical="top" wrapText="1"/>
    </xf>
    <xf numFmtId="164" fontId="1" fillId="0" borderId="50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44" xfId="0" applyNumberFormat="1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76" xfId="0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76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5" fontId="1" fillId="3" borderId="40" xfId="0" applyNumberFormat="1" applyFont="1" applyFill="1" applyBorder="1" applyAlignment="1">
      <alignment horizontal="center" vertical="top"/>
    </xf>
    <xf numFmtId="3" fontId="1" fillId="3" borderId="43" xfId="0" applyNumberFormat="1" applyFont="1" applyFill="1" applyBorder="1" applyAlignment="1">
      <alignment horizontal="left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/>
    </xf>
    <xf numFmtId="3" fontId="4" fillId="3" borderId="41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52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/>
    </xf>
    <xf numFmtId="164" fontId="1" fillId="3" borderId="16" xfId="0" applyNumberFormat="1" applyFont="1" applyFill="1" applyBorder="1" applyAlignment="1">
      <alignment horizontal="center" vertical="top"/>
    </xf>
    <xf numFmtId="164" fontId="1" fillId="3" borderId="48" xfId="0" applyNumberFormat="1" applyFont="1" applyFill="1" applyBorder="1" applyAlignment="1">
      <alignment horizontal="center" vertical="top"/>
    </xf>
    <xf numFmtId="165" fontId="1" fillId="3" borderId="16" xfId="0" applyNumberFormat="1" applyFont="1" applyFill="1" applyBorder="1" applyAlignment="1">
      <alignment horizontal="center" vertical="top" wrapText="1"/>
    </xf>
    <xf numFmtId="164" fontId="17" fillId="3" borderId="46" xfId="0" applyNumberFormat="1" applyFont="1" applyFill="1" applyBorder="1" applyAlignment="1">
      <alignment horizontal="center" vertical="top" wrapText="1"/>
    </xf>
    <xf numFmtId="164" fontId="17" fillId="3" borderId="40" xfId="0" applyNumberFormat="1" applyFont="1" applyFill="1" applyBorder="1" applyAlignment="1">
      <alignment horizontal="center" vertical="top" wrapText="1"/>
    </xf>
    <xf numFmtId="165" fontId="6" fillId="5" borderId="58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/>
    </xf>
    <xf numFmtId="3" fontId="4" fillId="0" borderId="51" xfId="0" applyNumberFormat="1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7" fillId="3" borderId="49" xfId="0" applyFont="1" applyFill="1" applyBorder="1" applyAlignment="1">
      <alignment horizontal="center" vertical="top" wrapText="1"/>
    </xf>
    <xf numFmtId="0" fontId="4" fillId="3" borderId="62" xfId="0" applyFont="1" applyFill="1" applyBorder="1" applyAlignment="1">
      <alignment horizontal="center" vertical="top" wrapText="1"/>
    </xf>
    <xf numFmtId="164" fontId="1" fillId="3" borderId="51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1" fillId="4" borderId="54" xfId="0" applyNumberFormat="1" applyFont="1" applyFill="1" applyBorder="1" applyAlignment="1">
      <alignment horizontal="center" vertical="top"/>
    </xf>
    <xf numFmtId="165" fontId="3" fillId="5" borderId="58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vertical="top" wrapText="1"/>
    </xf>
    <xf numFmtId="164" fontId="4" fillId="3" borderId="32" xfId="0" applyNumberFormat="1" applyFont="1" applyFill="1" applyBorder="1" applyAlignment="1">
      <alignment horizontal="center" vertical="top"/>
    </xf>
    <xf numFmtId="3" fontId="4" fillId="3" borderId="49" xfId="0" applyNumberFormat="1" applyFont="1" applyFill="1" applyBorder="1" applyAlignment="1">
      <alignment horizontal="center" vertical="center" textRotation="90" wrapText="1"/>
    </xf>
    <xf numFmtId="3" fontId="1" fillId="0" borderId="46" xfId="0" applyNumberFormat="1" applyFont="1" applyFill="1" applyBorder="1" applyAlignment="1">
      <alignment horizontal="center" vertical="top"/>
    </xf>
    <xf numFmtId="0" fontId="4" fillId="3" borderId="40" xfId="0" applyFont="1" applyFill="1" applyBorder="1" applyAlignment="1">
      <alignment vertical="top" wrapText="1"/>
    </xf>
    <xf numFmtId="164" fontId="4" fillId="3" borderId="38" xfId="0" applyNumberFormat="1" applyFont="1" applyFill="1" applyBorder="1" applyAlignment="1">
      <alignment horizontal="center" vertical="top"/>
    </xf>
    <xf numFmtId="165" fontId="1" fillId="3" borderId="40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3" fontId="23" fillId="3" borderId="16" xfId="0" applyNumberFormat="1" applyFont="1" applyFill="1" applyBorder="1" applyAlignment="1">
      <alignment vertical="top" wrapText="1"/>
    </xf>
    <xf numFmtId="3" fontId="3" fillId="3" borderId="66" xfId="0" applyNumberFormat="1" applyFont="1" applyFill="1" applyBorder="1" applyAlignment="1">
      <alignment horizontal="center" vertical="top" wrapText="1"/>
    </xf>
    <xf numFmtId="3" fontId="3" fillId="3" borderId="65" xfId="0" applyNumberFormat="1" applyFont="1" applyFill="1" applyBorder="1" applyAlignment="1">
      <alignment horizontal="center" vertical="top"/>
    </xf>
    <xf numFmtId="3" fontId="3" fillId="3" borderId="71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/>
    </xf>
    <xf numFmtId="0" fontId="4" fillId="3" borderId="42" xfId="0" applyFont="1" applyFill="1" applyBorder="1" applyAlignment="1">
      <alignment horizontal="left" vertical="top" wrapText="1"/>
    </xf>
    <xf numFmtId="49" fontId="4" fillId="3" borderId="18" xfId="1" applyNumberFormat="1" applyFont="1" applyFill="1" applyBorder="1" applyAlignment="1">
      <alignment horizontal="center" vertical="top" wrapText="1"/>
    </xf>
    <xf numFmtId="164" fontId="4" fillId="3" borderId="46" xfId="0" applyNumberFormat="1" applyFont="1" applyFill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11" borderId="40" xfId="1" applyNumberFormat="1" applyFont="1" applyFill="1" applyBorder="1" applyAlignment="1">
      <alignment horizontal="center" vertical="top"/>
    </xf>
    <xf numFmtId="164" fontId="4" fillId="11" borderId="32" xfId="1" applyNumberFormat="1" applyFont="1" applyFill="1" applyBorder="1" applyAlignment="1">
      <alignment horizontal="center" vertical="top"/>
    </xf>
    <xf numFmtId="164" fontId="4" fillId="11" borderId="16" xfId="1" applyNumberFormat="1" applyFont="1" applyFill="1" applyBorder="1" applyAlignment="1">
      <alignment horizontal="center" vertical="top"/>
    </xf>
    <xf numFmtId="164" fontId="4" fillId="11" borderId="15" xfId="1" applyNumberFormat="1" applyFont="1" applyFill="1" applyBorder="1" applyAlignment="1">
      <alignment horizontal="center" vertical="top"/>
    </xf>
    <xf numFmtId="49" fontId="4" fillId="3" borderId="42" xfId="1" applyNumberFormat="1" applyFont="1" applyFill="1" applyBorder="1" applyAlignment="1">
      <alignment horizontal="center" vertical="top" wrapText="1"/>
    </xf>
    <xf numFmtId="164" fontId="4" fillId="3" borderId="40" xfId="1" applyNumberFormat="1" applyFont="1" applyFill="1" applyBorder="1" applyAlignment="1">
      <alignment horizontal="center" vertical="top"/>
    </xf>
    <xf numFmtId="164" fontId="4" fillId="3" borderId="42" xfId="1" applyNumberFormat="1" applyFont="1" applyFill="1" applyBorder="1" applyAlignment="1">
      <alignment horizontal="center" vertical="top"/>
    </xf>
    <xf numFmtId="164" fontId="4" fillId="3" borderId="32" xfId="1" applyNumberFormat="1" applyFont="1" applyFill="1" applyBorder="1" applyAlignment="1">
      <alignment horizontal="center" vertical="top"/>
    </xf>
    <xf numFmtId="3" fontId="3" fillId="3" borderId="74" xfId="0" applyNumberFormat="1" applyFont="1" applyFill="1" applyBorder="1" applyAlignment="1">
      <alignment vertical="top" wrapText="1"/>
    </xf>
    <xf numFmtId="49" fontId="4" fillId="3" borderId="49" xfId="1" applyNumberFormat="1" applyFont="1" applyFill="1" applyBorder="1" applyAlignment="1">
      <alignment horizontal="center" vertical="top" wrapText="1"/>
    </xf>
    <xf numFmtId="164" fontId="4" fillId="3" borderId="48" xfId="1" applyNumberFormat="1" applyFont="1" applyFill="1" applyBorder="1" applyAlignment="1">
      <alignment horizontal="center" vertical="top"/>
    </xf>
    <xf numFmtId="164" fontId="4" fillId="3" borderId="49" xfId="1" applyNumberFormat="1" applyFont="1" applyFill="1" applyBorder="1" applyAlignment="1">
      <alignment horizontal="center" vertical="top"/>
    </xf>
    <xf numFmtId="164" fontId="4" fillId="3" borderId="50" xfId="1" applyNumberFormat="1" applyFont="1" applyFill="1" applyBorder="1" applyAlignment="1">
      <alignment horizontal="center" vertical="top"/>
    </xf>
    <xf numFmtId="164" fontId="4" fillId="3" borderId="76" xfId="1" applyNumberFormat="1" applyFont="1" applyFill="1" applyBorder="1" applyAlignment="1">
      <alignment horizontal="center" vertical="top"/>
    </xf>
    <xf numFmtId="3" fontId="1" fillId="3" borderId="31" xfId="0" applyNumberFormat="1" applyFont="1" applyFill="1" applyBorder="1" applyAlignment="1">
      <alignment horizontal="center" vertical="top" textRotation="180" wrapText="1"/>
    </xf>
    <xf numFmtId="3" fontId="1" fillId="3" borderId="31" xfId="0" applyNumberFormat="1" applyFont="1" applyFill="1" applyBorder="1" applyAlignment="1">
      <alignment horizontal="center" vertical="top" wrapText="1"/>
    </xf>
    <xf numFmtId="3" fontId="1" fillId="0" borderId="65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3" borderId="71" xfId="0" applyNumberFormat="1" applyFont="1" applyFill="1" applyBorder="1" applyAlignment="1">
      <alignment horizontal="center" vertical="top" textRotation="180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textRotation="180" wrapText="1"/>
    </xf>
    <xf numFmtId="3" fontId="6" fillId="3" borderId="51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3" fontId="3" fillId="3" borderId="45" xfId="0" applyNumberFormat="1" applyFont="1" applyFill="1" applyBorder="1" applyAlignment="1">
      <alignment horizontal="center" vertical="top" wrapText="1"/>
    </xf>
    <xf numFmtId="164" fontId="4" fillId="10" borderId="42" xfId="1" applyNumberFormat="1" applyFont="1" applyFill="1" applyBorder="1" applyAlignment="1">
      <alignment horizontal="center" vertical="top"/>
    </xf>
    <xf numFmtId="164" fontId="4" fillId="10" borderId="44" xfId="1" applyNumberFormat="1" applyFont="1" applyFill="1" applyBorder="1" applyAlignment="1">
      <alignment horizontal="center" vertical="top"/>
    </xf>
    <xf numFmtId="164" fontId="4" fillId="10" borderId="31" xfId="1" applyNumberFormat="1" applyFont="1" applyFill="1" applyBorder="1" applyAlignment="1">
      <alignment horizontal="center" vertical="top"/>
    </xf>
    <xf numFmtId="164" fontId="4" fillId="10" borderId="30" xfId="1" applyNumberFormat="1" applyFont="1" applyFill="1" applyBorder="1" applyAlignment="1">
      <alignment horizontal="center" vertical="top"/>
    </xf>
    <xf numFmtId="164" fontId="4" fillId="10" borderId="12" xfId="1" applyNumberFormat="1" applyFont="1" applyFill="1" applyBorder="1" applyAlignment="1">
      <alignment horizontal="center" vertical="top"/>
    </xf>
    <xf numFmtId="164" fontId="4" fillId="10" borderId="18" xfId="1" applyNumberFormat="1" applyFont="1" applyFill="1" applyBorder="1" applyAlignment="1">
      <alignment horizontal="center" vertical="top"/>
    </xf>
    <xf numFmtId="0" fontId="4" fillId="3" borderId="41" xfId="0" applyFont="1" applyFill="1" applyBorder="1" applyAlignment="1">
      <alignment vertical="top" wrapText="1"/>
    </xf>
    <xf numFmtId="164" fontId="4" fillId="10" borderId="49" xfId="1" applyNumberFormat="1" applyFont="1" applyFill="1" applyBorder="1" applyAlignment="1">
      <alignment horizontal="center" vertical="top"/>
    </xf>
    <xf numFmtId="164" fontId="4" fillId="10" borderId="50" xfId="1" applyNumberFormat="1" applyFont="1" applyFill="1" applyBorder="1" applyAlignment="1">
      <alignment horizontal="center" vertical="top"/>
    </xf>
    <xf numFmtId="164" fontId="4" fillId="10" borderId="51" xfId="1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center" vertical="center" textRotation="90" wrapText="1"/>
    </xf>
    <xf numFmtId="3" fontId="3" fillId="0" borderId="65" xfId="0" applyNumberFormat="1" applyFont="1" applyBorder="1" applyAlignment="1">
      <alignment horizontal="center" vertical="top"/>
    </xf>
    <xf numFmtId="164" fontId="1" fillId="3" borderId="41" xfId="0" applyNumberFormat="1" applyFont="1" applyFill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horizontal="center" vertical="top"/>
    </xf>
    <xf numFmtId="164" fontId="1" fillId="3" borderId="15" xfId="0" applyNumberFormat="1" applyFont="1" applyFill="1" applyBorder="1" applyAlignment="1">
      <alignment horizontal="center" vertical="top" wrapText="1"/>
    </xf>
    <xf numFmtId="3" fontId="1" fillId="4" borderId="41" xfId="0" applyNumberFormat="1" applyFont="1" applyFill="1" applyBorder="1" applyAlignment="1">
      <alignment vertical="top" wrapText="1"/>
    </xf>
    <xf numFmtId="3" fontId="1" fillId="4" borderId="14" xfId="0" applyNumberFormat="1" applyFont="1" applyFill="1" applyBorder="1" applyAlignment="1">
      <alignment horizontal="center" vertical="top" wrapText="1"/>
    </xf>
    <xf numFmtId="3" fontId="1" fillId="4" borderId="41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15" xfId="0" applyNumberFormat="1" applyFont="1" applyFill="1" applyBorder="1" applyAlignment="1">
      <alignment horizontal="center" vertical="top" wrapText="1"/>
    </xf>
    <xf numFmtId="3" fontId="6" fillId="3" borderId="52" xfId="0" applyNumberFormat="1" applyFont="1" applyFill="1" applyBorder="1" applyAlignment="1">
      <alignment horizontal="center" vertical="top" wrapText="1"/>
    </xf>
    <xf numFmtId="164" fontId="1" fillId="3" borderId="45" xfId="0" applyNumberFormat="1" applyFont="1" applyFill="1" applyBorder="1" applyAlignment="1">
      <alignment horizontal="center" vertical="top" wrapText="1"/>
    </xf>
    <xf numFmtId="165" fontId="3" fillId="5" borderId="57" xfId="0" applyNumberFormat="1" applyFont="1" applyFill="1" applyBorder="1" applyAlignment="1">
      <alignment horizontal="center" vertical="top" wrapText="1"/>
    </xf>
    <xf numFmtId="0" fontId="4" fillId="3" borderId="54" xfId="0" applyFont="1" applyFill="1" applyBorder="1" applyAlignment="1">
      <alignment horizontal="center" vertical="top" wrapText="1"/>
    </xf>
    <xf numFmtId="0" fontId="10" fillId="3" borderId="65" xfId="0" applyFont="1" applyFill="1" applyBorder="1" applyAlignment="1">
      <alignment horizontal="center" vertical="top" wrapText="1"/>
    </xf>
    <xf numFmtId="3" fontId="4" fillId="3" borderId="67" xfId="0" applyNumberFormat="1" applyFont="1" applyFill="1" applyBorder="1" applyAlignment="1">
      <alignment vertical="top"/>
    </xf>
    <xf numFmtId="0" fontId="4" fillId="3" borderId="18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vertical="top" wrapText="1"/>
    </xf>
    <xf numFmtId="164" fontId="1" fillId="3" borderId="47" xfId="0" applyNumberFormat="1" applyFont="1" applyFill="1" applyBorder="1" applyAlignment="1">
      <alignment horizontal="center" vertical="top"/>
    </xf>
    <xf numFmtId="164" fontId="17" fillId="3" borderId="18" xfId="0" applyNumberFormat="1" applyFont="1" applyFill="1" applyBorder="1" applyAlignment="1">
      <alignment horizontal="center" vertical="top" wrapText="1"/>
    </xf>
    <xf numFmtId="164" fontId="17" fillId="3" borderId="12" xfId="0" applyNumberFormat="1" applyFont="1" applyFill="1" applyBorder="1" applyAlignment="1">
      <alignment horizontal="center" vertical="top" wrapText="1"/>
    </xf>
    <xf numFmtId="164" fontId="17" fillId="3" borderId="31" xfId="0" applyNumberFormat="1" applyFont="1" applyFill="1" applyBorder="1" applyAlignment="1">
      <alignment horizontal="center" vertical="top" wrapText="1"/>
    </xf>
    <xf numFmtId="164" fontId="17" fillId="3" borderId="44" xfId="0" applyNumberFormat="1" applyFont="1" applyFill="1" applyBorder="1" applyAlignment="1">
      <alignment horizontal="center" vertical="top" wrapText="1"/>
    </xf>
    <xf numFmtId="164" fontId="1" fillId="3" borderId="66" xfId="0" applyNumberFormat="1" applyFont="1" applyFill="1" applyBorder="1" applyAlignment="1">
      <alignment horizontal="center" vertical="top"/>
    </xf>
    <xf numFmtId="3" fontId="4" fillId="3" borderId="61" xfId="0" applyNumberFormat="1" applyFont="1" applyFill="1" applyBorder="1" applyAlignment="1">
      <alignment horizontal="center" vertical="top"/>
    </xf>
    <xf numFmtId="3" fontId="4" fillId="3" borderId="6" xfId="0" applyNumberFormat="1" applyFont="1" applyFill="1" applyBorder="1" applyAlignment="1">
      <alignment horizontal="center" vertical="top"/>
    </xf>
    <xf numFmtId="165" fontId="1" fillId="3" borderId="12" xfId="0" applyNumberFormat="1" applyFont="1" applyFill="1" applyBorder="1" applyAlignment="1">
      <alignment horizontal="center" vertical="top"/>
    </xf>
    <xf numFmtId="165" fontId="1" fillId="0" borderId="37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65" fontId="1" fillId="3" borderId="41" xfId="0" applyNumberFormat="1" applyFont="1" applyFill="1" applyBorder="1" applyAlignment="1">
      <alignment horizontal="center" vertical="top" wrapText="1"/>
    </xf>
    <xf numFmtId="165" fontId="1" fillId="3" borderId="15" xfId="0" applyNumberFormat="1" applyFont="1" applyFill="1" applyBorder="1" applyAlignment="1">
      <alignment horizontal="center" vertical="top" wrapText="1"/>
    </xf>
    <xf numFmtId="164" fontId="6" fillId="8" borderId="37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1" fillId="5" borderId="30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6" fillId="8" borderId="8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 wrapText="1"/>
    </xf>
    <xf numFmtId="164" fontId="1" fillId="5" borderId="19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164" fontId="6" fillId="8" borderId="4" xfId="0" applyNumberFormat="1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 wrapText="1"/>
    </xf>
    <xf numFmtId="164" fontId="1" fillId="5" borderId="12" xfId="0" applyNumberFormat="1" applyFont="1" applyFill="1" applyBorder="1" applyAlignment="1">
      <alignment horizontal="center" vertical="top" wrapText="1"/>
    </xf>
    <xf numFmtId="164" fontId="1" fillId="5" borderId="21" xfId="0" applyNumberFormat="1" applyFont="1" applyFill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center" textRotation="90" wrapText="1"/>
    </xf>
    <xf numFmtId="3" fontId="4" fillId="3" borderId="52" xfId="0" applyNumberFormat="1" applyFont="1" applyFill="1" applyBorder="1" applyAlignment="1">
      <alignment horizontal="center" vertical="center" textRotation="90" wrapText="1"/>
    </xf>
    <xf numFmtId="3" fontId="4" fillId="0" borderId="40" xfId="0" applyNumberFormat="1" applyFont="1" applyBorder="1" applyAlignment="1">
      <alignment horizontal="center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165" fontId="1" fillId="3" borderId="44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left" vertical="top" wrapText="1"/>
    </xf>
    <xf numFmtId="3" fontId="6" fillId="5" borderId="55" xfId="0" applyNumberFormat="1" applyFont="1" applyFill="1" applyBorder="1" applyAlignment="1">
      <alignment horizontal="right" vertical="top" wrapText="1"/>
    </xf>
    <xf numFmtId="3" fontId="6" fillId="5" borderId="56" xfId="0" applyNumberFormat="1" applyFont="1" applyFill="1" applyBorder="1" applyAlignment="1">
      <alignment horizontal="right" vertical="top" wrapText="1"/>
    </xf>
    <xf numFmtId="3" fontId="3" fillId="0" borderId="54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6" fillId="3" borderId="41" xfId="0" applyNumberFormat="1" applyFont="1" applyFill="1" applyBorder="1" applyAlignment="1">
      <alignment horizontal="left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top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48" xfId="0" applyNumberFormat="1" applyFont="1" applyFill="1" applyBorder="1" applyAlignment="1">
      <alignment vertical="top" wrapText="1"/>
    </xf>
    <xf numFmtId="3" fontId="3" fillId="2" borderId="22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3" fillId="7" borderId="36" xfId="0" applyNumberFormat="1" applyFont="1" applyFill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49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165" fontId="1" fillId="3" borderId="42" xfId="0" applyNumberFormat="1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0" fontId="10" fillId="3" borderId="42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0" fontId="10" fillId="3" borderId="32" xfId="0" applyFont="1" applyFill="1" applyBorder="1" applyAlignment="1">
      <alignment horizontal="center" vertical="top" wrapText="1"/>
    </xf>
    <xf numFmtId="165" fontId="1" fillId="3" borderId="49" xfId="0" applyNumberFormat="1" applyFont="1" applyFill="1" applyBorder="1" applyAlignment="1">
      <alignment horizontal="center" vertical="top"/>
    </xf>
    <xf numFmtId="165" fontId="1" fillId="3" borderId="76" xfId="0" applyNumberFormat="1" applyFont="1" applyFill="1" applyBorder="1" applyAlignment="1">
      <alignment horizontal="center" vertical="top"/>
    </xf>
    <xf numFmtId="1" fontId="4" fillId="3" borderId="52" xfId="0" applyNumberFormat="1" applyFont="1" applyFill="1" applyBorder="1" applyAlignment="1">
      <alignment horizontal="center" vertical="top"/>
    </xf>
    <xf numFmtId="1" fontId="4" fillId="3" borderId="50" xfId="0" applyNumberFormat="1" applyFont="1" applyFill="1" applyBorder="1" applyAlignment="1">
      <alignment horizontal="center" vertical="top"/>
    </xf>
    <xf numFmtId="1" fontId="4" fillId="3" borderId="53" xfId="0" applyNumberFormat="1" applyFont="1" applyFill="1" applyBorder="1" applyAlignment="1">
      <alignment horizontal="center" vertical="top"/>
    </xf>
    <xf numFmtId="0" fontId="10" fillId="3" borderId="30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" fillId="12" borderId="0" xfId="0" applyFont="1" applyFill="1" applyAlignment="1">
      <alignment horizontal="center" vertical="center"/>
    </xf>
    <xf numFmtId="164" fontId="4" fillId="11" borderId="42" xfId="1" applyNumberFormat="1" applyFont="1" applyFill="1" applyBorder="1" applyAlignment="1">
      <alignment horizontal="center" vertical="top"/>
    </xf>
    <xf numFmtId="164" fontId="4" fillId="11" borderId="44" xfId="1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 wrapText="1"/>
    </xf>
    <xf numFmtId="3" fontId="1" fillId="4" borderId="30" xfId="0" applyNumberFormat="1" applyFont="1" applyFill="1" applyBorder="1" applyAlignment="1">
      <alignment vertical="top" wrapText="1"/>
    </xf>
    <xf numFmtId="3" fontId="1" fillId="4" borderId="17" xfId="0" applyNumberFormat="1" applyFont="1" applyFill="1" applyBorder="1" applyAlignment="1">
      <alignment horizontal="center" vertical="top" wrapText="1"/>
    </xf>
    <xf numFmtId="3" fontId="1" fillId="4" borderId="30" xfId="0" applyNumberFormat="1" applyFont="1" applyFill="1" applyBorder="1" applyAlignment="1">
      <alignment horizontal="center" vertical="top" wrapText="1"/>
    </xf>
    <xf numFmtId="3" fontId="1" fillId="4" borderId="12" xfId="0" applyNumberFormat="1" applyFont="1" applyFill="1" applyBorder="1" applyAlignment="1">
      <alignment horizontal="center" vertical="top" wrapText="1"/>
    </xf>
    <xf numFmtId="3" fontId="1" fillId="4" borderId="19" xfId="0" applyNumberFormat="1" applyFont="1" applyFill="1" applyBorder="1" applyAlignment="1">
      <alignment horizontal="center" vertical="top" wrapText="1"/>
    </xf>
    <xf numFmtId="49" fontId="4" fillId="3" borderId="41" xfId="1" applyNumberFormat="1" applyFont="1" applyFill="1" applyBorder="1" applyAlignment="1">
      <alignment horizontal="center" vertical="top" wrapText="1"/>
    </xf>
    <xf numFmtId="164" fontId="4" fillId="3" borderId="16" xfId="1" applyNumberFormat="1" applyFont="1" applyFill="1" applyBorder="1" applyAlignment="1">
      <alignment horizontal="center" vertical="top"/>
    </xf>
    <xf numFmtId="164" fontId="4" fillId="3" borderId="41" xfId="1" applyNumberFormat="1" applyFont="1" applyFill="1" applyBorder="1" applyAlignment="1">
      <alignment horizontal="center" vertical="top"/>
    </xf>
    <xf numFmtId="164" fontId="4" fillId="3" borderId="13" xfId="1" applyNumberFormat="1" applyFont="1" applyFill="1" applyBorder="1" applyAlignment="1">
      <alignment horizontal="center" vertical="top"/>
    </xf>
    <xf numFmtId="164" fontId="4" fillId="3" borderId="15" xfId="1" applyNumberFormat="1" applyFont="1" applyFill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vertical="top" wrapText="1"/>
    </xf>
    <xf numFmtId="3" fontId="1" fillId="3" borderId="41" xfId="0" applyNumberFormat="1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top" wrapText="1"/>
    </xf>
    <xf numFmtId="165" fontId="1" fillId="3" borderId="50" xfId="0" applyNumberFormat="1" applyFont="1" applyFill="1" applyBorder="1" applyAlignment="1">
      <alignment horizontal="center" vertical="top"/>
    </xf>
    <xf numFmtId="3" fontId="4" fillId="0" borderId="46" xfId="0" applyNumberFormat="1" applyFont="1" applyBorder="1" applyAlignment="1">
      <alignment horizontal="center" vertical="top" wrapText="1"/>
    </xf>
    <xf numFmtId="0" fontId="4" fillId="3" borderId="61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3" fontId="4" fillId="3" borderId="30" xfId="0" applyNumberFormat="1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3" fontId="4" fillId="3" borderId="49" xfId="0" applyNumberFormat="1" applyFont="1" applyFill="1" applyBorder="1" applyAlignment="1">
      <alignment vertical="top" wrapText="1"/>
    </xf>
    <xf numFmtId="1" fontId="1" fillId="3" borderId="14" xfId="0" applyNumberFormat="1" applyFont="1" applyFill="1" applyBorder="1" applyAlignment="1">
      <alignment horizontal="center" vertical="top" wrapText="1"/>
    </xf>
    <xf numFmtId="1" fontId="1" fillId="3" borderId="41" xfId="0" applyNumberFormat="1" applyFont="1" applyFill="1" applyBorder="1" applyAlignment="1">
      <alignment horizontal="center" vertical="top" wrapText="1"/>
    </xf>
    <xf numFmtId="1" fontId="1" fillId="3" borderId="13" xfId="0" applyNumberFormat="1" applyFont="1" applyFill="1" applyBorder="1" applyAlignment="1">
      <alignment horizontal="center" vertical="top" wrapText="1"/>
    </xf>
    <xf numFmtId="1" fontId="1" fillId="3" borderId="15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165" fontId="1" fillId="3" borderId="46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 wrapText="1"/>
    </xf>
    <xf numFmtId="164" fontId="7" fillId="0" borderId="37" xfId="0" applyNumberFormat="1" applyFont="1" applyBorder="1" applyAlignment="1">
      <alignment horizontal="center" vertical="center" textRotation="90" wrapText="1"/>
    </xf>
    <xf numFmtId="164" fontId="7" fillId="0" borderId="6" xfId="0" applyNumberFormat="1" applyFont="1" applyBorder="1" applyAlignment="1">
      <alignment horizontal="center" vertical="center" textRotation="90" wrapText="1"/>
    </xf>
    <xf numFmtId="164" fontId="7" fillId="0" borderId="4" xfId="0" applyNumberFormat="1" applyFont="1" applyBorder="1" applyAlignment="1">
      <alignment horizontal="center" vertical="center" textRotation="90" wrapText="1"/>
    </xf>
    <xf numFmtId="3" fontId="4" fillId="0" borderId="42" xfId="0" applyNumberFormat="1" applyFont="1" applyFill="1" applyBorder="1" applyAlignment="1">
      <alignment vertical="top" wrapText="1"/>
    </xf>
    <xf numFmtId="49" fontId="1" fillId="4" borderId="45" xfId="0" applyNumberFormat="1" applyFont="1" applyFill="1" applyBorder="1" applyAlignment="1">
      <alignment horizontal="center" vertical="top" wrapText="1"/>
    </xf>
    <xf numFmtId="49" fontId="1" fillId="4" borderId="54" xfId="0" applyNumberFormat="1" applyFont="1" applyFill="1" applyBorder="1" applyAlignment="1">
      <alignment horizontal="center" vertical="top" wrapText="1"/>
    </xf>
    <xf numFmtId="49" fontId="1" fillId="4" borderId="53" xfId="0" applyNumberFormat="1" applyFont="1" applyFill="1" applyBorder="1" applyAlignment="1">
      <alignment horizontal="center" vertical="top" wrapText="1"/>
    </xf>
    <xf numFmtId="49" fontId="1" fillId="4" borderId="45" xfId="0" applyNumberFormat="1" applyFont="1" applyFill="1" applyBorder="1" applyAlignment="1">
      <alignment horizontal="center" vertical="top"/>
    </xf>
    <xf numFmtId="165" fontId="1" fillId="3" borderId="42" xfId="0" applyNumberFormat="1" applyFont="1" applyFill="1" applyBorder="1" applyAlignment="1">
      <alignment horizontal="left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41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164" fontId="4" fillId="3" borderId="15" xfId="0" applyNumberFormat="1" applyFont="1" applyFill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 wrapText="1"/>
    </xf>
    <xf numFmtId="165" fontId="1" fillId="3" borderId="30" xfId="0" applyNumberFormat="1" applyFont="1" applyFill="1" applyBorder="1" applyAlignment="1">
      <alignment horizontal="center" vertical="top"/>
    </xf>
    <xf numFmtId="165" fontId="1" fillId="3" borderId="19" xfId="0" applyNumberFormat="1" applyFont="1" applyFill="1" applyBorder="1" applyAlignment="1">
      <alignment horizontal="center" vertical="top"/>
    </xf>
    <xf numFmtId="3" fontId="1" fillId="3" borderId="37" xfId="0" applyNumberFormat="1" applyFont="1" applyFill="1" applyBorder="1" applyAlignment="1">
      <alignment horizontal="center" vertical="top" wrapText="1"/>
    </xf>
    <xf numFmtId="164" fontId="1" fillId="3" borderId="27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/>
    </xf>
    <xf numFmtId="165" fontId="1" fillId="3" borderId="16" xfId="0" applyNumberFormat="1" applyFont="1" applyFill="1" applyBorder="1" applyAlignment="1">
      <alignment horizontal="center" vertical="top"/>
    </xf>
    <xf numFmtId="3" fontId="4" fillId="3" borderId="16" xfId="0" applyNumberFormat="1" applyFont="1" applyFill="1" applyBorder="1" applyAlignment="1">
      <alignment vertical="top"/>
    </xf>
    <xf numFmtId="164" fontId="1" fillId="3" borderId="36" xfId="0" applyNumberFormat="1" applyFont="1" applyFill="1" applyBorder="1" applyAlignment="1">
      <alignment horizontal="center" vertical="top"/>
    </xf>
    <xf numFmtId="164" fontId="1" fillId="3" borderId="72" xfId="0" applyNumberFormat="1" applyFont="1" applyFill="1" applyBorder="1" applyAlignment="1">
      <alignment horizontal="center" vertical="top"/>
    </xf>
    <xf numFmtId="164" fontId="1" fillId="3" borderId="74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165" fontId="6" fillId="5" borderId="57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/>
    </xf>
    <xf numFmtId="165" fontId="6" fillId="5" borderId="55" xfId="0" applyNumberFormat="1" applyFont="1" applyFill="1" applyBorder="1" applyAlignment="1">
      <alignment horizontal="center" vertical="top" wrapText="1"/>
    </xf>
    <xf numFmtId="165" fontId="6" fillId="5" borderId="21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4" fillId="3" borderId="16" xfId="0" applyNumberFormat="1" applyFont="1" applyFill="1" applyBorder="1" applyAlignment="1">
      <alignment vertical="top" wrapText="1"/>
    </xf>
    <xf numFmtId="164" fontId="1" fillId="3" borderId="28" xfId="0" applyNumberFormat="1" applyFont="1" applyFill="1" applyBorder="1" applyAlignment="1">
      <alignment horizontal="center" vertical="top"/>
    </xf>
    <xf numFmtId="3" fontId="4" fillId="3" borderId="27" xfId="0" applyNumberFormat="1" applyFont="1" applyFill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top"/>
    </xf>
    <xf numFmtId="164" fontId="4" fillId="3" borderId="49" xfId="0" applyNumberFormat="1" applyFont="1" applyFill="1" applyBorder="1" applyAlignment="1">
      <alignment horizontal="center" vertical="top"/>
    </xf>
    <xf numFmtId="164" fontId="4" fillId="3" borderId="50" xfId="0" applyNumberFormat="1" applyFont="1" applyFill="1" applyBorder="1" applyAlignment="1">
      <alignment horizontal="center" vertical="top"/>
    </xf>
    <xf numFmtId="164" fontId="4" fillId="3" borderId="51" xfId="0" applyNumberFormat="1" applyFont="1" applyFill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top"/>
    </xf>
    <xf numFmtId="3" fontId="3" fillId="0" borderId="60" xfId="0" applyNumberFormat="1" applyFont="1" applyFill="1" applyBorder="1" applyAlignment="1">
      <alignment horizontal="center" vertical="top" wrapText="1"/>
    </xf>
    <xf numFmtId="164" fontId="4" fillId="3" borderId="18" xfId="0" applyNumberFormat="1" applyFont="1" applyFill="1" applyBorder="1" applyAlignment="1">
      <alignment horizontal="center" vertical="top"/>
    </xf>
    <xf numFmtId="164" fontId="1" fillId="3" borderId="75" xfId="0" applyNumberFormat="1" applyFont="1" applyFill="1" applyBorder="1" applyAlignment="1">
      <alignment horizontal="center" vertical="top"/>
    </xf>
    <xf numFmtId="165" fontId="1" fillId="3" borderId="74" xfId="0" applyNumberFormat="1" applyFont="1" applyFill="1" applyBorder="1" applyAlignment="1">
      <alignment horizontal="center" vertical="top"/>
    </xf>
    <xf numFmtId="165" fontId="1" fillId="3" borderId="47" xfId="0" applyNumberFormat="1" applyFont="1" applyFill="1" applyBorder="1" applyAlignment="1">
      <alignment horizontal="center" vertical="top"/>
    </xf>
    <xf numFmtId="165" fontId="1" fillId="3" borderId="75" xfId="0" applyNumberFormat="1" applyFont="1" applyFill="1" applyBorder="1" applyAlignment="1">
      <alignment horizontal="center" vertical="top"/>
    </xf>
    <xf numFmtId="165" fontId="1" fillId="3" borderId="53" xfId="0" applyNumberFormat="1" applyFont="1" applyFill="1" applyBorder="1" applyAlignment="1">
      <alignment horizontal="center" vertical="top"/>
    </xf>
    <xf numFmtId="165" fontId="6" fillId="2" borderId="9" xfId="0" applyNumberFormat="1" applyFont="1" applyFill="1" applyBorder="1" applyAlignment="1">
      <alignment horizontal="center" vertical="top"/>
    </xf>
    <xf numFmtId="0" fontId="4" fillId="3" borderId="36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3" fontId="4" fillId="3" borderId="16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29" xfId="0" applyNumberFormat="1" applyFont="1" applyFill="1" applyBorder="1" applyAlignment="1">
      <alignment horizontal="center" vertical="top"/>
    </xf>
    <xf numFmtId="3" fontId="10" fillId="3" borderId="35" xfId="0" applyNumberFormat="1" applyFont="1" applyFill="1" applyBorder="1" applyAlignment="1">
      <alignment horizontal="center" vertical="top" wrapText="1"/>
    </xf>
    <xf numFmtId="3" fontId="10" fillId="3" borderId="4" xfId="0" applyNumberFormat="1" applyFont="1" applyFill="1" applyBorder="1" applyAlignment="1">
      <alignment horizontal="center" vertical="top" wrapText="1"/>
    </xf>
    <xf numFmtId="3" fontId="10" fillId="3" borderId="6" xfId="0" applyNumberFormat="1" applyFont="1" applyFill="1" applyBorder="1" applyAlignment="1">
      <alignment horizontal="center" vertical="top" wrapText="1"/>
    </xf>
    <xf numFmtId="0" fontId="7" fillId="3" borderId="45" xfId="0" applyFont="1" applyFill="1" applyBorder="1" applyAlignment="1">
      <alignment horizontal="center" vertical="top" wrapText="1"/>
    </xf>
    <xf numFmtId="164" fontId="4" fillId="11" borderId="19" xfId="1" applyNumberFormat="1" applyFont="1" applyFill="1" applyBorder="1" applyAlignment="1">
      <alignment horizontal="center" vertical="top"/>
    </xf>
    <xf numFmtId="164" fontId="4" fillId="11" borderId="11" xfId="1" applyNumberFormat="1" applyFont="1" applyFill="1" applyBorder="1" applyAlignment="1">
      <alignment horizontal="center" vertical="top"/>
    </xf>
    <xf numFmtId="164" fontId="4" fillId="11" borderId="31" xfId="1" applyNumberFormat="1" applyFont="1" applyFill="1" applyBorder="1" applyAlignment="1">
      <alignment horizontal="center" vertical="top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164" fontId="1" fillId="3" borderId="35" xfId="0" applyNumberFormat="1" applyFont="1" applyFill="1" applyBorder="1" applyAlignment="1">
      <alignment horizontal="center" vertical="top"/>
    </xf>
    <xf numFmtId="49" fontId="4" fillId="3" borderId="45" xfId="0" applyNumberFormat="1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/>
    </xf>
    <xf numFmtId="165" fontId="1" fillId="3" borderId="32" xfId="0" applyNumberFormat="1" applyFont="1" applyFill="1" applyBorder="1" applyAlignment="1">
      <alignment horizontal="center" vertical="top" wrapText="1"/>
    </xf>
    <xf numFmtId="3" fontId="6" fillId="3" borderId="41" xfId="0" applyNumberFormat="1" applyFont="1" applyFill="1" applyBorder="1" applyAlignment="1">
      <alignment horizontal="left" vertical="top" wrapText="1"/>
    </xf>
    <xf numFmtId="3" fontId="3" fillId="7" borderId="39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1" fillId="3" borderId="46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Border="1" applyAlignment="1">
      <alignment horizontal="center" vertical="top"/>
    </xf>
    <xf numFmtId="164" fontId="4" fillId="3" borderId="42" xfId="0" applyNumberFormat="1" applyFont="1" applyFill="1" applyBorder="1" applyAlignment="1">
      <alignment horizontal="center" vertical="top" wrapText="1"/>
    </xf>
    <xf numFmtId="49" fontId="1" fillId="3" borderId="31" xfId="1" applyNumberFormat="1" applyFont="1" applyFill="1" applyBorder="1" applyAlignment="1">
      <alignment horizontal="center" vertical="top" wrapText="1"/>
    </xf>
    <xf numFmtId="49" fontId="1" fillId="3" borderId="16" xfId="1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49" fontId="1" fillId="3" borderId="51" xfId="1" applyNumberFormat="1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3" fillId="0" borderId="54" xfId="0" applyNumberFormat="1" applyFont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30" xfId="0" applyNumberFormat="1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6" xfId="0" applyNumberFormat="1" applyFont="1" applyFill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center" textRotation="90" wrapText="1"/>
    </xf>
    <xf numFmtId="3" fontId="4" fillId="3" borderId="52" xfId="0" applyNumberFormat="1" applyFont="1" applyFill="1" applyBorder="1" applyAlignment="1">
      <alignment horizontal="center" vertical="center" textRotation="90" wrapText="1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48" xfId="0" applyNumberFormat="1" applyFont="1" applyFill="1" applyBorder="1" applyAlignment="1">
      <alignment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4" fillId="3" borderId="18" xfId="0" applyNumberFormat="1" applyFont="1" applyFill="1" applyBorder="1" applyAlignment="1">
      <alignment horizontal="left" vertical="top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center" textRotation="90"/>
    </xf>
    <xf numFmtId="3" fontId="11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left" vertical="top" wrapText="1"/>
    </xf>
    <xf numFmtId="164" fontId="1" fillId="3" borderId="15" xfId="0" applyNumberFormat="1" applyFont="1" applyFill="1" applyBorder="1" applyAlignment="1">
      <alignment horizontal="center" vertical="top"/>
    </xf>
    <xf numFmtId="164" fontId="24" fillId="3" borderId="41" xfId="0" applyNumberFormat="1" applyFont="1" applyFill="1" applyBorder="1" applyAlignment="1">
      <alignment horizontal="center" vertical="top"/>
    </xf>
    <xf numFmtId="164" fontId="24" fillId="3" borderId="13" xfId="0" applyNumberFormat="1" applyFont="1" applyFill="1" applyBorder="1" applyAlignment="1">
      <alignment horizontal="center" vertical="top"/>
    </xf>
    <xf numFmtId="164" fontId="24" fillId="3" borderId="15" xfId="0" applyNumberFormat="1" applyFont="1" applyFill="1" applyBorder="1" applyAlignment="1">
      <alignment horizontal="center" vertical="top"/>
    </xf>
    <xf numFmtId="164" fontId="24" fillId="3" borderId="0" xfId="0" applyNumberFormat="1" applyFont="1" applyFill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/>
    </xf>
    <xf numFmtId="3" fontId="24" fillId="0" borderId="16" xfId="0" applyNumberFormat="1" applyFont="1" applyFill="1" applyBorder="1" applyAlignment="1">
      <alignment horizontal="center" vertical="top"/>
    </xf>
    <xf numFmtId="3" fontId="4" fillId="0" borderId="46" xfId="0" applyNumberFormat="1" applyFont="1" applyFill="1" applyBorder="1" applyAlignment="1">
      <alignment horizontal="center" vertical="top"/>
    </xf>
    <xf numFmtId="3" fontId="1" fillId="0" borderId="30" xfId="0" applyNumberFormat="1" applyFont="1" applyFill="1" applyBorder="1" applyAlignment="1">
      <alignment horizontal="center" vertical="top" wrapText="1"/>
    </xf>
    <xf numFmtId="3" fontId="6" fillId="3" borderId="16" xfId="0" applyNumberFormat="1" applyFont="1" applyFill="1" applyBorder="1" applyAlignment="1">
      <alignment horizontal="center" vertical="top"/>
    </xf>
    <xf numFmtId="3" fontId="1" fillId="0" borderId="35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164" fontId="24" fillId="3" borderId="13" xfId="0" applyNumberFormat="1" applyFont="1" applyFill="1" applyBorder="1" applyAlignment="1">
      <alignment horizontal="center" vertical="top" wrapText="1"/>
    </xf>
    <xf numFmtId="165" fontId="24" fillId="3" borderId="50" xfId="0" applyNumberFormat="1" applyFont="1" applyFill="1" applyBorder="1" applyAlignment="1">
      <alignment horizontal="center" vertical="top"/>
    </xf>
    <xf numFmtId="165" fontId="24" fillId="3" borderId="0" xfId="0" applyNumberFormat="1" applyFont="1" applyFill="1" applyBorder="1" applyAlignment="1">
      <alignment horizontal="center" vertical="top" wrapText="1"/>
    </xf>
    <xf numFmtId="165" fontId="24" fillId="3" borderId="13" xfId="0" applyNumberFormat="1" applyFont="1" applyFill="1" applyBorder="1" applyAlignment="1">
      <alignment horizontal="center" vertical="top" wrapText="1"/>
    </xf>
    <xf numFmtId="3" fontId="4" fillId="3" borderId="31" xfId="0" applyNumberFormat="1" applyFont="1" applyFill="1" applyBorder="1" applyAlignment="1">
      <alignment vertical="top" wrapText="1"/>
    </xf>
    <xf numFmtId="3" fontId="4" fillId="3" borderId="18" xfId="0" applyNumberFormat="1" applyFont="1" applyFill="1" applyBorder="1" applyAlignment="1">
      <alignment vertical="top" wrapText="1"/>
    </xf>
    <xf numFmtId="165" fontId="1" fillId="3" borderId="31" xfId="0" applyNumberFormat="1" applyFont="1" applyFill="1" applyBorder="1" applyAlignment="1">
      <alignment horizontal="left" vertical="top" wrapText="1"/>
    </xf>
    <xf numFmtId="3" fontId="1" fillId="3" borderId="18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left" vertical="top" wrapText="1"/>
    </xf>
    <xf numFmtId="0" fontId="1" fillId="3" borderId="51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3" fontId="1" fillId="3" borderId="18" xfId="0" applyNumberFormat="1" applyFont="1" applyFill="1" applyBorder="1" applyAlignment="1">
      <alignment vertical="top" wrapText="1"/>
    </xf>
    <xf numFmtId="3" fontId="1" fillId="3" borderId="66" xfId="0" applyNumberFormat="1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>
      <alignment horizontal="center" vertical="top" wrapText="1"/>
    </xf>
    <xf numFmtId="165" fontId="24" fillId="3" borderId="0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vertical="top" wrapText="1"/>
    </xf>
    <xf numFmtId="164" fontId="1" fillId="4" borderId="77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3" fontId="24" fillId="3" borderId="41" xfId="0" applyNumberFormat="1" applyFont="1" applyFill="1" applyBorder="1" applyAlignment="1">
      <alignment horizontal="center" vertical="top"/>
    </xf>
    <xf numFmtId="164" fontId="24" fillId="3" borderId="15" xfId="0" applyNumberFormat="1" applyFont="1" applyFill="1" applyBorder="1" applyAlignment="1">
      <alignment horizontal="center" vertical="top" wrapText="1"/>
    </xf>
    <xf numFmtId="3" fontId="24" fillId="3" borderId="41" xfId="0" applyNumberFormat="1" applyFont="1" applyFill="1" applyBorder="1" applyAlignment="1">
      <alignment horizontal="center" vertical="top" wrapText="1"/>
    </xf>
    <xf numFmtId="3" fontId="24" fillId="3" borderId="41" xfId="0" applyNumberFormat="1" applyFont="1" applyFill="1" applyBorder="1" applyAlignment="1">
      <alignment vertical="top"/>
    </xf>
    <xf numFmtId="165" fontId="24" fillId="3" borderId="15" xfId="0" applyNumberFormat="1" applyFont="1" applyFill="1" applyBorder="1" applyAlignment="1">
      <alignment horizontal="center" vertical="top"/>
    </xf>
    <xf numFmtId="165" fontId="24" fillId="3" borderId="15" xfId="0" applyNumberFormat="1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center" vertical="top"/>
    </xf>
    <xf numFmtId="165" fontId="24" fillId="3" borderId="13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164" fontId="24" fillId="3" borderId="54" xfId="0" applyNumberFormat="1" applyFont="1" applyFill="1" applyBorder="1" applyAlignment="1">
      <alignment horizontal="center" vertical="top"/>
    </xf>
    <xf numFmtId="164" fontId="24" fillId="3" borderId="54" xfId="0" applyNumberFormat="1" applyFont="1" applyFill="1" applyBorder="1" applyAlignment="1">
      <alignment horizontal="center" vertical="top" wrapText="1"/>
    </xf>
    <xf numFmtId="165" fontId="24" fillId="3" borderId="54" xfId="0" applyNumberFormat="1" applyFont="1" applyFill="1" applyBorder="1" applyAlignment="1">
      <alignment horizontal="center" vertical="top"/>
    </xf>
    <xf numFmtId="165" fontId="24" fillId="3" borderId="54" xfId="0" applyNumberFormat="1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vertical="top" wrapText="1"/>
    </xf>
    <xf numFmtId="165" fontId="6" fillId="5" borderId="56" xfId="0" applyNumberFormat="1" applyFont="1" applyFill="1" applyBorder="1" applyAlignment="1">
      <alignment horizontal="center" vertical="top" wrapText="1"/>
    </xf>
    <xf numFmtId="165" fontId="6" fillId="5" borderId="26" xfId="0" applyNumberFormat="1" applyFont="1" applyFill="1" applyBorder="1" applyAlignment="1">
      <alignment horizontal="center" vertical="top" wrapText="1"/>
    </xf>
    <xf numFmtId="164" fontId="1" fillId="4" borderId="2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24" fillId="3" borderId="39" xfId="0" applyNumberFormat="1" applyFont="1" applyFill="1" applyBorder="1" applyAlignment="1">
      <alignment horizontal="center" vertical="top"/>
    </xf>
    <xf numFmtId="164" fontId="24" fillId="3" borderId="39" xfId="0" applyNumberFormat="1" applyFont="1" applyFill="1" applyBorder="1" applyAlignment="1">
      <alignment horizontal="center" vertical="top" wrapText="1"/>
    </xf>
    <xf numFmtId="3" fontId="24" fillId="3" borderId="39" xfId="0" applyNumberFormat="1" applyFont="1" applyFill="1" applyBorder="1" applyAlignment="1">
      <alignment vertical="top"/>
    </xf>
    <xf numFmtId="165" fontId="24" fillId="3" borderId="39" xfId="0" applyNumberFormat="1" applyFont="1" applyFill="1" applyBorder="1" applyAlignment="1">
      <alignment horizontal="center" vertical="top"/>
    </xf>
    <xf numFmtId="165" fontId="24" fillId="3" borderId="39" xfId="0" applyNumberFormat="1" applyFont="1" applyFill="1" applyBorder="1" applyAlignment="1">
      <alignment horizontal="center" vertical="top" wrapText="1"/>
    </xf>
    <xf numFmtId="165" fontId="6" fillId="5" borderId="20" xfId="0" applyNumberFormat="1" applyFont="1" applyFill="1" applyBorder="1" applyAlignment="1">
      <alignment horizontal="center" vertical="top" wrapText="1"/>
    </xf>
    <xf numFmtId="3" fontId="24" fillId="0" borderId="41" xfId="0" applyNumberFormat="1" applyFont="1" applyBorder="1" applyAlignment="1">
      <alignment horizontal="center" vertical="top" wrapText="1"/>
    </xf>
    <xf numFmtId="165" fontId="24" fillId="3" borderId="49" xfId="0" applyNumberFormat="1" applyFont="1" applyFill="1" applyBorder="1" applyAlignment="1">
      <alignment horizontal="center" vertical="top"/>
    </xf>
    <xf numFmtId="165" fontId="24" fillId="3" borderId="76" xfId="0" applyNumberFormat="1" applyFont="1" applyFill="1" applyBorder="1" applyAlignment="1">
      <alignment horizontal="center" vertical="top"/>
    </xf>
    <xf numFmtId="164" fontId="24" fillId="3" borderId="41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 wrapText="1"/>
    </xf>
    <xf numFmtId="164" fontId="24" fillId="0" borderId="41" xfId="0" applyNumberFormat="1" applyFont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 wrapText="1"/>
    </xf>
    <xf numFmtId="164" fontId="24" fillId="0" borderId="15" xfId="0" applyNumberFormat="1" applyFont="1" applyBorder="1" applyAlignment="1">
      <alignment horizontal="center" vertical="top" wrapText="1"/>
    </xf>
    <xf numFmtId="165" fontId="24" fillId="3" borderId="41" xfId="0" applyNumberFormat="1" applyFont="1" applyFill="1" applyBorder="1" applyAlignment="1">
      <alignment horizontal="center" vertical="top"/>
    </xf>
    <xf numFmtId="3" fontId="24" fillId="3" borderId="48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165" fontId="1" fillId="0" borderId="12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165" fontId="1" fillId="0" borderId="30" xfId="0" applyNumberFormat="1" applyFont="1" applyBorder="1" applyAlignment="1">
      <alignment horizontal="center" vertical="top" wrapText="1"/>
    </xf>
    <xf numFmtId="165" fontId="1" fillId="0" borderId="19" xfId="0" applyNumberFormat="1" applyFont="1" applyBorder="1" applyAlignment="1">
      <alignment horizontal="center" vertical="top" wrapText="1"/>
    </xf>
    <xf numFmtId="165" fontId="1" fillId="3" borderId="42" xfId="0" applyNumberFormat="1" applyFont="1" applyFill="1" applyBorder="1" applyAlignment="1">
      <alignment horizontal="center" vertical="top" wrapText="1"/>
    </xf>
    <xf numFmtId="165" fontId="24" fillId="3" borderId="41" xfId="0" applyNumberFormat="1" applyFont="1" applyFill="1" applyBorder="1" applyAlignment="1">
      <alignment horizontal="center" vertical="top" wrapText="1"/>
    </xf>
    <xf numFmtId="49" fontId="4" fillId="0" borderId="62" xfId="0" applyNumberFormat="1" applyFont="1" applyFill="1" applyBorder="1" applyAlignment="1">
      <alignment horizontal="center" vertical="top"/>
    </xf>
    <xf numFmtId="0" fontId="1" fillId="12" borderId="41" xfId="0" applyFont="1" applyFill="1" applyBorder="1" applyAlignment="1">
      <alignment horizontal="center" vertical="center"/>
    </xf>
    <xf numFmtId="3" fontId="4" fillId="0" borderId="50" xfId="0" applyNumberFormat="1" applyFont="1" applyBorder="1" applyAlignment="1">
      <alignment vertical="top"/>
    </xf>
    <xf numFmtId="0" fontId="4" fillId="3" borderId="37" xfId="0" applyFont="1" applyFill="1" applyBorder="1" applyAlignment="1">
      <alignment horizontal="center" vertical="top" wrapText="1"/>
    </xf>
    <xf numFmtId="3" fontId="4" fillId="0" borderId="49" xfId="0" applyNumberFormat="1" applyFont="1" applyBorder="1" applyAlignment="1">
      <alignment vertical="top"/>
    </xf>
    <xf numFmtId="3" fontId="4" fillId="0" borderId="76" xfId="0" applyNumberFormat="1" applyFont="1" applyBorder="1" applyAlignment="1">
      <alignment vertical="top"/>
    </xf>
    <xf numFmtId="0" fontId="4" fillId="3" borderId="62" xfId="0" applyFont="1" applyFill="1" applyBorder="1" applyAlignment="1">
      <alignment vertical="top" wrapText="1"/>
    </xf>
    <xf numFmtId="3" fontId="4" fillId="0" borderId="62" xfId="0" applyNumberFormat="1" applyFont="1" applyFill="1" applyBorder="1" applyAlignment="1">
      <alignment vertical="top"/>
    </xf>
    <xf numFmtId="3" fontId="4" fillId="0" borderId="55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textRotation="180" wrapText="1"/>
    </xf>
    <xf numFmtId="3" fontId="4" fillId="4" borderId="41" xfId="0" applyNumberFormat="1" applyFont="1" applyFill="1" applyBorder="1" applyAlignment="1">
      <alignment vertical="top" wrapText="1"/>
    </xf>
    <xf numFmtId="3" fontId="4" fillId="4" borderId="41" xfId="0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4" fillId="4" borderId="15" xfId="0" applyNumberFormat="1" applyFont="1" applyFill="1" applyBorder="1" applyAlignment="1">
      <alignment horizontal="center" vertical="top" wrapText="1"/>
    </xf>
    <xf numFmtId="3" fontId="6" fillId="4" borderId="16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4" fontId="24" fillId="11" borderId="41" xfId="1" applyNumberFormat="1" applyFont="1" applyFill="1" applyBorder="1" applyAlignment="1">
      <alignment horizontal="center" vertical="top"/>
    </xf>
    <xf numFmtId="164" fontId="24" fillId="11" borderId="13" xfId="1" applyNumberFormat="1" applyFont="1" applyFill="1" applyBorder="1" applyAlignment="1">
      <alignment horizontal="center" vertical="top"/>
    </xf>
    <xf numFmtId="164" fontId="24" fillId="11" borderId="15" xfId="1" applyNumberFormat="1" applyFont="1" applyFill="1" applyBorder="1" applyAlignment="1">
      <alignment horizontal="center" vertical="top"/>
    </xf>
    <xf numFmtId="3" fontId="24" fillId="3" borderId="16" xfId="0" applyNumberFormat="1" applyFont="1" applyFill="1" applyBorder="1" applyAlignment="1">
      <alignment horizontal="center" vertical="top" wrapText="1"/>
    </xf>
    <xf numFmtId="164" fontId="24" fillId="3" borderId="41" xfId="1" applyNumberFormat="1" applyFont="1" applyFill="1" applyBorder="1" applyAlignment="1">
      <alignment horizontal="center" vertical="top"/>
    </xf>
    <xf numFmtId="164" fontId="24" fillId="3" borderId="13" xfId="1" applyNumberFormat="1" applyFont="1" applyFill="1" applyBorder="1" applyAlignment="1">
      <alignment horizontal="center" vertical="top"/>
    </xf>
    <xf numFmtId="164" fontId="24" fillId="3" borderId="15" xfId="1" applyNumberFormat="1" applyFont="1" applyFill="1" applyBorder="1" applyAlignment="1">
      <alignment horizontal="center" vertical="top"/>
    </xf>
    <xf numFmtId="0" fontId="4" fillId="3" borderId="74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1" fillId="4" borderId="66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vertical="top" wrapText="1"/>
    </xf>
    <xf numFmtId="3" fontId="1" fillId="4" borderId="18" xfId="0" applyNumberFormat="1" applyFont="1" applyFill="1" applyBorder="1" applyAlignment="1">
      <alignment vertical="top" wrapText="1"/>
    </xf>
    <xf numFmtId="3" fontId="4" fillId="0" borderId="31" xfId="0" applyNumberFormat="1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4" fillId="4" borderId="35" xfId="0" applyNumberFormat="1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 wrapText="1"/>
    </xf>
    <xf numFmtId="3" fontId="1" fillId="3" borderId="38" xfId="0" applyNumberFormat="1" applyFont="1" applyFill="1" applyBorder="1" applyAlignment="1">
      <alignment horizontal="center" vertical="top" wrapText="1"/>
    </xf>
    <xf numFmtId="49" fontId="4" fillId="3" borderId="46" xfId="1" applyNumberFormat="1" applyFont="1" applyFill="1" applyBorder="1" applyAlignment="1">
      <alignment horizontal="center" vertical="top" wrapText="1"/>
    </xf>
    <xf numFmtId="49" fontId="4" fillId="3" borderId="40" xfId="1" applyNumberFormat="1" applyFont="1" applyFill="1" applyBorder="1" applyAlignment="1">
      <alignment horizontal="center" vertical="top" wrapText="1"/>
    </xf>
    <xf numFmtId="49" fontId="24" fillId="3" borderId="16" xfId="1" applyNumberFormat="1" applyFont="1" applyFill="1" applyBorder="1" applyAlignment="1">
      <alignment horizontal="center" vertical="top" wrapText="1"/>
    </xf>
    <xf numFmtId="49" fontId="1" fillId="3" borderId="48" xfId="1" applyNumberFormat="1" applyFont="1" applyFill="1" applyBorder="1" applyAlignment="1">
      <alignment horizontal="center" vertical="top" wrapText="1"/>
    </xf>
    <xf numFmtId="164" fontId="24" fillId="11" borderId="0" xfId="1" applyNumberFormat="1" applyFont="1" applyFill="1" applyBorder="1" applyAlignment="1">
      <alignment horizontal="center" vertical="top"/>
    </xf>
    <xf numFmtId="164" fontId="4" fillId="3" borderId="49" xfId="0" applyNumberFormat="1" applyFont="1" applyFill="1" applyBorder="1" applyAlignment="1">
      <alignment horizontal="center" vertical="top" wrapText="1"/>
    </xf>
    <xf numFmtId="164" fontId="4" fillId="3" borderId="50" xfId="0" applyNumberFormat="1" applyFont="1" applyFill="1" applyBorder="1" applyAlignment="1">
      <alignment horizontal="center" vertical="top" wrapText="1"/>
    </xf>
    <xf numFmtId="164" fontId="4" fillId="3" borderId="76" xfId="0" applyNumberFormat="1" applyFont="1" applyFill="1" applyBorder="1" applyAlignment="1">
      <alignment horizontal="center" vertical="top" wrapText="1"/>
    </xf>
    <xf numFmtId="164" fontId="4" fillId="3" borderId="3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3" fontId="4" fillId="4" borderId="40" xfId="0" applyNumberFormat="1" applyFont="1" applyFill="1" applyBorder="1" applyAlignment="1">
      <alignment horizontal="center" vertical="top" wrapText="1"/>
    </xf>
    <xf numFmtId="3" fontId="3" fillId="5" borderId="58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3" fontId="6" fillId="0" borderId="16" xfId="0" applyNumberFormat="1" applyFont="1" applyBorder="1" applyAlignment="1">
      <alignment vertical="top" wrapText="1"/>
    </xf>
    <xf numFmtId="3" fontId="24" fillId="4" borderId="16" xfId="0" applyNumberFormat="1" applyFont="1" applyFill="1" applyBorder="1" applyAlignment="1">
      <alignment horizontal="center" vertical="top" wrapText="1"/>
    </xf>
    <xf numFmtId="164" fontId="24" fillId="10" borderId="0" xfId="1" applyNumberFormat="1" applyFont="1" applyFill="1" applyBorder="1" applyAlignment="1">
      <alignment horizontal="center" vertical="top"/>
    </xf>
    <xf numFmtId="3" fontId="25" fillId="3" borderId="16" xfId="0" applyNumberFormat="1" applyFont="1" applyFill="1" applyBorder="1" applyAlignment="1">
      <alignment horizontal="center" vertical="top" wrapText="1"/>
    </xf>
    <xf numFmtId="164" fontId="25" fillId="3" borderId="0" xfId="0" applyNumberFormat="1" applyFont="1" applyFill="1" applyBorder="1" applyAlignment="1">
      <alignment horizontal="center" vertical="top"/>
    </xf>
    <xf numFmtId="164" fontId="25" fillId="3" borderId="13" xfId="0" applyNumberFormat="1" applyFont="1" applyFill="1" applyBorder="1" applyAlignment="1">
      <alignment horizontal="center" vertical="top"/>
    </xf>
    <xf numFmtId="164" fontId="25" fillId="3" borderId="15" xfId="0" applyNumberFormat="1" applyFont="1" applyFill="1" applyBorder="1" applyAlignment="1">
      <alignment horizontal="center" vertical="top"/>
    </xf>
    <xf numFmtId="164" fontId="24" fillId="11" borderId="75" xfId="1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 wrapText="1"/>
    </xf>
    <xf numFmtId="3" fontId="4" fillId="4" borderId="7" xfId="0" applyNumberFormat="1" applyFont="1" applyFill="1" applyBorder="1" applyAlignment="1">
      <alignment horizontal="center" vertical="top" wrapText="1"/>
    </xf>
    <xf numFmtId="3" fontId="3" fillId="3" borderId="24" xfId="0" applyNumberFormat="1" applyFont="1" applyFill="1" applyBorder="1" applyAlignment="1">
      <alignment horizontal="center" vertical="top" wrapText="1"/>
    </xf>
    <xf numFmtId="3" fontId="3" fillId="5" borderId="58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top"/>
    </xf>
    <xf numFmtId="164" fontId="24" fillId="0" borderId="13" xfId="0" applyNumberFormat="1" applyFont="1" applyFill="1" applyBorder="1" applyAlignment="1">
      <alignment horizontal="center" vertical="top"/>
    </xf>
    <xf numFmtId="164" fontId="24" fillId="0" borderId="15" xfId="0" applyNumberFormat="1" applyFont="1" applyFill="1" applyBorder="1" applyAlignment="1">
      <alignment horizontal="center" vertical="top"/>
    </xf>
    <xf numFmtId="164" fontId="6" fillId="2" borderId="9" xfId="0" applyNumberFormat="1" applyFont="1" applyFill="1" applyBorder="1" applyAlignment="1">
      <alignment horizontal="center" vertical="top"/>
    </xf>
    <xf numFmtId="0" fontId="4" fillId="3" borderId="37" xfId="0" applyFont="1" applyFill="1" applyBorder="1" applyAlignment="1">
      <alignment vertical="top" wrapText="1"/>
    </xf>
    <xf numFmtId="3" fontId="10" fillId="3" borderId="37" xfId="0" applyNumberFormat="1" applyFont="1" applyFill="1" applyBorder="1" applyAlignment="1">
      <alignment horizontal="center" vertical="top" wrapText="1"/>
    </xf>
    <xf numFmtId="3" fontId="2" fillId="3" borderId="62" xfId="0" applyNumberFormat="1" applyFont="1" applyFill="1" applyBorder="1" applyAlignment="1">
      <alignment horizontal="center" vertical="top" wrapText="1"/>
    </xf>
    <xf numFmtId="3" fontId="4" fillId="3" borderId="62" xfId="0" applyNumberFormat="1" applyFont="1" applyFill="1" applyBorder="1" applyAlignment="1">
      <alignment horizontal="center" vertical="top" wrapText="1"/>
    </xf>
    <xf numFmtId="0" fontId="10" fillId="3" borderId="62" xfId="0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3" borderId="31" xfId="0" applyNumberFormat="1" applyFont="1" applyFill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 vertical="top"/>
    </xf>
    <xf numFmtId="3" fontId="4" fillId="4" borderId="31" xfId="0" applyNumberFormat="1" applyFont="1" applyFill="1" applyBorder="1" applyAlignment="1">
      <alignment vertical="top" wrapText="1"/>
    </xf>
    <xf numFmtId="3" fontId="4" fillId="4" borderId="31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3" fontId="4" fillId="0" borderId="19" xfId="0" applyNumberFormat="1" applyFont="1" applyBorder="1" applyAlignment="1">
      <alignment vertical="top"/>
    </xf>
    <xf numFmtId="164" fontId="6" fillId="3" borderId="15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vertical="top"/>
    </xf>
    <xf numFmtId="164" fontId="24" fillId="0" borderId="41" xfId="0" applyNumberFormat="1" applyFont="1" applyFill="1" applyBorder="1" applyAlignment="1">
      <alignment horizontal="center" vertical="top"/>
    </xf>
    <xf numFmtId="3" fontId="24" fillId="3" borderId="16" xfId="0" applyNumberFormat="1" applyFont="1" applyFill="1" applyBorder="1" applyAlignment="1">
      <alignment horizontal="center" vertical="top"/>
    </xf>
    <xf numFmtId="164" fontId="25" fillId="3" borderId="41" xfId="0" applyNumberFormat="1" applyFont="1" applyFill="1" applyBorder="1" applyAlignment="1">
      <alignment horizontal="center" vertical="top"/>
    </xf>
    <xf numFmtId="3" fontId="4" fillId="0" borderId="52" xfId="0" applyNumberFormat="1" applyFont="1" applyFill="1" applyBorder="1" applyAlignment="1">
      <alignment horizontal="center" vertical="center" wrapText="1"/>
    </xf>
    <xf numFmtId="3" fontId="25" fillId="3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10" fillId="3" borderId="32" xfId="0" applyNumberFormat="1" applyFont="1" applyFill="1" applyBorder="1" applyAlignment="1">
      <alignment horizontal="center" vertical="top" wrapText="1"/>
    </xf>
    <xf numFmtId="3" fontId="1" fillId="3" borderId="71" xfId="0" applyNumberFormat="1" applyFont="1" applyFill="1" applyBorder="1" applyAlignment="1">
      <alignment horizontal="center" vertical="center" textRotation="90" wrapText="1"/>
    </xf>
    <xf numFmtId="165" fontId="1" fillId="3" borderId="42" xfId="0" applyNumberFormat="1" applyFont="1" applyFill="1" applyBorder="1" applyAlignment="1">
      <alignment horizontal="left" vertical="top" wrapText="1"/>
    </xf>
    <xf numFmtId="164" fontId="26" fillId="3" borderId="0" xfId="0" applyNumberFormat="1" applyFont="1" applyFill="1" applyAlignment="1">
      <alignment horizontal="center" vertical="top"/>
    </xf>
    <xf numFmtId="3" fontId="3" fillId="3" borderId="43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52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textRotation="90"/>
    </xf>
    <xf numFmtId="3" fontId="4" fillId="0" borderId="16" xfId="0" applyNumberFormat="1" applyFont="1" applyBorder="1" applyAlignment="1">
      <alignment horizontal="center" vertical="top" textRotation="90"/>
    </xf>
    <xf numFmtId="3" fontId="3" fillId="3" borderId="4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Border="1"/>
    <xf numFmtId="3" fontId="2" fillId="0" borderId="25" xfId="0" applyNumberFormat="1" applyFont="1" applyBorder="1"/>
    <xf numFmtId="3" fontId="3" fillId="3" borderId="5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9" xfId="0" applyNumberFormat="1" applyFont="1" applyFill="1" applyBorder="1" applyAlignment="1">
      <alignment horizontal="left" vertical="top" wrapText="1"/>
    </xf>
    <xf numFmtId="165" fontId="1" fillId="3" borderId="42" xfId="0" applyNumberFormat="1" applyFont="1" applyFill="1" applyBorder="1" applyAlignment="1">
      <alignment horizontal="left" vertical="top" wrapText="1"/>
    </xf>
    <xf numFmtId="165" fontId="1" fillId="3" borderId="49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center" vertical="center" textRotation="90" wrapText="1"/>
    </xf>
    <xf numFmtId="3" fontId="3" fillId="0" borderId="54" xfId="0" applyNumberFormat="1" applyFont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62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49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30" xfId="0" applyNumberFormat="1" applyFont="1" applyFill="1" applyBorder="1" applyAlignment="1">
      <alignment horizontal="left" vertical="top" wrapText="1"/>
    </xf>
    <xf numFmtId="0" fontId="15" fillId="3" borderId="42" xfId="0" applyFont="1" applyFill="1" applyBorder="1" applyAlignment="1">
      <alignment horizontal="left" vertical="top" wrapText="1"/>
    </xf>
    <xf numFmtId="3" fontId="4" fillId="3" borderId="43" xfId="0" applyNumberFormat="1" applyFont="1" applyFill="1" applyBorder="1" applyAlignment="1">
      <alignment horizontal="left" vertical="top" wrapText="1"/>
    </xf>
    <xf numFmtId="3" fontId="4" fillId="3" borderId="52" xfId="0" applyNumberFormat="1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6" xfId="0" applyNumberFormat="1" applyFont="1" applyFill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left" vertical="top" wrapText="1"/>
    </xf>
    <xf numFmtId="3" fontId="4" fillId="3" borderId="25" xfId="0" applyNumberFormat="1" applyFont="1" applyFill="1" applyBorder="1" applyAlignment="1">
      <alignment horizontal="left" vertical="top" wrapText="1"/>
    </xf>
    <xf numFmtId="3" fontId="3" fillId="2" borderId="63" xfId="0" applyNumberFormat="1" applyFont="1" applyFill="1" applyBorder="1" applyAlignment="1">
      <alignment horizontal="right" vertical="top"/>
    </xf>
    <xf numFmtId="3" fontId="4" fillId="2" borderId="34" xfId="0" applyNumberFormat="1" applyFont="1" applyFill="1" applyBorder="1" applyAlignment="1">
      <alignment horizontal="right" vertical="top"/>
    </xf>
    <xf numFmtId="3" fontId="4" fillId="2" borderId="64" xfId="0" applyNumberFormat="1" applyFont="1" applyFill="1" applyBorder="1" applyAlignment="1">
      <alignment horizontal="right" vertical="top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3" fillId="2" borderId="9" xfId="0" applyNumberFormat="1" applyFont="1" applyFill="1" applyBorder="1" applyAlignment="1">
      <alignment horizontal="left" vertical="top"/>
    </xf>
    <xf numFmtId="3" fontId="3" fillId="2" borderId="35" xfId="0" applyNumberFormat="1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left" vertical="top"/>
    </xf>
    <xf numFmtId="3" fontId="4" fillId="0" borderId="37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4" xfId="0" applyNumberFormat="1" applyFont="1" applyBorder="1" applyAlignment="1">
      <alignment horizontal="center" vertical="center" textRotation="90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4" fillId="0" borderId="37" xfId="0" applyNumberFormat="1" applyFont="1" applyBorder="1" applyAlignment="1">
      <alignment horizontal="center" vertical="center" textRotation="90" wrapText="1"/>
    </xf>
    <xf numFmtId="3" fontId="4" fillId="0" borderId="41" xfId="0" applyNumberFormat="1" applyFont="1" applyBorder="1" applyAlignment="1">
      <alignment horizontal="center" vertical="center" textRotation="90" wrapText="1"/>
    </xf>
    <xf numFmtId="3" fontId="4" fillId="0" borderId="62" xfId="0" applyNumberFormat="1" applyFont="1" applyBorder="1" applyAlignment="1">
      <alignment horizontal="center" vertical="center" textRotation="90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left" vertical="top" wrapText="1"/>
    </xf>
    <xf numFmtId="3" fontId="4" fillId="0" borderId="52" xfId="0" applyNumberFormat="1" applyFont="1" applyFill="1" applyBorder="1" applyAlignment="1">
      <alignment horizontal="left" vertical="top" wrapText="1"/>
    </xf>
    <xf numFmtId="3" fontId="3" fillId="5" borderId="55" xfId="0" applyNumberFormat="1" applyFont="1" applyFill="1" applyBorder="1" applyAlignment="1">
      <alignment horizontal="right" vertical="top" wrapText="1"/>
    </xf>
    <xf numFmtId="3" fontId="3" fillId="5" borderId="56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3" fillId="5" borderId="57" xfId="0" applyNumberFormat="1" applyFont="1" applyFill="1" applyBorder="1" applyAlignment="1">
      <alignment horizontal="righ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6" fillId="3" borderId="41" xfId="0" applyNumberFormat="1" applyFont="1" applyFill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4" fillId="4" borderId="41" xfId="0" applyNumberFormat="1" applyFont="1" applyFill="1" applyBorder="1" applyAlignment="1">
      <alignment horizontal="left" vertical="top" wrapText="1"/>
    </xf>
    <xf numFmtId="3" fontId="1" fillId="3" borderId="52" xfId="0" applyNumberFormat="1" applyFont="1" applyFill="1" applyBorder="1" applyAlignment="1">
      <alignment horizontal="center" vertical="center" textRotation="90" wrapText="1"/>
    </xf>
    <xf numFmtId="3" fontId="1" fillId="3" borderId="43" xfId="0" applyNumberFormat="1" applyFont="1" applyFill="1" applyBorder="1" applyAlignment="1">
      <alignment horizontal="left" vertical="center" textRotation="90" wrapText="1"/>
    </xf>
    <xf numFmtId="3" fontId="1" fillId="3" borderId="39" xfId="0" applyNumberFormat="1" applyFont="1" applyFill="1" applyBorder="1" applyAlignment="1">
      <alignment horizontal="left" vertical="center" textRotation="90" wrapText="1"/>
    </xf>
    <xf numFmtId="3" fontId="1" fillId="3" borderId="52" xfId="0" applyNumberFormat="1" applyFont="1" applyFill="1" applyBorder="1" applyAlignment="1">
      <alignment horizontal="left" vertical="center" textRotation="90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16" fillId="0" borderId="43" xfId="0" applyNumberFormat="1" applyFont="1" applyFill="1" applyBorder="1" applyAlignment="1">
      <alignment horizontal="center" vertical="center" textRotation="90" wrapText="1"/>
    </xf>
    <xf numFmtId="3" fontId="16" fillId="0" borderId="39" xfId="0" applyNumberFormat="1" applyFont="1" applyFill="1" applyBorder="1" applyAlignment="1">
      <alignment horizontal="center" vertical="center" textRotation="90" wrapText="1"/>
    </xf>
    <xf numFmtId="3" fontId="16" fillId="0" borderId="52" xfId="0" applyNumberFormat="1" applyFont="1" applyFill="1" applyBorder="1" applyAlignment="1">
      <alignment horizontal="center" vertical="center" textRotation="90" wrapText="1"/>
    </xf>
    <xf numFmtId="3" fontId="11" fillId="0" borderId="0" xfId="0" applyNumberFormat="1" applyFont="1" applyAlignment="1">
      <alignment horizontal="right" vertical="top" wrapText="1"/>
    </xf>
    <xf numFmtId="3" fontId="3" fillId="6" borderId="27" xfId="0" applyNumberFormat="1" applyFont="1" applyFill="1" applyBorder="1" applyAlignment="1">
      <alignment horizontal="left" vertical="top" wrapText="1"/>
    </xf>
    <xf numFmtId="3" fontId="3" fillId="6" borderId="28" xfId="0" applyNumberFormat="1" applyFont="1" applyFill="1" applyBorder="1" applyAlignment="1">
      <alignment horizontal="left" vertical="top" wrapText="1"/>
    </xf>
    <xf numFmtId="3" fontId="3" fillId="6" borderId="29" xfId="0" applyNumberFormat="1" applyFont="1" applyFill="1" applyBorder="1" applyAlignment="1">
      <alignment horizontal="left" vertical="top" wrapText="1"/>
    </xf>
    <xf numFmtId="3" fontId="5" fillId="8" borderId="42" xfId="0" applyNumberFormat="1" applyFont="1" applyFill="1" applyBorder="1" applyAlignment="1">
      <alignment horizontal="left" vertical="top" wrapText="1"/>
    </xf>
    <xf numFmtId="3" fontId="5" fillId="8" borderId="31" xfId="0" applyNumberFormat="1" applyFont="1" applyFill="1" applyBorder="1" applyAlignment="1">
      <alignment horizontal="left" vertical="top" wrapText="1"/>
    </xf>
    <xf numFmtId="3" fontId="5" fillId="8" borderId="32" xfId="0" applyNumberFormat="1" applyFont="1" applyFill="1" applyBorder="1" applyAlignment="1">
      <alignment horizontal="left" vertical="top" wrapText="1"/>
    </xf>
    <xf numFmtId="3" fontId="3" fillId="7" borderId="18" xfId="0" applyNumberFormat="1" applyFont="1" applyFill="1" applyBorder="1" applyAlignment="1">
      <alignment horizontal="left" vertical="top"/>
    </xf>
    <xf numFmtId="3" fontId="3" fillId="7" borderId="19" xfId="0" applyNumberFormat="1" applyFont="1" applyFill="1" applyBorder="1" applyAlignment="1">
      <alignment horizontal="left" vertical="top"/>
    </xf>
    <xf numFmtId="3" fontId="3" fillId="9" borderId="69" xfId="0" applyNumberFormat="1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left" vertical="top" wrapText="1"/>
    </xf>
    <xf numFmtId="3" fontId="3" fillId="9" borderId="31" xfId="0" applyNumberFormat="1" applyFont="1" applyFill="1" applyBorder="1" applyAlignment="1">
      <alignment horizontal="left" vertical="top" wrapText="1"/>
    </xf>
    <xf numFmtId="3" fontId="3" fillId="9" borderId="57" xfId="0" applyNumberFormat="1" applyFont="1" applyFill="1" applyBorder="1" applyAlignment="1">
      <alignment horizontal="left" vertical="top" wrapText="1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left" vertical="top" wrapText="1"/>
    </xf>
    <xf numFmtId="3" fontId="4" fillId="3" borderId="37" xfId="0" applyNumberFormat="1" applyFont="1" applyFill="1" applyBorder="1" applyAlignment="1">
      <alignment horizontal="left" vertical="top" wrapText="1"/>
    </xf>
    <xf numFmtId="3" fontId="4" fillId="3" borderId="43" xfId="0" applyNumberFormat="1" applyFont="1" applyFill="1" applyBorder="1" applyAlignment="1">
      <alignment horizontal="center" vertical="center" textRotation="90" wrapText="1"/>
    </xf>
    <xf numFmtId="3" fontId="4" fillId="3" borderId="39" xfId="0" applyNumberFormat="1" applyFont="1" applyFill="1" applyBorder="1" applyAlignment="1">
      <alignment horizontal="center" vertical="center" textRotation="90" wrapText="1"/>
    </xf>
    <xf numFmtId="3" fontId="4" fillId="3" borderId="52" xfId="0" applyNumberFormat="1" applyFont="1" applyFill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center" textRotation="90" wrapText="1"/>
    </xf>
    <xf numFmtId="164" fontId="1" fillId="0" borderId="37" xfId="0" applyNumberFormat="1" applyFont="1" applyBorder="1" applyAlignment="1">
      <alignment horizontal="center" vertical="center" textRotation="90" wrapText="1"/>
    </xf>
    <xf numFmtId="164" fontId="1" fillId="0" borderId="41" xfId="0" applyNumberFormat="1" applyFont="1" applyBorder="1" applyAlignment="1">
      <alignment horizontal="center" vertical="center" textRotation="90" wrapText="1"/>
    </xf>
    <xf numFmtId="164" fontId="1" fillId="0" borderId="62" xfId="0" applyNumberFormat="1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13" xfId="0" applyNumberFormat="1" applyFont="1" applyBorder="1" applyAlignment="1">
      <alignment horizontal="center" vertical="center" textRotation="90" wrapText="1"/>
    </xf>
    <xf numFmtId="164" fontId="1" fillId="0" borderId="22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5" xfId="0" applyNumberFormat="1" applyFont="1" applyBorder="1" applyAlignment="1">
      <alignment horizontal="center" vertical="center" textRotation="90" wrapText="1"/>
    </xf>
    <xf numFmtId="164" fontId="1" fillId="0" borderId="24" xfId="0" applyNumberFormat="1" applyFont="1" applyBorder="1" applyAlignment="1">
      <alignment horizontal="center" vertical="center" textRotation="90" wrapText="1"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48" xfId="0" applyNumberFormat="1" applyFont="1" applyFill="1" applyBorder="1" applyAlignment="1">
      <alignment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62" xfId="0" applyNumberFormat="1" applyFont="1" applyFill="1" applyBorder="1" applyAlignment="1">
      <alignment horizontal="left" vertical="top" wrapText="1"/>
    </xf>
    <xf numFmtId="49" fontId="3" fillId="7" borderId="39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3" fontId="17" fillId="3" borderId="40" xfId="0" applyNumberFormat="1" applyFont="1" applyFill="1" applyBorder="1" applyAlignment="1">
      <alignment horizontal="left" vertical="top" wrapText="1"/>
    </xf>
    <xf numFmtId="3" fontId="21" fillId="3" borderId="16" xfId="0" applyNumberFormat="1" applyFont="1" applyFill="1" applyBorder="1" applyAlignment="1">
      <alignment horizontal="left" vertical="top" wrapText="1"/>
    </xf>
    <xf numFmtId="3" fontId="21" fillId="3" borderId="48" xfId="0" applyNumberFormat="1" applyFont="1" applyFill="1" applyBorder="1" applyAlignment="1">
      <alignment horizontal="left" vertical="top" wrapText="1"/>
    </xf>
    <xf numFmtId="3" fontId="1" fillId="0" borderId="71" xfId="0" applyNumberFormat="1" applyFont="1" applyFill="1" applyBorder="1" applyAlignment="1">
      <alignment horizontal="center" vertical="top" textRotation="90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52" xfId="0" applyFont="1" applyFill="1" applyBorder="1" applyAlignment="1">
      <alignment horizontal="left" vertical="top" wrapText="1"/>
    </xf>
    <xf numFmtId="3" fontId="4" fillId="3" borderId="48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0" fontId="4" fillId="3" borderId="36" xfId="0" applyFont="1" applyFill="1" applyBorder="1" applyAlignment="1">
      <alignment horizontal="left" vertical="top" wrapText="1"/>
    </xf>
    <xf numFmtId="0" fontId="4" fillId="3" borderId="59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/>
    </xf>
    <xf numFmtId="3" fontId="4" fillId="2" borderId="9" xfId="0" applyNumberFormat="1" applyFont="1" applyFill="1" applyBorder="1" applyAlignment="1">
      <alignment horizontal="center" vertical="top"/>
    </xf>
    <xf numFmtId="3" fontId="4" fillId="2" borderId="10" xfId="0" applyNumberFormat="1" applyFont="1" applyFill="1" applyBorder="1" applyAlignment="1">
      <alignment horizontal="center" vertical="top"/>
    </xf>
    <xf numFmtId="0" fontId="1" fillId="3" borderId="4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45" xfId="0" applyFont="1" applyFill="1" applyBorder="1" applyAlignment="1">
      <alignment horizontal="center" vertical="top" wrapText="1"/>
    </xf>
    <xf numFmtId="0" fontId="1" fillId="3" borderId="60" xfId="0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0" fontId="4" fillId="3" borderId="39" xfId="0" applyFont="1" applyFill="1" applyBorder="1" applyAlignment="1">
      <alignment horizontal="left" vertical="top" wrapText="1"/>
    </xf>
    <xf numFmtId="49" fontId="4" fillId="0" borderId="6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67" xfId="0" applyNumberFormat="1" applyFont="1" applyBorder="1" applyAlignment="1">
      <alignment horizontal="center" vertical="top"/>
    </xf>
    <xf numFmtId="3" fontId="3" fillId="0" borderId="61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left" vertical="top" wrapText="1"/>
    </xf>
    <xf numFmtId="3" fontId="6" fillId="3" borderId="16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left" vertical="top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>
      <alignment horizontal="left" vertical="top" wrapText="1"/>
    </xf>
    <xf numFmtId="3" fontId="3" fillId="3" borderId="48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left" vertical="top" wrapText="1"/>
    </xf>
    <xf numFmtId="3" fontId="3" fillId="3" borderId="40" xfId="0" applyNumberFormat="1" applyFont="1" applyFill="1" applyBorder="1" applyAlignment="1">
      <alignment horizontal="left" vertical="top" wrapText="1"/>
    </xf>
    <xf numFmtId="3" fontId="3" fillId="3" borderId="16" xfId="0" applyNumberFormat="1" applyFont="1" applyFill="1" applyBorder="1" applyAlignment="1">
      <alignment horizontal="left" vertical="top" wrapText="1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4" fillId="3" borderId="43" xfId="0" applyNumberFormat="1" applyFont="1" applyFill="1" applyBorder="1" applyAlignment="1">
      <alignment horizontal="center" vertical="center" textRotation="90"/>
    </xf>
    <xf numFmtId="3" fontId="4" fillId="3" borderId="39" xfId="0" applyNumberFormat="1" applyFont="1" applyFill="1" applyBorder="1" applyAlignment="1">
      <alignment horizontal="center" vertical="center" textRotation="90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3" borderId="48" xfId="0" applyNumberFormat="1" applyFont="1" applyFill="1" applyBorder="1" applyAlignment="1">
      <alignment horizontal="center" vertical="top" wrapText="1"/>
    </xf>
    <xf numFmtId="3" fontId="4" fillId="5" borderId="55" xfId="0" applyNumberFormat="1" applyFont="1" applyFill="1" applyBorder="1" applyAlignment="1">
      <alignment horizontal="center" vertical="top"/>
    </xf>
    <xf numFmtId="3" fontId="4" fillId="5" borderId="56" xfId="0" applyNumberFormat="1" applyFont="1" applyFill="1" applyBorder="1" applyAlignment="1">
      <alignment horizontal="center" vertical="top"/>
    </xf>
    <xf numFmtId="3" fontId="4" fillId="5" borderId="57" xfId="0" applyNumberFormat="1" applyFont="1" applyFill="1" applyBorder="1" applyAlignment="1">
      <alignment horizontal="center" vertical="top"/>
    </xf>
    <xf numFmtId="3" fontId="3" fillId="2" borderId="64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3" fontId="3" fillId="2" borderId="64" xfId="0" applyNumberFormat="1" applyFont="1" applyFill="1" applyBorder="1" applyAlignment="1">
      <alignment horizontal="left" vertical="top"/>
    </xf>
    <xf numFmtId="3" fontId="3" fillId="8" borderId="64" xfId="0" applyNumberFormat="1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49" fontId="3" fillId="7" borderId="36" xfId="0" applyNumberFormat="1" applyFont="1" applyFill="1" applyBorder="1" applyAlignment="1">
      <alignment horizontal="center" vertical="top"/>
    </xf>
    <xf numFmtId="49" fontId="3" fillId="7" borderId="59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right" vertical="top" wrapText="1"/>
    </xf>
    <xf numFmtId="3" fontId="3" fillId="5" borderId="18" xfId="0" applyNumberFormat="1" applyFont="1" applyFill="1" applyBorder="1" applyAlignment="1">
      <alignment horizontal="right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left" vertical="top" wrapText="1"/>
    </xf>
    <xf numFmtId="3" fontId="1" fillId="3" borderId="41" xfId="0" applyNumberFormat="1" applyFont="1" applyFill="1" applyBorder="1" applyAlignment="1">
      <alignment horizontal="left" vertical="top" wrapText="1"/>
    </xf>
    <xf numFmtId="3" fontId="1" fillId="3" borderId="62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center" vertical="top" textRotation="90" wrapText="1"/>
    </xf>
    <xf numFmtId="3" fontId="1" fillId="0" borderId="39" xfId="0" applyNumberFormat="1" applyFont="1" applyFill="1" applyBorder="1" applyAlignment="1">
      <alignment horizontal="center" vertical="top" textRotation="90" wrapText="1"/>
    </xf>
    <xf numFmtId="3" fontId="1" fillId="0" borderId="59" xfId="0" applyNumberFormat="1" applyFont="1" applyFill="1" applyBorder="1" applyAlignment="1">
      <alignment horizontal="center" vertical="top" textRotation="90" wrapText="1"/>
    </xf>
    <xf numFmtId="3" fontId="6" fillId="5" borderId="55" xfId="0" applyNumberFormat="1" applyFont="1" applyFill="1" applyBorder="1" applyAlignment="1">
      <alignment horizontal="right" vertical="top" wrapText="1"/>
    </xf>
    <xf numFmtId="3" fontId="6" fillId="5" borderId="56" xfId="0" applyNumberFormat="1" applyFont="1" applyFill="1" applyBorder="1" applyAlignment="1">
      <alignment horizontal="right" vertical="top" wrapText="1"/>
    </xf>
    <xf numFmtId="3" fontId="6" fillId="5" borderId="57" xfId="0" applyNumberFormat="1" applyFont="1" applyFill="1" applyBorder="1" applyAlignment="1">
      <alignment horizontal="right" vertical="top" wrapText="1"/>
    </xf>
    <xf numFmtId="3" fontId="3" fillId="4" borderId="16" xfId="0" applyNumberFormat="1" applyFont="1" applyFill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center" vertical="center" textRotation="90"/>
    </xf>
    <xf numFmtId="3" fontId="4" fillId="0" borderId="39" xfId="0" applyNumberFormat="1" applyFont="1" applyBorder="1" applyAlignment="1">
      <alignment horizontal="center" vertical="center" textRotation="90"/>
    </xf>
    <xf numFmtId="3" fontId="4" fillId="0" borderId="48" xfId="0" applyNumberFormat="1" applyFont="1" applyBorder="1" applyAlignment="1">
      <alignment horizontal="center" vertical="top" wrapText="1"/>
    </xf>
    <xf numFmtId="3" fontId="1" fillId="3" borderId="40" xfId="0" applyNumberFormat="1" applyFont="1" applyFill="1" applyBorder="1" applyAlignment="1">
      <alignment horizontal="center" vertical="top" wrapText="1"/>
    </xf>
    <xf numFmtId="3" fontId="1" fillId="3" borderId="48" xfId="0" applyNumberFormat="1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left" vertical="top"/>
    </xf>
    <xf numFmtId="3" fontId="6" fillId="2" borderId="10" xfId="0" applyNumberFormat="1" applyFont="1" applyFill="1" applyBorder="1" applyAlignment="1">
      <alignment horizontal="left" vertical="top"/>
    </xf>
    <xf numFmtId="3" fontId="3" fillId="0" borderId="61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 wrapText="1"/>
    </xf>
    <xf numFmtId="0" fontId="1" fillId="3" borderId="59" xfId="0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center" textRotation="90" wrapText="1"/>
    </xf>
    <xf numFmtId="3" fontId="4" fillId="0" borderId="39" xfId="0" applyNumberFormat="1" applyFont="1" applyFill="1" applyBorder="1" applyAlignment="1">
      <alignment horizontal="center" vertical="center" textRotation="90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3" fontId="3" fillId="3" borderId="43" xfId="0" applyNumberFormat="1" applyFont="1" applyFill="1" applyBorder="1" applyAlignment="1">
      <alignment horizontal="center" vertical="top" wrapText="1"/>
    </xf>
    <xf numFmtId="3" fontId="3" fillId="3" borderId="52" xfId="0" applyNumberFormat="1" applyFont="1" applyFill="1" applyBorder="1" applyAlignment="1">
      <alignment horizontal="center" vertical="top" wrapText="1"/>
    </xf>
    <xf numFmtId="165" fontId="1" fillId="3" borderId="43" xfId="0" applyNumberFormat="1" applyFont="1" applyFill="1" applyBorder="1" applyAlignment="1">
      <alignment horizontal="left" vertical="top" wrapText="1"/>
    </xf>
    <xf numFmtId="165" fontId="1" fillId="3" borderId="52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horizontal="left" vertical="top" wrapText="1"/>
    </xf>
    <xf numFmtId="3" fontId="1" fillId="0" borderId="37" xfId="0" applyNumberFormat="1" applyFont="1" applyFill="1" applyBorder="1" applyAlignment="1">
      <alignment horizontal="center" vertical="center" textRotation="90" wrapText="1"/>
    </xf>
    <xf numFmtId="3" fontId="1" fillId="0" borderId="41" xfId="0" applyNumberFormat="1" applyFont="1" applyFill="1" applyBorder="1" applyAlignment="1">
      <alignment horizontal="center" vertical="center" textRotation="90" wrapText="1"/>
    </xf>
    <xf numFmtId="3" fontId="1" fillId="0" borderId="62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/>
    </xf>
    <xf numFmtId="3" fontId="1" fillId="4" borderId="43" xfId="0" applyNumberFormat="1" applyFont="1" applyFill="1" applyBorder="1" applyAlignment="1">
      <alignment horizontal="left" vertical="top" wrapText="1"/>
    </xf>
    <xf numFmtId="3" fontId="1" fillId="4" borderId="52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4" fillId="0" borderId="43" xfId="0" applyNumberFormat="1" applyFont="1" applyBorder="1" applyAlignment="1">
      <alignment horizontal="left" vertical="top" wrapText="1"/>
    </xf>
    <xf numFmtId="3" fontId="4" fillId="0" borderId="44" xfId="0" applyNumberFormat="1" applyFont="1" applyBorder="1" applyAlignment="1">
      <alignment horizontal="left" vertical="top" wrapText="1"/>
    </xf>
    <xf numFmtId="3" fontId="4" fillId="0" borderId="65" xfId="0" applyNumberFormat="1" applyFont="1" applyBorder="1" applyAlignment="1">
      <alignment horizontal="left" vertical="top" wrapText="1"/>
    </xf>
    <xf numFmtId="3" fontId="3" fillId="5" borderId="33" xfId="0" applyNumberFormat="1" applyFont="1" applyFill="1" applyBorder="1" applyAlignment="1">
      <alignment horizontal="right" vertical="top" wrapText="1"/>
    </xf>
    <xf numFmtId="3" fontId="3" fillId="5" borderId="34" xfId="0" applyNumberFormat="1" applyFont="1" applyFill="1" applyBorder="1" applyAlignment="1">
      <alignment horizontal="right" vertical="top" wrapText="1"/>
    </xf>
    <xf numFmtId="3" fontId="3" fillId="5" borderId="64" xfId="0" applyNumberFormat="1" applyFont="1" applyFill="1" applyBorder="1" applyAlignment="1">
      <alignment horizontal="right" vertical="top" wrapText="1"/>
    </xf>
    <xf numFmtId="3" fontId="4" fillId="3" borderId="13" xfId="0" applyNumberFormat="1" applyFont="1" applyFill="1" applyBorder="1" applyAlignment="1">
      <alignment horizontal="left" vertical="top" wrapText="1"/>
    </xf>
    <xf numFmtId="3" fontId="4" fillId="3" borderId="14" xfId="0" applyNumberFormat="1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3" fillId="8" borderId="36" xfId="0" applyNumberFormat="1" applyFont="1" applyFill="1" applyBorder="1" applyAlignment="1">
      <alignment horizontal="left" vertical="top" wrapText="1"/>
    </xf>
    <xf numFmtId="3" fontId="3" fillId="8" borderId="4" xfId="0" applyNumberFormat="1" applyFont="1" applyFill="1" applyBorder="1" applyAlignment="1">
      <alignment horizontal="left" vertical="top" wrapText="1"/>
    </xf>
    <xf numFmtId="3" fontId="3" fillId="8" borderId="5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1" fillId="3" borderId="35" xfId="0" applyNumberFormat="1" applyFont="1" applyFill="1" applyBorder="1" applyAlignment="1">
      <alignment horizontal="left" vertical="top"/>
    </xf>
    <xf numFmtId="3" fontId="4" fillId="3" borderId="18" xfId="0" applyNumberFormat="1" applyFont="1" applyFill="1" applyBorder="1" applyAlignment="1">
      <alignment horizontal="left" vertical="top" wrapText="1"/>
    </xf>
    <xf numFmtId="3" fontId="4" fillId="3" borderId="19" xfId="0" applyNumberFormat="1" applyFont="1" applyFill="1" applyBorder="1" applyAlignment="1">
      <alignment horizontal="left" vertical="top" wrapText="1"/>
    </xf>
    <xf numFmtId="3" fontId="4" fillId="0" borderId="52" xfId="0" applyNumberFormat="1" applyFont="1" applyBorder="1" applyAlignment="1">
      <alignment horizontal="left" vertical="top" wrapText="1"/>
    </xf>
    <xf numFmtId="3" fontId="4" fillId="0" borderId="50" xfId="0" applyNumberFormat="1" applyFont="1" applyBorder="1" applyAlignment="1">
      <alignment horizontal="left" vertical="top" wrapText="1"/>
    </xf>
    <xf numFmtId="3" fontId="4" fillId="0" borderId="67" xfId="0" applyNumberFormat="1" applyFont="1" applyBorder="1" applyAlignment="1">
      <alignment horizontal="left" vertical="top" wrapText="1"/>
    </xf>
    <xf numFmtId="3" fontId="4" fillId="5" borderId="11" xfId="0" applyNumberFormat="1" applyFont="1" applyFill="1" applyBorder="1" applyAlignment="1">
      <alignment horizontal="left" vertical="top" wrapText="1"/>
    </xf>
    <xf numFmtId="3" fontId="4" fillId="5" borderId="12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horizontal="left" vertical="top" wrapText="1"/>
    </xf>
    <xf numFmtId="3" fontId="4" fillId="5" borderId="30" xfId="0" applyNumberFormat="1" applyFont="1" applyFill="1" applyBorder="1" applyAlignment="1">
      <alignment horizontal="left" vertical="top" wrapText="1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43" xfId="0" applyNumberFormat="1" applyFont="1" applyFill="1" applyBorder="1" applyAlignment="1">
      <alignment horizontal="left" vertical="top" wrapText="1"/>
    </xf>
    <xf numFmtId="3" fontId="4" fillId="5" borderId="44" xfId="0" applyNumberFormat="1" applyFont="1" applyFill="1" applyBorder="1" applyAlignment="1">
      <alignment horizontal="left" vertical="top" wrapText="1"/>
    </xf>
    <xf numFmtId="3" fontId="4" fillId="5" borderId="65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3" fillId="8" borderId="34" xfId="0" applyNumberFormat="1" applyFont="1" applyFill="1" applyBorder="1" applyAlignment="1">
      <alignment horizontal="left" vertical="top" wrapText="1"/>
    </xf>
    <xf numFmtId="3" fontId="3" fillId="8" borderId="64" xfId="0" applyNumberFormat="1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25" xfId="0" applyNumberFormat="1" applyFont="1" applyFill="1" applyBorder="1" applyAlignment="1">
      <alignment horizontal="left" vertical="top" wrapText="1"/>
    </xf>
    <xf numFmtId="3" fontId="6" fillId="3" borderId="37" xfId="0" applyNumberFormat="1" applyFont="1" applyFill="1" applyBorder="1" applyAlignment="1">
      <alignment horizontal="left" vertical="top" wrapText="1"/>
    </xf>
    <xf numFmtId="3" fontId="6" fillId="7" borderId="36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/>
    </xf>
    <xf numFmtId="3" fontId="6" fillId="7" borderId="59" xfId="0" applyNumberFormat="1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3" fontId="6" fillId="2" borderId="13" xfId="0" applyNumberFormat="1" applyFont="1" applyFill="1" applyBorder="1" applyAlignment="1">
      <alignment horizontal="center" vertical="top"/>
    </xf>
    <xf numFmtId="3" fontId="6" fillId="2" borderId="22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23" fillId="3" borderId="7" xfId="0" applyNumberFormat="1" applyFont="1" applyFill="1" applyBorder="1" applyAlignment="1">
      <alignment horizontal="center" vertical="top" wrapText="1"/>
    </xf>
    <xf numFmtId="3" fontId="23" fillId="3" borderId="16" xfId="0" applyNumberFormat="1" applyFont="1" applyFill="1" applyBorder="1" applyAlignment="1">
      <alignment horizontal="center" vertical="top" wrapText="1"/>
    </xf>
    <xf numFmtId="3" fontId="1" fillId="3" borderId="36" xfId="0" applyNumberFormat="1" applyFont="1" applyFill="1" applyBorder="1" applyAlignment="1">
      <alignment horizontal="center" vertical="center" textRotation="90" wrapText="1"/>
    </xf>
    <xf numFmtId="3" fontId="11" fillId="0" borderId="0" xfId="0" applyNumberFormat="1" applyFont="1" applyAlignment="1">
      <alignment horizontal="left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3" fontId="6" fillId="4" borderId="7" xfId="0" applyNumberFormat="1" applyFont="1" applyFill="1" applyBorder="1" applyAlignment="1">
      <alignment horizontal="left" vertical="top" wrapText="1"/>
    </xf>
    <xf numFmtId="3" fontId="6" fillId="4" borderId="16" xfId="0" applyNumberFormat="1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62" xfId="0" applyFont="1" applyFill="1" applyBorder="1" applyAlignment="1">
      <alignment horizontal="left" vertical="top" wrapText="1"/>
    </xf>
    <xf numFmtId="3" fontId="6" fillId="2" borderId="64" xfId="0" applyNumberFormat="1" applyFont="1" applyFill="1" applyBorder="1" applyAlignment="1">
      <alignment horizontal="left" vertical="top" wrapText="1"/>
    </xf>
    <xf numFmtId="3" fontId="6" fillId="2" borderId="9" xfId="0" applyNumberFormat="1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3" fontId="4" fillId="0" borderId="31" xfId="0" applyNumberFormat="1" applyFont="1" applyFill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52" xfId="0" applyNumberFormat="1" applyFont="1" applyFill="1" applyBorder="1" applyAlignment="1">
      <alignment horizontal="center" vertical="top" wrapText="1"/>
    </xf>
    <xf numFmtId="3" fontId="4" fillId="3" borderId="31" xfId="0" applyNumberFormat="1" applyFont="1" applyFill="1" applyBorder="1" applyAlignment="1">
      <alignment horizontal="left" vertical="top" wrapText="1"/>
    </xf>
    <xf numFmtId="165" fontId="1" fillId="3" borderId="31" xfId="0" applyNumberFormat="1" applyFont="1" applyFill="1" applyBorder="1" applyAlignment="1">
      <alignment horizontal="left" vertical="top" wrapText="1"/>
    </xf>
    <xf numFmtId="165" fontId="1" fillId="3" borderId="51" xfId="0" applyNumberFormat="1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3" fontId="17" fillId="3" borderId="16" xfId="0" applyNumberFormat="1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center" vertical="top" wrapText="1"/>
    </xf>
    <xf numFmtId="0" fontId="1" fillId="3" borderId="62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lef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 textRotation="90" wrapText="1"/>
    </xf>
    <xf numFmtId="164" fontId="1" fillId="0" borderId="39" xfId="0" applyNumberFormat="1" applyFont="1" applyBorder="1" applyAlignment="1">
      <alignment horizontal="center" vertical="center" textRotation="90" wrapText="1"/>
    </xf>
    <xf numFmtId="164" fontId="1" fillId="0" borderId="59" xfId="0" applyNumberFormat="1" applyFont="1" applyBorder="1" applyAlignment="1">
      <alignment horizontal="center" vertical="center" textRotation="90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CCFFCC"/>
      <color rgb="FFFFFF99"/>
      <color rgb="FFFFFF66"/>
      <color rgb="FFFFCC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5"/>
  <sheetViews>
    <sheetView zoomScaleNormal="100" workbookViewId="0"/>
  </sheetViews>
  <sheetFormatPr defaultColWidth="9.33203125" defaultRowHeight="14.4" x14ac:dyDescent="0.3"/>
  <cols>
    <col min="1" max="4" width="3.33203125" style="43" customWidth="1"/>
    <col min="5" max="5" width="25.33203125" style="42" customWidth="1"/>
    <col min="6" max="6" width="4" style="922" customWidth="1"/>
    <col min="7" max="7" width="3.33203125" style="923" hidden="1" customWidth="1"/>
    <col min="8" max="8" width="14.33203125" style="922" customWidth="1"/>
    <col min="9" max="9" width="8.5546875" style="42" customWidth="1"/>
    <col min="10" max="13" width="8.33203125" style="922" customWidth="1"/>
    <col min="14" max="14" width="25.33203125" style="42" customWidth="1"/>
    <col min="15" max="18" width="6.6640625" style="132" customWidth="1"/>
    <col min="19" max="16384" width="9.33203125" style="42"/>
  </cols>
  <sheetData>
    <row r="1" spans="1:20" s="75" customFormat="1" ht="35.4" customHeight="1" x14ac:dyDescent="0.3">
      <c r="A1" s="73"/>
      <c r="B1" s="73"/>
      <c r="C1" s="73"/>
      <c r="D1" s="73"/>
      <c r="E1" s="73"/>
      <c r="F1" s="74"/>
      <c r="G1" s="88"/>
      <c r="H1" s="1449" t="s">
        <v>324</v>
      </c>
      <c r="I1" s="1449"/>
      <c r="J1" s="1449"/>
      <c r="K1" s="1449"/>
      <c r="L1" s="1449"/>
      <c r="M1" s="1449"/>
      <c r="N1" s="1449"/>
      <c r="O1" s="1449"/>
      <c r="P1" s="1449"/>
      <c r="Q1" s="1449"/>
      <c r="R1" s="1449"/>
    </row>
    <row r="2" spans="1:20" s="40" customFormat="1" ht="16.5" customHeight="1" x14ac:dyDescent="0.3">
      <c r="A2" s="1480" t="s">
        <v>269</v>
      </c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80"/>
      <c r="O2" s="1480"/>
      <c r="P2" s="1480"/>
      <c r="Q2" s="1480"/>
      <c r="R2" s="1480"/>
    </row>
    <row r="3" spans="1:20" s="41" customFormat="1" ht="16.5" customHeight="1" x14ac:dyDescent="0.3">
      <c r="A3" s="1481" t="s">
        <v>0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  <c r="Q3" s="1481"/>
      <c r="R3" s="1481"/>
    </row>
    <row r="4" spans="1:20" s="41" customFormat="1" ht="16.5" customHeight="1" x14ac:dyDescent="0.3">
      <c r="A4" s="1482" t="s">
        <v>1</v>
      </c>
      <c r="B4" s="148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</row>
    <row r="5" spans="1:20" s="2" customFormat="1" ht="21.75" customHeight="1" thickBot="1" x14ac:dyDescent="0.3">
      <c r="A5" s="1483" t="s">
        <v>2</v>
      </c>
      <c r="B5" s="1483"/>
      <c r="C5" s="1483"/>
      <c r="D5" s="1483"/>
      <c r="E5" s="1483"/>
      <c r="F5" s="1483"/>
      <c r="G5" s="1483"/>
      <c r="H5" s="1483"/>
      <c r="I5" s="1483"/>
      <c r="J5" s="1483"/>
      <c r="K5" s="1483"/>
      <c r="L5" s="1483"/>
      <c r="M5" s="1483"/>
      <c r="N5" s="1483"/>
      <c r="O5" s="1483"/>
      <c r="P5" s="1483"/>
      <c r="Q5" s="1483"/>
      <c r="R5" s="1483"/>
    </row>
    <row r="6" spans="1:20" s="3" customFormat="1" ht="16.95" customHeight="1" x14ac:dyDescent="0.3">
      <c r="A6" s="1484" t="s">
        <v>3</v>
      </c>
      <c r="B6" s="1487" t="s">
        <v>4</v>
      </c>
      <c r="C6" s="1393" t="s">
        <v>5</v>
      </c>
      <c r="D6" s="1393" t="s">
        <v>199</v>
      </c>
      <c r="E6" s="1396" t="s">
        <v>6</v>
      </c>
      <c r="F6" s="1399" t="s">
        <v>7</v>
      </c>
      <c r="G6" s="1402" t="s">
        <v>8</v>
      </c>
      <c r="H6" s="1418" t="s">
        <v>201</v>
      </c>
      <c r="I6" s="1405" t="s">
        <v>9</v>
      </c>
      <c r="J6" s="1468" t="s">
        <v>255</v>
      </c>
      <c r="K6" s="1471" t="s">
        <v>256</v>
      </c>
      <c r="L6" s="1474" t="s">
        <v>257</v>
      </c>
      <c r="M6" s="1477" t="s">
        <v>258</v>
      </c>
      <c r="N6" s="1408" t="s">
        <v>10</v>
      </c>
      <c r="O6" s="1409"/>
      <c r="P6" s="1409"/>
      <c r="Q6" s="1409"/>
      <c r="R6" s="1410"/>
    </row>
    <row r="7" spans="1:20" s="3" customFormat="1" ht="17.25" customHeight="1" x14ac:dyDescent="0.3">
      <c r="A7" s="1485"/>
      <c r="B7" s="1488"/>
      <c r="C7" s="1394"/>
      <c r="D7" s="1394"/>
      <c r="E7" s="1397"/>
      <c r="F7" s="1400"/>
      <c r="G7" s="1403"/>
      <c r="H7" s="1419"/>
      <c r="I7" s="1406"/>
      <c r="J7" s="1469"/>
      <c r="K7" s="1472"/>
      <c r="L7" s="1475"/>
      <c r="M7" s="1478"/>
      <c r="N7" s="1411" t="s">
        <v>6</v>
      </c>
      <c r="O7" s="1413" t="s">
        <v>236</v>
      </c>
      <c r="P7" s="1414"/>
      <c r="Q7" s="1414"/>
      <c r="R7" s="1415"/>
    </row>
    <row r="8" spans="1:20" s="3" customFormat="1" ht="93.75" customHeight="1" thickBot="1" x14ac:dyDescent="0.35">
      <c r="A8" s="1486"/>
      <c r="B8" s="1489"/>
      <c r="C8" s="1395"/>
      <c r="D8" s="1395"/>
      <c r="E8" s="1398"/>
      <c r="F8" s="1401"/>
      <c r="G8" s="1404"/>
      <c r="H8" s="1420"/>
      <c r="I8" s="1407"/>
      <c r="J8" s="1470"/>
      <c r="K8" s="1473"/>
      <c r="L8" s="1476"/>
      <c r="M8" s="1479"/>
      <c r="N8" s="1412"/>
      <c r="O8" s="229" t="s">
        <v>135</v>
      </c>
      <c r="P8" s="680" t="s">
        <v>259</v>
      </c>
      <c r="Q8" s="682" t="s">
        <v>260</v>
      </c>
      <c r="R8" s="681" t="s">
        <v>261</v>
      </c>
    </row>
    <row r="9" spans="1:20" s="2" customFormat="1" ht="15" customHeight="1" x14ac:dyDescent="0.3">
      <c r="A9" s="1450" t="s">
        <v>11</v>
      </c>
      <c r="B9" s="1451"/>
      <c r="C9" s="1451"/>
      <c r="D9" s="1451"/>
      <c r="E9" s="1451"/>
      <c r="F9" s="1451"/>
      <c r="G9" s="1451"/>
      <c r="H9" s="1451"/>
      <c r="I9" s="1451"/>
      <c r="J9" s="1451"/>
      <c r="K9" s="1451"/>
      <c r="L9" s="1451"/>
      <c r="M9" s="1451"/>
      <c r="N9" s="1451"/>
      <c r="O9" s="1451"/>
      <c r="P9" s="1451"/>
      <c r="Q9" s="1451"/>
      <c r="R9" s="1452"/>
    </row>
    <row r="10" spans="1:20" s="2" customFormat="1" ht="15" customHeight="1" x14ac:dyDescent="0.3">
      <c r="A10" s="1453" t="s">
        <v>12</v>
      </c>
      <c r="B10" s="1454"/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5"/>
      <c r="T10" s="3"/>
    </row>
    <row r="11" spans="1:20" s="3" customFormat="1" ht="15" customHeight="1" x14ac:dyDescent="0.3">
      <c r="A11" s="167" t="s">
        <v>13</v>
      </c>
      <c r="B11" s="1456" t="s">
        <v>14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7"/>
    </row>
    <row r="12" spans="1:20" s="3" customFormat="1" ht="15" customHeight="1" thickBot="1" x14ac:dyDescent="0.35">
      <c r="A12" s="951" t="s">
        <v>13</v>
      </c>
      <c r="B12" s="166" t="s">
        <v>13</v>
      </c>
      <c r="C12" s="1458" t="s">
        <v>15</v>
      </c>
      <c r="D12" s="1459"/>
      <c r="E12" s="1459"/>
      <c r="F12" s="1459"/>
      <c r="G12" s="1459"/>
      <c r="H12" s="1459"/>
      <c r="I12" s="1459"/>
      <c r="J12" s="1460"/>
      <c r="K12" s="1460"/>
      <c r="L12" s="1460"/>
      <c r="M12" s="1460"/>
      <c r="N12" s="1459"/>
      <c r="O12" s="1459"/>
      <c r="P12" s="1459"/>
      <c r="Q12" s="1459"/>
      <c r="R12" s="1461"/>
    </row>
    <row r="13" spans="1:20" s="3" customFormat="1" ht="16.5" customHeight="1" x14ac:dyDescent="0.3">
      <c r="A13" s="950" t="s">
        <v>13</v>
      </c>
      <c r="B13" s="5" t="s">
        <v>13</v>
      </c>
      <c r="C13" s="948" t="s">
        <v>13</v>
      </c>
      <c r="D13" s="207"/>
      <c r="E13" s="1436" t="s">
        <v>16</v>
      </c>
      <c r="F13" s="263"/>
      <c r="G13" s="358" t="s">
        <v>17</v>
      </c>
      <c r="H13" s="1423" t="s">
        <v>221</v>
      </c>
      <c r="I13" s="368" t="s">
        <v>289</v>
      </c>
      <c r="J13" s="1044">
        <v>844.6</v>
      </c>
      <c r="K13" s="382">
        <v>882.7</v>
      </c>
      <c r="L13" s="400">
        <v>1082.7</v>
      </c>
      <c r="M13" s="1045">
        <v>1082.7</v>
      </c>
      <c r="N13" s="1464" t="s">
        <v>21</v>
      </c>
      <c r="O13" s="878">
        <v>1180</v>
      </c>
      <c r="P13" s="99">
        <v>1087</v>
      </c>
      <c r="Q13" s="649">
        <v>1087</v>
      </c>
      <c r="R13" s="879">
        <v>1087</v>
      </c>
      <c r="S13" s="1324"/>
    </row>
    <row r="14" spans="1:20" s="3" customFormat="1" ht="16.5" customHeight="1" x14ac:dyDescent="0.3">
      <c r="A14" s="941"/>
      <c r="B14" s="6"/>
      <c r="C14" s="948"/>
      <c r="D14" s="208"/>
      <c r="E14" s="1436"/>
      <c r="F14" s="120"/>
      <c r="G14" s="358"/>
      <c r="H14" s="1424"/>
      <c r="I14" s="131" t="s">
        <v>124</v>
      </c>
      <c r="J14" s="161">
        <v>180</v>
      </c>
      <c r="K14" s="60">
        <v>200</v>
      </c>
      <c r="L14" s="401"/>
      <c r="M14" s="877"/>
      <c r="N14" s="1358"/>
      <c r="O14" s="340"/>
      <c r="P14" s="289"/>
      <c r="Q14" s="643"/>
      <c r="R14" s="611"/>
      <c r="S14" s="49"/>
    </row>
    <row r="15" spans="1:20" s="3" customFormat="1" ht="15" customHeight="1" x14ac:dyDescent="0.3">
      <c r="A15" s="941"/>
      <c r="B15" s="6"/>
      <c r="C15" s="948"/>
      <c r="D15" s="208"/>
      <c r="E15" s="1436"/>
      <c r="F15" s="120"/>
      <c r="G15" s="358"/>
      <c r="H15" s="1424"/>
      <c r="I15" s="130" t="s">
        <v>289</v>
      </c>
      <c r="J15" s="126">
        <f>938.2-100</f>
        <v>838.2</v>
      </c>
      <c r="K15" s="27">
        <v>199</v>
      </c>
      <c r="L15" s="402">
        <v>794</v>
      </c>
      <c r="M15" s="1046">
        <v>794</v>
      </c>
      <c r="N15" s="1462" t="s">
        <v>22</v>
      </c>
      <c r="O15" s="59">
        <v>3210</v>
      </c>
      <c r="P15" s="9">
        <v>2647</v>
      </c>
      <c r="Q15" s="519">
        <v>2647</v>
      </c>
      <c r="R15" s="610">
        <v>2647</v>
      </c>
      <c r="S15" s="49"/>
    </row>
    <row r="16" spans="1:20" s="3" customFormat="1" ht="15" customHeight="1" x14ac:dyDescent="0.3">
      <c r="A16" s="941"/>
      <c r="B16" s="6"/>
      <c r="C16" s="948"/>
      <c r="D16" s="208"/>
      <c r="E16" s="1436"/>
      <c r="F16" s="120"/>
      <c r="G16" s="358"/>
      <c r="H16" s="123"/>
      <c r="I16" s="130" t="s">
        <v>124</v>
      </c>
      <c r="J16" s="154">
        <f>100+100</f>
        <v>200</v>
      </c>
      <c r="K16" s="49">
        <v>595</v>
      </c>
      <c r="L16" s="403"/>
      <c r="M16" s="385"/>
      <c r="N16" s="1463"/>
      <c r="O16" s="340"/>
      <c r="P16" s="289"/>
      <c r="Q16" s="643"/>
      <c r="R16" s="611"/>
    </row>
    <row r="17" spans="1:19" s="3" customFormat="1" ht="27.6" customHeight="1" x14ac:dyDescent="0.3">
      <c r="A17" s="941"/>
      <c r="B17" s="6"/>
      <c r="C17" s="948"/>
      <c r="D17" s="208"/>
      <c r="E17" s="1436"/>
      <c r="F17" s="120"/>
      <c r="G17" s="358"/>
      <c r="H17" s="123"/>
      <c r="I17" s="1099" t="s">
        <v>289</v>
      </c>
      <c r="J17" s="126">
        <v>166.4</v>
      </c>
      <c r="K17" s="27">
        <v>174.2</v>
      </c>
      <c r="L17" s="402">
        <v>179.2</v>
      </c>
      <c r="M17" s="1046">
        <v>179.2</v>
      </c>
      <c r="N17" s="1425" t="s">
        <v>23</v>
      </c>
      <c r="O17" s="59">
        <v>55</v>
      </c>
      <c r="P17" s="9">
        <v>60</v>
      </c>
      <c r="Q17" s="519">
        <v>60</v>
      </c>
      <c r="R17" s="610">
        <v>60</v>
      </c>
    </row>
    <row r="18" spans="1:19" s="3" customFormat="1" ht="27.6" customHeight="1" x14ac:dyDescent="0.3">
      <c r="A18" s="1097"/>
      <c r="B18" s="6"/>
      <c r="C18" s="1098"/>
      <c r="D18" s="208"/>
      <c r="E18" s="1096"/>
      <c r="F18" s="120"/>
      <c r="G18" s="358"/>
      <c r="H18" s="123"/>
      <c r="I18" s="368" t="s">
        <v>124</v>
      </c>
      <c r="J18" s="60"/>
      <c r="K18" s="60">
        <v>5</v>
      </c>
      <c r="L18" s="401"/>
      <c r="M18" s="386"/>
      <c r="N18" s="1426"/>
      <c r="O18" s="340"/>
      <c r="P18" s="289"/>
      <c r="Q18" s="643"/>
      <c r="R18" s="611"/>
    </row>
    <row r="19" spans="1:19" s="3" customFormat="1" ht="71.7" customHeight="1" x14ac:dyDescent="0.3">
      <c r="A19" s="941"/>
      <c r="B19" s="6"/>
      <c r="C19" s="948"/>
      <c r="D19" s="208"/>
      <c r="E19" s="939"/>
      <c r="F19" s="120"/>
      <c r="G19" s="358"/>
      <c r="H19" s="123"/>
      <c r="I19" s="800" t="s">
        <v>18</v>
      </c>
      <c r="J19" s="747">
        <v>927.5</v>
      </c>
      <c r="K19" s="60"/>
      <c r="L19" s="401"/>
      <c r="M19" s="748"/>
      <c r="N19" s="22" t="s">
        <v>276</v>
      </c>
      <c r="O19" s="80">
        <v>3507</v>
      </c>
      <c r="P19" s="170"/>
      <c r="Q19" s="522"/>
      <c r="R19" s="604"/>
    </row>
    <row r="20" spans="1:19" s="3" customFormat="1" ht="46.2" customHeight="1" x14ac:dyDescent="0.3">
      <c r="A20" s="941"/>
      <c r="B20" s="6"/>
      <c r="C20" s="948"/>
      <c r="D20" s="209" t="s">
        <v>13</v>
      </c>
      <c r="E20" s="1443" t="s">
        <v>19</v>
      </c>
      <c r="F20" s="120"/>
      <c r="G20" s="358"/>
      <c r="H20" s="123"/>
      <c r="I20" s="320" t="s">
        <v>18</v>
      </c>
      <c r="J20" s="60">
        <v>841.7</v>
      </c>
      <c r="K20" s="60">
        <v>780</v>
      </c>
      <c r="L20" s="401">
        <v>780</v>
      </c>
      <c r="M20" s="386">
        <v>780</v>
      </c>
      <c r="N20" s="22" t="s">
        <v>93</v>
      </c>
      <c r="O20" s="80">
        <v>4</v>
      </c>
      <c r="P20" s="170">
        <v>4</v>
      </c>
      <c r="Q20" s="522">
        <v>4</v>
      </c>
      <c r="R20" s="604">
        <v>4</v>
      </c>
      <c r="S20" s="49"/>
    </row>
    <row r="21" spans="1:19" s="3" customFormat="1" ht="32.4" customHeight="1" x14ac:dyDescent="0.3">
      <c r="A21" s="941"/>
      <c r="B21" s="6"/>
      <c r="C21" s="948"/>
      <c r="D21" s="208"/>
      <c r="E21" s="1444"/>
      <c r="F21" s="120"/>
      <c r="G21" s="358"/>
      <c r="H21" s="123"/>
      <c r="I21" s="360"/>
      <c r="J21" s="162"/>
      <c r="K21" s="744"/>
      <c r="L21" s="745"/>
      <c r="M21" s="746"/>
      <c r="N21" s="336" t="s">
        <v>92</v>
      </c>
      <c r="O21" s="59">
        <v>185</v>
      </c>
      <c r="P21" s="9">
        <v>185</v>
      </c>
      <c r="Q21" s="519">
        <v>185</v>
      </c>
      <c r="R21" s="610">
        <v>185</v>
      </c>
      <c r="S21" s="1324"/>
    </row>
    <row r="22" spans="1:19" s="3" customFormat="1" ht="40.950000000000003" customHeight="1" x14ac:dyDescent="0.3">
      <c r="A22" s="941"/>
      <c r="B22" s="6"/>
      <c r="C22" s="948"/>
      <c r="D22" s="208"/>
      <c r="E22" s="1444"/>
      <c r="F22" s="120"/>
      <c r="G22" s="358"/>
      <c r="H22" s="1089" t="s">
        <v>254</v>
      </c>
      <c r="I22" s="131" t="s">
        <v>18</v>
      </c>
      <c r="J22" s="60">
        <f>47+60.4</f>
        <v>107.4</v>
      </c>
      <c r="K22" s="1058">
        <v>168.3</v>
      </c>
      <c r="L22" s="448">
        <v>168.3</v>
      </c>
      <c r="M22" s="1065">
        <v>168.3</v>
      </c>
      <c r="N22" s="1437" t="s">
        <v>94</v>
      </c>
      <c r="O22" s="59">
        <v>71</v>
      </c>
      <c r="P22" s="753">
        <v>75</v>
      </c>
      <c r="Q22" s="708">
        <v>80</v>
      </c>
      <c r="R22" s="664">
        <v>85</v>
      </c>
    </row>
    <row r="23" spans="1:19" s="3" customFormat="1" ht="17.25" customHeight="1" x14ac:dyDescent="0.3">
      <c r="A23" s="941"/>
      <c r="B23" s="6"/>
      <c r="C23" s="948"/>
      <c r="D23" s="210"/>
      <c r="E23" s="1445"/>
      <c r="F23" s="120"/>
      <c r="G23" s="358"/>
      <c r="H23" s="1090"/>
      <c r="I23" s="362" t="s">
        <v>24</v>
      </c>
      <c r="J23" s="163">
        <f>SUM(J13:J22)</f>
        <v>4105.8</v>
      </c>
      <c r="K23" s="45">
        <f>SUM(K13:K22)</f>
        <v>3004.2000000000003</v>
      </c>
      <c r="L23" s="405">
        <f>SUM(L13:L22)</f>
        <v>3004.2000000000003</v>
      </c>
      <c r="M23" s="387">
        <f>SUM(M13:M22)</f>
        <v>3004.2000000000003</v>
      </c>
      <c r="N23" s="1438"/>
      <c r="O23" s="77"/>
      <c r="P23" s="35"/>
      <c r="Q23" s="642"/>
      <c r="R23" s="663"/>
    </row>
    <row r="24" spans="1:19" s="3" customFormat="1" ht="57.6" customHeight="1" x14ac:dyDescent="0.3">
      <c r="A24" s="941"/>
      <c r="B24" s="6"/>
      <c r="C24" s="948"/>
      <c r="D24" s="208" t="s">
        <v>32</v>
      </c>
      <c r="E24" s="957" t="s">
        <v>25</v>
      </c>
      <c r="F24" s="1446" t="s">
        <v>103</v>
      </c>
      <c r="G24" s="358"/>
      <c r="H24" s="123"/>
      <c r="I24" s="363" t="s">
        <v>18</v>
      </c>
      <c r="J24" s="60">
        <v>1961.4</v>
      </c>
      <c r="K24" s="60">
        <v>1145.7</v>
      </c>
      <c r="L24" s="401">
        <v>1145.7</v>
      </c>
      <c r="M24" s="386">
        <v>1145.7</v>
      </c>
      <c r="N24" s="961" t="s">
        <v>203</v>
      </c>
      <c r="O24" s="129">
        <v>470</v>
      </c>
      <c r="P24" s="170">
        <v>518</v>
      </c>
      <c r="Q24" s="522">
        <v>518</v>
      </c>
      <c r="R24" s="595">
        <v>518</v>
      </c>
    </row>
    <row r="25" spans="1:19" s="3" customFormat="1" ht="56.7" customHeight="1" x14ac:dyDescent="0.3">
      <c r="A25" s="941"/>
      <c r="B25" s="6"/>
      <c r="C25" s="948"/>
      <c r="D25" s="208"/>
      <c r="E25" s="957"/>
      <c r="F25" s="1447"/>
      <c r="G25" s="358"/>
      <c r="H25" s="123"/>
      <c r="I25" s="363" t="s">
        <v>18</v>
      </c>
      <c r="J25" s="161">
        <f>299.4-10.2</f>
        <v>289.2</v>
      </c>
      <c r="K25" s="60">
        <v>329.7</v>
      </c>
      <c r="L25" s="401">
        <v>329.7</v>
      </c>
      <c r="M25" s="877">
        <v>329.7</v>
      </c>
      <c r="N25" s="306" t="s">
        <v>204</v>
      </c>
      <c r="O25" s="129">
        <v>55</v>
      </c>
      <c r="P25" s="170">
        <v>60</v>
      </c>
      <c r="Q25" s="522">
        <v>60</v>
      </c>
      <c r="R25" s="595">
        <v>60</v>
      </c>
    </row>
    <row r="26" spans="1:19" s="3" customFormat="1" ht="57" customHeight="1" x14ac:dyDescent="0.3">
      <c r="A26" s="941"/>
      <c r="B26" s="6"/>
      <c r="C26" s="948"/>
      <c r="D26" s="208"/>
      <c r="E26" s="957"/>
      <c r="F26" s="1447"/>
      <c r="G26" s="358"/>
      <c r="H26" s="123"/>
      <c r="I26" s="363" t="s">
        <v>18</v>
      </c>
      <c r="J26" s="161">
        <f>721-25.6</f>
        <v>695.4</v>
      </c>
      <c r="K26" s="60">
        <v>840.4</v>
      </c>
      <c r="L26" s="401">
        <v>840.4</v>
      </c>
      <c r="M26" s="877">
        <v>840.4</v>
      </c>
      <c r="N26" s="920" t="s">
        <v>205</v>
      </c>
      <c r="O26" s="129">
        <v>93</v>
      </c>
      <c r="P26" s="170">
        <v>125</v>
      </c>
      <c r="Q26" s="522">
        <v>125</v>
      </c>
      <c r="R26" s="595">
        <v>125</v>
      </c>
    </row>
    <row r="27" spans="1:19" s="3" customFormat="1" ht="56.7" customHeight="1" x14ac:dyDescent="0.3">
      <c r="A27" s="941"/>
      <c r="B27" s="6"/>
      <c r="C27" s="948"/>
      <c r="D27" s="208"/>
      <c r="E27" s="957"/>
      <c r="F27" s="1447"/>
      <c r="G27" s="358"/>
      <c r="H27" s="123"/>
      <c r="I27" s="363" t="s">
        <v>18</v>
      </c>
      <c r="J27" s="161">
        <v>178.8</v>
      </c>
      <c r="K27" s="60">
        <v>197.9</v>
      </c>
      <c r="L27" s="401">
        <v>197.9</v>
      </c>
      <c r="M27" s="877">
        <v>197.9</v>
      </c>
      <c r="N27" s="956" t="s">
        <v>206</v>
      </c>
      <c r="O27" s="129">
        <v>32</v>
      </c>
      <c r="P27" s="170">
        <v>32</v>
      </c>
      <c r="Q27" s="522">
        <v>32</v>
      </c>
      <c r="R27" s="595">
        <v>32</v>
      </c>
    </row>
    <row r="28" spans="1:19" s="3" customFormat="1" ht="56.7" customHeight="1" x14ac:dyDescent="0.3">
      <c r="A28" s="941"/>
      <c r="B28" s="6"/>
      <c r="C28" s="948"/>
      <c r="D28" s="208"/>
      <c r="E28" s="957"/>
      <c r="F28" s="1447"/>
      <c r="G28" s="358"/>
      <c r="H28" s="123"/>
      <c r="I28" s="363" t="s">
        <v>18</v>
      </c>
      <c r="J28" s="161">
        <f>308.2-23.3</f>
        <v>284.89999999999998</v>
      </c>
      <c r="K28" s="60">
        <v>367.3</v>
      </c>
      <c r="L28" s="401">
        <v>367.3</v>
      </c>
      <c r="M28" s="877">
        <v>367.3</v>
      </c>
      <c r="N28" s="306" t="s">
        <v>207</v>
      </c>
      <c r="O28" s="129">
        <v>35</v>
      </c>
      <c r="P28" s="170">
        <v>35</v>
      </c>
      <c r="Q28" s="522">
        <v>35</v>
      </c>
      <c r="R28" s="595">
        <v>35</v>
      </c>
    </row>
    <row r="29" spans="1:19" s="3" customFormat="1" ht="26.25" customHeight="1" x14ac:dyDescent="0.3">
      <c r="A29" s="941"/>
      <c r="B29" s="6"/>
      <c r="C29" s="948"/>
      <c r="D29" s="208"/>
      <c r="E29" s="957"/>
      <c r="F29" s="1447"/>
      <c r="G29" s="358"/>
      <c r="H29" s="123"/>
      <c r="I29" s="363" t="s">
        <v>18</v>
      </c>
      <c r="J29" s="60">
        <v>27.6</v>
      </c>
      <c r="K29" s="60">
        <v>32.9</v>
      </c>
      <c r="L29" s="401">
        <v>32.9</v>
      </c>
      <c r="M29" s="386">
        <v>32.9</v>
      </c>
      <c r="N29" s="1431" t="s">
        <v>208</v>
      </c>
      <c r="O29" s="164">
        <v>8</v>
      </c>
      <c r="P29" s="35">
        <v>8</v>
      </c>
      <c r="Q29" s="642">
        <v>8</v>
      </c>
      <c r="R29" s="608">
        <v>8</v>
      </c>
    </row>
    <row r="30" spans="1:19" s="3" customFormat="1" ht="26.25" customHeight="1" x14ac:dyDescent="0.3">
      <c r="A30" s="941"/>
      <c r="B30" s="6"/>
      <c r="C30" s="948"/>
      <c r="D30" s="208"/>
      <c r="E30" s="957"/>
      <c r="F30" s="1447"/>
      <c r="G30" s="358"/>
      <c r="H30" s="123"/>
      <c r="I30" s="360"/>
      <c r="J30" s="49"/>
      <c r="K30" s="49"/>
      <c r="L30" s="403"/>
      <c r="M30" s="76"/>
      <c r="N30" s="1432"/>
      <c r="O30" s="164"/>
      <c r="P30" s="35"/>
      <c r="Q30" s="642"/>
      <c r="R30" s="608"/>
    </row>
    <row r="31" spans="1:19" s="3" customFormat="1" ht="16.5" customHeight="1" x14ac:dyDescent="0.3">
      <c r="A31" s="941"/>
      <c r="B31" s="6"/>
      <c r="C31" s="948"/>
      <c r="D31" s="208"/>
      <c r="E31" s="956"/>
      <c r="F31" s="1448"/>
      <c r="G31" s="358"/>
      <c r="H31" s="123"/>
      <c r="I31" s="364" t="s">
        <v>24</v>
      </c>
      <c r="J31" s="45">
        <f>SUM(J24:J30)</f>
        <v>3437.3</v>
      </c>
      <c r="K31" s="45">
        <f>SUM(K24:K30)</f>
        <v>2913.9000000000005</v>
      </c>
      <c r="L31" s="405">
        <f>SUM(L24:L30)</f>
        <v>2913.9000000000005</v>
      </c>
      <c r="M31" s="388">
        <f t="shared" ref="M31" si="0">SUM(M24:M30)</f>
        <v>2913.9000000000005</v>
      </c>
      <c r="N31" s="1433"/>
      <c r="O31" s="38"/>
      <c r="P31" s="289"/>
      <c r="Q31" s="643"/>
      <c r="R31" s="609"/>
    </row>
    <row r="32" spans="1:19" s="3" customFormat="1" ht="27.75" customHeight="1" x14ac:dyDescent="0.3">
      <c r="A32" s="941"/>
      <c r="B32" s="6"/>
      <c r="C32" s="948"/>
      <c r="D32" s="209" t="s">
        <v>35</v>
      </c>
      <c r="E32" s="1357" t="s">
        <v>26</v>
      </c>
      <c r="F32" s="66"/>
      <c r="G32" s="358"/>
      <c r="H32" s="123"/>
      <c r="I32" s="361" t="s">
        <v>18</v>
      </c>
      <c r="J32" s="171">
        <v>906.3</v>
      </c>
      <c r="K32" s="171">
        <v>929.6</v>
      </c>
      <c r="L32" s="406">
        <v>926.6</v>
      </c>
      <c r="M32" s="1064">
        <v>929.6</v>
      </c>
      <c r="N32" s="1432" t="s">
        <v>27</v>
      </c>
      <c r="O32" s="164">
        <v>51</v>
      </c>
      <c r="P32" s="35">
        <v>51</v>
      </c>
      <c r="Q32" s="642">
        <v>51</v>
      </c>
      <c r="R32" s="608">
        <v>51</v>
      </c>
    </row>
    <row r="33" spans="1:18" s="3" customFormat="1" ht="16.5" customHeight="1" x14ac:dyDescent="0.3">
      <c r="A33" s="941"/>
      <c r="B33" s="6"/>
      <c r="C33" s="948"/>
      <c r="D33" s="208"/>
      <c r="E33" s="1358"/>
      <c r="F33" s="67"/>
      <c r="G33" s="358"/>
      <c r="H33" s="123"/>
      <c r="I33" s="364" t="s">
        <v>24</v>
      </c>
      <c r="J33" s="45">
        <f>+J32</f>
        <v>906.3</v>
      </c>
      <c r="K33" s="45">
        <f t="shared" ref="K33:M33" si="1">+K32</f>
        <v>929.6</v>
      </c>
      <c r="L33" s="405">
        <f t="shared" si="1"/>
        <v>926.6</v>
      </c>
      <c r="M33" s="388">
        <f t="shared" si="1"/>
        <v>929.6</v>
      </c>
      <c r="N33" s="1433"/>
      <c r="O33" s="38"/>
      <c r="P33" s="289"/>
      <c r="Q33" s="643"/>
      <c r="R33" s="609"/>
    </row>
    <row r="34" spans="1:18" s="3" customFormat="1" ht="27" customHeight="1" x14ac:dyDescent="0.3">
      <c r="A34" s="941"/>
      <c r="B34" s="6"/>
      <c r="C34" s="948"/>
      <c r="D34" s="209" t="s">
        <v>37</v>
      </c>
      <c r="E34" s="1357" t="s">
        <v>28</v>
      </c>
      <c r="F34" s="1361"/>
      <c r="G34" s="358"/>
      <c r="H34" s="123"/>
      <c r="I34" s="361" t="s">
        <v>18</v>
      </c>
      <c r="J34" s="27">
        <v>784.5</v>
      </c>
      <c r="K34" s="171">
        <v>1799</v>
      </c>
      <c r="L34" s="406">
        <v>1799</v>
      </c>
      <c r="M34" s="1064">
        <v>1799</v>
      </c>
      <c r="N34" s="1432" t="s">
        <v>29</v>
      </c>
      <c r="O34" s="164">
        <v>2856</v>
      </c>
      <c r="P34" s="35">
        <v>5293</v>
      </c>
      <c r="Q34" s="642">
        <v>5293</v>
      </c>
      <c r="R34" s="129">
        <v>5293</v>
      </c>
    </row>
    <row r="35" spans="1:18" s="3" customFormat="1" ht="16.5" customHeight="1" x14ac:dyDescent="0.3">
      <c r="A35" s="941"/>
      <c r="B35" s="6"/>
      <c r="C35" s="948"/>
      <c r="D35" s="208"/>
      <c r="E35" s="1357"/>
      <c r="F35" s="1439"/>
      <c r="G35" s="358"/>
      <c r="H35" s="123"/>
      <c r="I35" s="364" t="s">
        <v>24</v>
      </c>
      <c r="J35" s="8">
        <f>+J34</f>
        <v>784.5</v>
      </c>
      <c r="K35" s="8">
        <f t="shared" ref="K35:M35" si="2">+K34</f>
        <v>1799</v>
      </c>
      <c r="L35" s="407">
        <f t="shared" si="2"/>
        <v>1799</v>
      </c>
      <c r="M35" s="390">
        <f t="shared" si="2"/>
        <v>1799</v>
      </c>
      <c r="N35" s="1432"/>
      <c r="O35" s="709" t="s">
        <v>137</v>
      </c>
      <c r="P35" s="170">
        <v>841</v>
      </c>
      <c r="Q35" s="522">
        <v>841</v>
      </c>
      <c r="R35" s="623" t="s">
        <v>295</v>
      </c>
    </row>
    <row r="36" spans="1:18" s="3" customFormat="1" ht="16.95" customHeight="1" x14ac:dyDescent="0.3">
      <c r="A36" s="1354"/>
      <c r="B36" s="1355"/>
      <c r="C36" s="928"/>
      <c r="D36" s="216" t="s">
        <v>38</v>
      </c>
      <c r="E36" s="1356" t="s">
        <v>30</v>
      </c>
      <c r="F36" s="1440"/>
      <c r="G36" s="958"/>
      <c r="H36" s="72"/>
      <c r="I36" s="381" t="s">
        <v>20</v>
      </c>
      <c r="J36" s="60">
        <v>196.1</v>
      </c>
      <c r="K36" s="11">
        <v>423.8</v>
      </c>
      <c r="L36" s="409">
        <v>423.8</v>
      </c>
      <c r="M36" s="798">
        <v>423.8</v>
      </c>
      <c r="N36" s="959" t="s">
        <v>95</v>
      </c>
      <c r="O36" s="83">
        <v>2856</v>
      </c>
      <c r="P36" s="753">
        <v>5386</v>
      </c>
      <c r="Q36" s="708">
        <v>5386</v>
      </c>
      <c r="R36" s="664">
        <v>5386</v>
      </c>
    </row>
    <row r="37" spans="1:18" s="3" customFormat="1" ht="16.95" customHeight="1" x14ac:dyDescent="0.3">
      <c r="A37" s="1354"/>
      <c r="B37" s="1355"/>
      <c r="C37" s="996"/>
      <c r="D37" s="211"/>
      <c r="E37" s="1357"/>
      <c r="F37" s="1441"/>
      <c r="G37" s="993"/>
      <c r="H37" s="72"/>
      <c r="I37" s="321"/>
      <c r="J37" s="1058"/>
      <c r="K37" s="1059"/>
      <c r="L37" s="1060"/>
      <c r="M37" s="1061"/>
      <c r="N37" s="999"/>
      <c r="O37" s="116"/>
      <c r="P37" s="995"/>
      <c r="Q37" s="676"/>
      <c r="R37" s="622"/>
    </row>
    <row r="38" spans="1:18" s="3" customFormat="1" ht="23.4" customHeight="1" x14ac:dyDescent="0.3">
      <c r="A38" s="1354"/>
      <c r="B38" s="1355"/>
      <c r="C38" s="928"/>
      <c r="D38" s="212"/>
      <c r="E38" s="1358"/>
      <c r="F38" s="1442"/>
      <c r="G38" s="958"/>
      <c r="H38" s="72"/>
      <c r="I38" s="365" t="s">
        <v>24</v>
      </c>
      <c r="J38" s="45">
        <f>+J36</f>
        <v>196.1</v>
      </c>
      <c r="K38" s="45">
        <f>SUM(K36:K37)</f>
        <v>423.8</v>
      </c>
      <c r="L38" s="405">
        <f t="shared" ref="L38:M38" si="3">SUM(L36:L37)</f>
        <v>423.8</v>
      </c>
      <c r="M38" s="388">
        <f t="shared" si="3"/>
        <v>423.8</v>
      </c>
      <c r="N38" s="33"/>
      <c r="O38" s="293"/>
      <c r="P38" s="756"/>
      <c r="Q38" s="675"/>
      <c r="R38" s="665"/>
    </row>
    <row r="39" spans="1:18" s="2" customFormat="1" ht="17.25" customHeight="1" x14ac:dyDescent="0.3">
      <c r="A39" s="1354"/>
      <c r="B39" s="1355"/>
      <c r="C39" s="928"/>
      <c r="D39" s="211" t="s">
        <v>55</v>
      </c>
      <c r="E39" s="1357" t="s">
        <v>163</v>
      </c>
      <c r="F39" s="1465"/>
      <c r="G39" s="1422"/>
      <c r="H39" s="72"/>
      <c r="I39" s="261" t="s">
        <v>18</v>
      </c>
      <c r="J39" s="46">
        <v>479.5</v>
      </c>
      <c r="K39" s="46">
        <v>507.5</v>
      </c>
      <c r="L39" s="408"/>
      <c r="M39" s="391"/>
      <c r="N39" s="1357" t="s">
        <v>113</v>
      </c>
      <c r="O39" s="77">
        <v>108</v>
      </c>
      <c r="P39" s="757">
        <v>108</v>
      </c>
      <c r="Q39" s="674"/>
      <c r="R39" s="663"/>
    </row>
    <row r="40" spans="1:18" s="2" customFormat="1" ht="17.25" customHeight="1" x14ac:dyDescent="0.3">
      <c r="A40" s="1354"/>
      <c r="B40" s="1355"/>
      <c r="C40" s="928"/>
      <c r="D40" s="211"/>
      <c r="E40" s="1357"/>
      <c r="F40" s="1466"/>
      <c r="G40" s="1422"/>
      <c r="H40" s="72"/>
      <c r="I40" s="131" t="s">
        <v>127</v>
      </c>
      <c r="J40" s="11">
        <f>78.8+166.2</f>
        <v>245</v>
      </c>
      <c r="K40" s="11">
        <v>256.10000000000002</v>
      </c>
      <c r="L40" s="409"/>
      <c r="M40" s="392"/>
      <c r="N40" s="1357"/>
      <c r="O40" s="77"/>
      <c r="P40" s="757"/>
      <c r="Q40" s="674"/>
      <c r="R40" s="663"/>
    </row>
    <row r="41" spans="1:18" s="2" customFormat="1" ht="17.25" customHeight="1" x14ac:dyDescent="0.3">
      <c r="A41" s="1354"/>
      <c r="B41" s="1355"/>
      <c r="C41" s="928"/>
      <c r="D41" s="211"/>
      <c r="E41" s="1357"/>
      <c r="F41" s="1467"/>
      <c r="G41" s="1422"/>
      <c r="H41" s="72"/>
      <c r="I41" s="131" t="s">
        <v>134</v>
      </c>
      <c r="J41" s="11">
        <v>76.8</v>
      </c>
      <c r="K41" s="11">
        <v>74</v>
      </c>
      <c r="L41" s="409"/>
      <c r="M41" s="392"/>
      <c r="N41" s="1357"/>
      <c r="O41" s="77"/>
      <c r="P41" s="757"/>
      <c r="Q41" s="674"/>
      <c r="R41" s="663"/>
    </row>
    <row r="42" spans="1:18" s="2" customFormat="1" ht="17.25" customHeight="1" x14ac:dyDescent="0.3">
      <c r="A42" s="941"/>
      <c r="B42" s="938"/>
      <c r="C42" s="928"/>
      <c r="D42" s="211"/>
      <c r="E42" s="1358"/>
      <c r="F42" s="309" t="s">
        <v>213</v>
      </c>
      <c r="G42" s="1422"/>
      <c r="H42" s="72"/>
      <c r="I42" s="364" t="s">
        <v>24</v>
      </c>
      <c r="J42" s="8">
        <f>SUM(J39:J41)</f>
        <v>801.3</v>
      </c>
      <c r="K42" s="8">
        <f>SUM(K39:K41)</f>
        <v>837.6</v>
      </c>
      <c r="L42" s="407">
        <f t="shared" ref="L42:M42" si="4">SUM(L39:L41)</f>
        <v>0</v>
      </c>
      <c r="M42" s="390">
        <f t="shared" si="4"/>
        <v>0</v>
      </c>
      <c r="N42" s="919"/>
      <c r="O42" s="118"/>
      <c r="P42" s="953"/>
      <c r="Q42" s="676"/>
      <c r="R42" s="666"/>
    </row>
    <row r="43" spans="1:18" s="2" customFormat="1" ht="27" customHeight="1" x14ac:dyDescent="0.3">
      <c r="A43" s="941"/>
      <c r="B43" s="938"/>
      <c r="C43" s="928"/>
      <c r="D43" s="216" t="s">
        <v>56</v>
      </c>
      <c r="E43" s="1357" t="s">
        <v>167</v>
      </c>
      <c r="F43" s="1421" t="s">
        <v>213</v>
      </c>
      <c r="G43" s="1422"/>
      <c r="H43" s="72"/>
      <c r="I43" s="261" t="s">
        <v>289</v>
      </c>
      <c r="J43" s="294">
        <v>97.4</v>
      </c>
      <c r="K43" s="294">
        <v>97.4</v>
      </c>
      <c r="L43" s="410">
        <v>97.4</v>
      </c>
      <c r="M43" s="393">
        <v>97.4</v>
      </c>
      <c r="N43" s="337" t="s">
        <v>181</v>
      </c>
      <c r="O43" s="90">
        <v>10</v>
      </c>
      <c r="P43" s="758">
        <v>11</v>
      </c>
      <c r="Q43" s="698">
        <v>11</v>
      </c>
      <c r="R43" s="599">
        <v>11</v>
      </c>
    </row>
    <row r="44" spans="1:18" s="2" customFormat="1" ht="15" customHeight="1" x14ac:dyDescent="0.3">
      <c r="A44" s="941"/>
      <c r="B44" s="938"/>
      <c r="C44" s="928"/>
      <c r="D44" s="211"/>
      <c r="E44" s="1357"/>
      <c r="F44" s="1421"/>
      <c r="G44" s="1422"/>
      <c r="H44" s="72"/>
      <c r="I44" s="261" t="s">
        <v>289</v>
      </c>
      <c r="J44" s="294">
        <v>48.1</v>
      </c>
      <c r="K44" s="294">
        <v>48.2</v>
      </c>
      <c r="L44" s="410">
        <v>48.2</v>
      </c>
      <c r="M44" s="393">
        <v>48.2</v>
      </c>
      <c r="N44" s="1366" t="s">
        <v>217</v>
      </c>
      <c r="O44" s="98">
        <v>10</v>
      </c>
      <c r="P44" s="759">
        <v>10</v>
      </c>
      <c r="Q44" s="699">
        <v>10</v>
      </c>
      <c r="R44" s="594">
        <v>10</v>
      </c>
    </row>
    <row r="45" spans="1:18" s="2" customFormat="1" ht="15.75" customHeight="1" x14ac:dyDescent="0.3">
      <c r="A45" s="941"/>
      <c r="B45" s="938"/>
      <c r="C45" s="928"/>
      <c r="D45" s="212"/>
      <c r="E45" s="1358"/>
      <c r="F45" s="1421"/>
      <c r="G45" s="1422"/>
      <c r="H45" s="72"/>
      <c r="I45" s="364" t="s">
        <v>24</v>
      </c>
      <c r="J45" s="93">
        <f>SUM(J43:J44)</f>
        <v>145.5</v>
      </c>
      <c r="K45" s="93">
        <f>SUM(K43:K44)</f>
        <v>145.60000000000002</v>
      </c>
      <c r="L45" s="411">
        <f>SUM(L43:L44)</f>
        <v>145.60000000000002</v>
      </c>
      <c r="M45" s="394">
        <f t="shared" ref="M45" si="5">SUM(M43:M44)</f>
        <v>145.60000000000002</v>
      </c>
      <c r="N45" s="1367"/>
      <c r="O45" s="341"/>
      <c r="P45" s="760"/>
      <c r="Q45" s="700"/>
      <c r="R45" s="667"/>
    </row>
    <row r="46" spans="1:18" s="2" customFormat="1" ht="72.599999999999994" customHeight="1" x14ac:dyDescent="0.3">
      <c r="A46" s="941"/>
      <c r="B46" s="938"/>
      <c r="C46" s="928"/>
      <c r="D46" s="211" t="s">
        <v>87</v>
      </c>
      <c r="E46" s="961" t="s">
        <v>132</v>
      </c>
      <c r="F46" s="853"/>
      <c r="G46" s="854"/>
      <c r="H46" s="1002" t="s">
        <v>242</v>
      </c>
      <c r="I46" s="130" t="s">
        <v>34</v>
      </c>
      <c r="J46" s="294">
        <v>157.4</v>
      </c>
      <c r="K46" s="294"/>
      <c r="L46" s="410"/>
      <c r="M46" s="393"/>
      <c r="N46" s="959" t="s">
        <v>133</v>
      </c>
      <c r="O46" s="92">
        <v>30</v>
      </c>
      <c r="P46" s="139"/>
      <c r="Q46" s="520"/>
      <c r="R46" s="668"/>
    </row>
    <row r="47" spans="1:18" s="2" customFormat="1" ht="67.2" customHeight="1" x14ac:dyDescent="0.3">
      <c r="A47" s="941"/>
      <c r="B47" s="938"/>
      <c r="C47" s="290"/>
      <c r="D47" s="217" t="s">
        <v>88</v>
      </c>
      <c r="E47" s="127" t="s">
        <v>138</v>
      </c>
      <c r="F47" s="316"/>
      <c r="G47" s="359"/>
      <c r="H47" s="156"/>
      <c r="I47" s="366"/>
      <c r="J47" s="95"/>
      <c r="K47" s="95"/>
      <c r="L47" s="412"/>
      <c r="M47" s="395"/>
      <c r="N47" s="337" t="s">
        <v>139</v>
      </c>
      <c r="O47" s="134">
        <v>2500</v>
      </c>
      <c r="P47" s="762">
        <v>2800</v>
      </c>
      <c r="Q47" s="552">
        <v>2800</v>
      </c>
      <c r="R47" s="342">
        <v>2800</v>
      </c>
    </row>
    <row r="48" spans="1:18" s="2" customFormat="1" ht="66" customHeight="1" x14ac:dyDescent="0.3">
      <c r="A48" s="941"/>
      <c r="B48" s="938"/>
      <c r="C48" s="928"/>
      <c r="D48" s="211" t="s">
        <v>200</v>
      </c>
      <c r="E48" s="945" t="s">
        <v>156</v>
      </c>
      <c r="F48" s="71"/>
      <c r="G48" s="359"/>
      <c r="H48" s="156"/>
      <c r="I48" s="356"/>
      <c r="J48" s="105"/>
      <c r="K48" s="105"/>
      <c r="L48" s="413"/>
      <c r="M48" s="106"/>
      <c r="N48" s="338" t="s">
        <v>139</v>
      </c>
      <c r="O48" s="94">
        <v>2500</v>
      </c>
      <c r="P48" s="761">
        <v>2800</v>
      </c>
      <c r="Q48" s="648">
        <v>2800</v>
      </c>
      <c r="R48" s="94">
        <v>2800</v>
      </c>
    </row>
    <row r="49" spans="1:18" s="2" customFormat="1" ht="43.95" customHeight="1" x14ac:dyDescent="0.3">
      <c r="A49" s="941"/>
      <c r="B49" s="938"/>
      <c r="C49" s="928"/>
      <c r="D49" s="217" t="s">
        <v>172</v>
      </c>
      <c r="E49" s="944" t="s">
        <v>246</v>
      </c>
      <c r="F49" s="71"/>
      <c r="G49" s="355"/>
      <c r="H49" s="989" t="s">
        <v>247</v>
      </c>
      <c r="I49" s="356"/>
      <c r="J49" s="105"/>
      <c r="K49" s="105"/>
      <c r="L49" s="413"/>
      <c r="M49" s="106"/>
      <c r="N49" s="357" t="s">
        <v>249</v>
      </c>
      <c r="O49" s="342">
        <v>1</v>
      </c>
      <c r="P49" s="762">
        <v>1</v>
      </c>
      <c r="Q49" s="552"/>
      <c r="R49" s="547"/>
    </row>
    <row r="50" spans="1:18" s="2" customFormat="1" ht="29.7" customHeight="1" x14ac:dyDescent="0.3">
      <c r="A50" s="941"/>
      <c r="B50" s="938"/>
      <c r="C50" s="928"/>
      <c r="D50" s="216"/>
      <c r="E50" s="1368" t="s">
        <v>245</v>
      </c>
      <c r="F50" s="71"/>
      <c r="G50" s="355"/>
      <c r="H50" s="990"/>
      <c r="I50" s="356"/>
      <c r="J50" s="105"/>
      <c r="K50" s="105"/>
      <c r="L50" s="413"/>
      <c r="M50" s="106"/>
      <c r="N50" s="357" t="s">
        <v>248</v>
      </c>
      <c r="O50" s="342">
        <v>1</v>
      </c>
      <c r="P50" s="762"/>
      <c r="Q50" s="552"/>
      <c r="R50" s="547"/>
    </row>
    <row r="51" spans="1:18" s="2" customFormat="1" ht="17.25" customHeight="1" thickBot="1" x14ac:dyDescent="0.35">
      <c r="A51" s="951"/>
      <c r="B51" s="947"/>
      <c r="C51" s="929"/>
      <c r="D51" s="213"/>
      <c r="E51" s="1382"/>
      <c r="F51" s="1427" t="s">
        <v>31</v>
      </c>
      <c r="G51" s="1428"/>
      <c r="H51" s="1429"/>
      <c r="I51" s="1430"/>
      <c r="J51" s="12">
        <f>J42+J38+J35+J33+J31+J23+J45+J46</f>
        <v>10534.199999999999</v>
      </c>
      <c r="K51" s="12">
        <f t="shared" ref="K51:M51" si="6">K42+K38+K35+K33+K31+K23+K45</f>
        <v>10053.700000000001</v>
      </c>
      <c r="L51" s="414">
        <f t="shared" si="6"/>
        <v>9213.1000000000022</v>
      </c>
      <c r="M51" s="1047">
        <f t="shared" si="6"/>
        <v>9216.1000000000022</v>
      </c>
      <c r="N51" s="339"/>
      <c r="O51" s="68"/>
      <c r="P51" s="954"/>
      <c r="Q51" s="659"/>
      <c r="R51" s="628"/>
    </row>
    <row r="52" spans="1:18" s="3" customFormat="1" ht="64.5" customHeight="1" x14ac:dyDescent="0.3">
      <c r="A52" s="1354" t="s">
        <v>13</v>
      </c>
      <c r="B52" s="1355" t="s">
        <v>13</v>
      </c>
      <c r="C52" s="1416" t="s">
        <v>32</v>
      </c>
      <c r="D52" s="208"/>
      <c r="E52" s="1369" t="s">
        <v>33</v>
      </c>
      <c r="F52" s="1434"/>
      <c r="G52" s="1520" t="s">
        <v>17</v>
      </c>
      <c r="H52" s="924" t="s">
        <v>221</v>
      </c>
      <c r="I52" s="119" t="s">
        <v>34</v>
      </c>
      <c r="J52" s="802">
        <v>8728.2000000000007</v>
      </c>
      <c r="K52" s="1077">
        <v>8714.7000000000007</v>
      </c>
      <c r="L52" s="1078">
        <v>8714.7000000000007</v>
      </c>
      <c r="M52" s="1079">
        <v>8714.7000000000007</v>
      </c>
      <c r="N52" s="121" t="s">
        <v>182</v>
      </c>
      <c r="O52" s="164">
        <v>4454</v>
      </c>
      <c r="P52" s="133">
        <v>4255</v>
      </c>
      <c r="Q52" s="649">
        <v>4225</v>
      </c>
      <c r="R52" s="608">
        <v>4225</v>
      </c>
    </row>
    <row r="53" spans="1:18" s="3" customFormat="1" ht="16.5" customHeight="1" thickBot="1" x14ac:dyDescent="0.35">
      <c r="A53" s="1376"/>
      <c r="B53" s="1374"/>
      <c r="C53" s="1417"/>
      <c r="D53" s="214"/>
      <c r="E53" s="1382"/>
      <c r="F53" s="1435"/>
      <c r="G53" s="1521"/>
      <c r="H53" s="232"/>
      <c r="I53" s="84" t="s">
        <v>24</v>
      </c>
      <c r="J53" s="184">
        <f>+J52</f>
        <v>8728.2000000000007</v>
      </c>
      <c r="K53" s="12">
        <f t="shared" ref="K53:M53" si="7">+K52</f>
        <v>8714.7000000000007</v>
      </c>
      <c r="L53" s="414">
        <f t="shared" si="7"/>
        <v>8714.7000000000007</v>
      </c>
      <c r="M53" s="396">
        <f t="shared" si="7"/>
        <v>8714.7000000000007</v>
      </c>
      <c r="N53" s="34"/>
      <c r="O53" s="117"/>
      <c r="P53" s="578"/>
      <c r="Q53" s="646"/>
      <c r="R53" s="613"/>
    </row>
    <row r="54" spans="1:18" s="3" customFormat="1" ht="18" customHeight="1" x14ac:dyDescent="0.3">
      <c r="A54" s="950" t="s">
        <v>13</v>
      </c>
      <c r="B54" s="5" t="s">
        <v>13</v>
      </c>
      <c r="C54" s="206" t="s">
        <v>35</v>
      </c>
      <c r="D54" s="207"/>
      <c r="E54" s="1381" t="s">
        <v>36</v>
      </c>
      <c r="F54" s="65"/>
      <c r="G54" s="36" t="s">
        <v>17</v>
      </c>
      <c r="H54" s="1504" t="s">
        <v>221</v>
      </c>
      <c r="I54" s="65" t="s">
        <v>34</v>
      </c>
      <c r="J54" s="802">
        <v>29329.599999999999</v>
      </c>
      <c r="K54" s="1077">
        <v>26167.7</v>
      </c>
      <c r="L54" s="1078">
        <v>26167.7</v>
      </c>
      <c r="M54" s="1079">
        <v>26167.7</v>
      </c>
      <c r="N54" s="1391" t="s">
        <v>182</v>
      </c>
      <c r="O54" s="238">
        <v>34943</v>
      </c>
      <c r="P54" s="1080">
        <v>32400</v>
      </c>
      <c r="Q54" s="1081">
        <v>32400</v>
      </c>
      <c r="R54" s="1082">
        <v>32400</v>
      </c>
    </row>
    <row r="55" spans="1:18" s="3" customFormat="1" ht="16.5" customHeight="1" thickBot="1" x14ac:dyDescent="0.35">
      <c r="A55" s="951"/>
      <c r="B55" s="13"/>
      <c r="C55" s="949"/>
      <c r="D55" s="214"/>
      <c r="E55" s="1382"/>
      <c r="F55" s="14"/>
      <c r="G55" s="955"/>
      <c r="H55" s="1505"/>
      <c r="I55" s="84" t="s">
        <v>24</v>
      </c>
      <c r="J55" s="180">
        <f>+J54</f>
        <v>29329.599999999999</v>
      </c>
      <c r="K55" s="8">
        <f t="shared" ref="K55:L55" si="8">+K54</f>
        <v>26167.7</v>
      </c>
      <c r="L55" s="407">
        <f t="shared" si="8"/>
        <v>26167.7</v>
      </c>
      <c r="M55" s="397">
        <f>+M54</f>
        <v>26167.7</v>
      </c>
      <c r="N55" s="1392"/>
      <c r="O55" s="230"/>
      <c r="P55" s="701"/>
      <c r="Q55" s="677"/>
      <c r="R55" s="669"/>
    </row>
    <row r="56" spans="1:18" s="2" customFormat="1" ht="25.2" customHeight="1" x14ac:dyDescent="0.3">
      <c r="A56" s="1375" t="s">
        <v>13</v>
      </c>
      <c r="B56" s="1377" t="s">
        <v>13</v>
      </c>
      <c r="C56" s="1378" t="s">
        <v>37</v>
      </c>
      <c r="D56" s="215"/>
      <c r="E56" s="1381" t="s">
        <v>129</v>
      </c>
      <c r="F56" s="65"/>
      <c r="G56" s="943" t="s">
        <v>17</v>
      </c>
      <c r="H56" s="1504" t="s">
        <v>221</v>
      </c>
      <c r="I56" s="102" t="s">
        <v>20</v>
      </c>
      <c r="J56" s="202">
        <f>1086-100</f>
        <v>986</v>
      </c>
      <c r="K56" s="1039">
        <v>126.4</v>
      </c>
      <c r="L56" s="1040">
        <v>1065.5</v>
      </c>
      <c r="M56" s="1041">
        <v>1065.5</v>
      </c>
      <c r="N56" s="1493" t="s">
        <v>130</v>
      </c>
      <c r="O56" s="37">
        <v>780</v>
      </c>
      <c r="P56" s="133">
        <v>780</v>
      </c>
      <c r="Q56" s="649">
        <v>780</v>
      </c>
      <c r="R56" s="615">
        <v>780</v>
      </c>
    </row>
    <row r="57" spans="1:18" s="2" customFormat="1" ht="25.2" customHeight="1" x14ac:dyDescent="0.3">
      <c r="A57" s="1354"/>
      <c r="B57" s="1355"/>
      <c r="C57" s="1379"/>
      <c r="D57" s="211"/>
      <c r="E57" s="1369"/>
      <c r="F57" s="15"/>
      <c r="G57" s="26"/>
      <c r="H57" s="1515"/>
      <c r="I57" s="79" t="s">
        <v>289</v>
      </c>
      <c r="J57" s="181"/>
      <c r="K57" s="27">
        <v>859.6</v>
      </c>
      <c r="L57" s="402"/>
      <c r="M57" s="435"/>
      <c r="N57" s="1432"/>
      <c r="O57" s="164"/>
      <c r="P57" s="291"/>
      <c r="Q57" s="642"/>
      <c r="R57" s="608"/>
    </row>
    <row r="58" spans="1:18" s="3" customFormat="1" ht="16.5" customHeight="1" thickBot="1" x14ac:dyDescent="0.35">
      <c r="A58" s="1376"/>
      <c r="B58" s="1374"/>
      <c r="C58" s="1380"/>
      <c r="D58" s="213"/>
      <c r="E58" s="1382"/>
      <c r="F58" s="14"/>
      <c r="G58" s="955"/>
      <c r="H58" s="1505"/>
      <c r="I58" s="84" t="s">
        <v>24</v>
      </c>
      <c r="J58" s="184">
        <f>+J56</f>
        <v>986</v>
      </c>
      <c r="K58" s="12">
        <f>SUM(K56:K57)</f>
        <v>986</v>
      </c>
      <c r="L58" s="414">
        <f t="shared" ref="L58:M58" si="9">SUM(L56:L57)</f>
        <v>1065.5</v>
      </c>
      <c r="M58" s="1047">
        <f t="shared" si="9"/>
        <v>1065.5</v>
      </c>
      <c r="N58" s="1494"/>
      <c r="O58" s="158"/>
      <c r="P58" s="702"/>
      <c r="Q58" s="678"/>
      <c r="R58" s="670"/>
    </row>
    <row r="59" spans="1:18" s="2" customFormat="1" ht="29.25" customHeight="1" x14ac:dyDescent="0.3">
      <c r="A59" s="1375" t="s">
        <v>13</v>
      </c>
      <c r="B59" s="1377" t="s">
        <v>13</v>
      </c>
      <c r="C59" s="1378" t="s">
        <v>38</v>
      </c>
      <c r="D59" s="215"/>
      <c r="E59" s="1381" t="s">
        <v>151</v>
      </c>
      <c r="F59" s="65"/>
      <c r="G59" s="943" t="s">
        <v>17</v>
      </c>
      <c r="H59" s="1504" t="s">
        <v>221</v>
      </c>
      <c r="I59" s="140" t="s">
        <v>18</v>
      </c>
      <c r="J59" s="202">
        <v>260.5</v>
      </c>
      <c r="K59" s="382">
        <v>261.5</v>
      </c>
      <c r="L59" s="400">
        <v>261.5</v>
      </c>
      <c r="M59" s="398">
        <v>261.5</v>
      </c>
      <c r="N59" s="1071" t="s">
        <v>150</v>
      </c>
      <c r="O59" s="1003">
        <v>200</v>
      </c>
      <c r="P59" s="1004">
        <v>200</v>
      </c>
      <c r="Q59" s="1005">
        <v>200</v>
      </c>
      <c r="R59" s="1006">
        <v>200</v>
      </c>
    </row>
    <row r="60" spans="1:18" s="2" customFormat="1" ht="26.4" customHeight="1" x14ac:dyDescent="0.3">
      <c r="A60" s="1354"/>
      <c r="B60" s="1355"/>
      <c r="C60" s="1379"/>
      <c r="D60" s="211"/>
      <c r="E60" s="1369"/>
      <c r="F60" s="15"/>
      <c r="G60" s="26"/>
      <c r="H60" s="1515"/>
      <c r="I60" s="141"/>
      <c r="J60" s="233"/>
      <c r="K60" s="383"/>
      <c r="L60" s="404"/>
      <c r="M60" s="399"/>
      <c r="N60" s="1501" t="s">
        <v>292</v>
      </c>
      <c r="O60" s="1083"/>
      <c r="P60" s="1589">
        <v>50</v>
      </c>
      <c r="Q60" s="1511">
        <v>50</v>
      </c>
      <c r="R60" s="1513">
        <v>50</v>
      </c>
    </row>
    <row r="61" spans="1:18" s="3" customFormat="1" ht="16.5" customHeight="1" thickBot="1" x14ac:dyDescent="0.35">
      <c r="A61" s="1376"/>
      <c r="B61" s="1374"/>
      <c r="C61" s="1380"/>
      <c r="D61" s="213"/>
      <c r="E61" s="1382"/>
      <c r="F61" s="14"/>
      <c r="G61" s="955"/>
      <c r="H61" s="1505"/>
      <c r="I61" s="84" t="s">
        <v>24</v>
      </c>
      <c r="J61" s="184">
        <f t="shared" ref="J61:M61" si="10">+J59+J60</f>
        <v>260.5</v>
      </c>
      <c r="K61" s="12">
        <f t="shared" si="10"/>
        <v>261.5</v>
      </c>
      <c r="L61" s="414">
        <f t="shared" si="10"/>
        <v>261.5</v>
      </c>
      <c r="M61" s="396">
        <f t="shared" si="10"/>
        <v>261.5</v>
      </c>
      <c r="N61" s="1507"/>
      <c r="O61" s="231"/>
      <c r="P61" s="1590"/>
      <c r="Q61" s="1512"/>
      <c r="R61" s="1514"/>
    </row>
    <row r="62" spans="1:18" s="2" customFormat="1" ht="29.25" customHeight="1" x14ac:dyDescent="0.3">
      <c r="A62" s="1375" t="s">
        <v>13</v>
      </c>
      <c r="B62" s="1377" t="s">
        <v>13</v>
      </c>
      <c r="C62" s="1378" t="s">
        <v>55</v>
      </c>
      <c r="D62" s="215"/>
      <c r="E62" s="1381" t="s">
        <v>290</v>
      </c>
      <c r="F62" s="65"/>
      <c r="G62" s="1062" t="s">
        <v>17</v>
      </c>
      <c r="H62" s="1504" t="s">
        <v>221</v>
      </c>
      <c r="I62" s="140" t="s">
        <v>18</v>
      </c>
      <c r="J62" s="202"/>
      <c r="K62" s="382">
        <v>50.4</v>
      </c>
      <c r="L62" s="400">
        <v>50.4</v>
      </c>
      <c r="M62" s="1091">
        <v>50.4</v>
      </c>
      <c r="N62" s="1506" t="s">
        <v>291</v>
      </c>
      <c r="O62" s="1003"/>
      <c r="P62" s="1004">
        <v>3</v>
      </c>
      <c r="Q62" s="1005">
        <v>3</v>
      </c>
      <c r="R62" s="1006">
        <v>3</v>
      </c>
    </row>
    <row r="63" spans="1:18" s="3" customFormat="1" ht="16.5" customHeight="1" thickBot="1" x14ac:dyDescent="0.35">
      <c r="A63" s="1376"/>
      <c r="B63" s="1374"/>
      <c r="C63" s="1380"/>
      <c r="D63" s="213"/>
      <c r="E63" s="1382"/>
      <c r="F63" s="14"/>
      <c r="G63" s="1063"/>
      <c r="H63" s="1505"/>
      <c r="I63" s="84" t="s">
        <v>24</v>
      </c>
      <c r="J63" s="184">
        <f>+J62</f>
        <v>0</v>
      </c>
      <c r="K63" s="12">
        <f t="shared" ref="K63:M63" si="11">+K62</f>
        <v>50.4</v>
      </c>
      <c r="L63" s="414">
        <f t="shared" si="11"/>
        <v>50.4</v>
      </c>
      <c r="M63" s="1047">
        <f t="shared" si="11"/>
        <v>50.4</v>
      </c>
      <c r="N63" s="1507"/>
      <c r="O63" s="231"/>
      <c r="P63" s="673"/>
      <c r="Q63" s="679"/>
      <c r="R63" s="671"/>
    </row>
    <row r="64" spans="1:18" s="2" customFormat="1" ht="16.5" customHeight="1" thickBot="1" x14ac:dyDescent="0.35">
      <c r="A64" s="107" t="s">
        <v>13</v>
      </c>
      <c r="B64" s="4" t="s">
        <v>13</v>
      </c>
      <c r="C64" s="1383" t="s">
        <v>39</v>
      </c>
      <c r="D64" s="1383"/>
      <c r="E64" s="1384"/>
      <c r="F64" s="1384"/>
      <c r="G64" s="1384"/>
      <c r="H64" s="1385"/>
      <c r="I64" s="1385"/>
      <c r="J64" s="234">
        <f>J58+J55+J53+J51+J61</f>
        <v>49838.5</v>
      </c>
      <c r="K64" s="384">
        <f>K58+K55+K53+K51+K61+K63</f>
        <v>46234.000000000007</v>
      </c>
      <c r="L64" s="415">
        <f>L58+L55+L53+L51+L61+L63</f>
        <v>45472.9</v>
      </c>
      <c r="M64" s="1070">
        <f>M58+M55+M53+M51+M61+M63</f>
        <v>45475.9</v>
      </c>
      <c r="N64" s="1508"/>
      <c r="O64" s="1509"/>
      <c r="P64" s="1509"/>
      <c r="Q64" s="1509"/>
      <c r="R64" s="1510"/>
    </row>
    <row r="65" spans="1:18" s="2" customFormat="1" ht="16.5" customHeight="1" thickBot="1" x14ac:dyDescent="0.35">
      <c r="A65" s="108" t="s">
        <v>13</v>
      </c>
      <c r="B65" s="4" t="s">
        <v>32</v>
      </c>
      <c r="C65" s="1388" t="s">
        <v>40</v>
      </c>
      <c r="D65" s="1388"/>
      <c r="E65" s="1388"/>
      <c r="F65" s="1388"/>
      <c r="G65" s="1388"/>
      <c r="H65" s="1389"/>
      <c r="I65" s="1389"/>
      <c r="J65" s="1389"/>
      <c r="K65" s="1389"/>
      <c r="L65" s="1389"/>
      <c r="M65" s="1389"/>
      <c r="N65" s="1388"/>
      <c r="O65" s="1388"/>
      <c r="P65" s="1388"/>
      <c r="Q65" s="1388"/>
      <c r="R65" s="1390"/>
    </row>
    <row r="66" spans="1:18" s="3" customFormat="1" ht="15" customHeight="1" x14ac:dyDescent="0.3">
      <c r="A66" s="950" t="s">
        <v>13</v>
      </c>
      <c r="B66" s="952" t="s">
        <v>32</v>
      </c>
      <c r="C66" s="942" t="s">
        <v>13</v>
      </c>
      <c r="D66" s="218"/>
      <c r="E66" s="1522" t="s">
        <v>41</v>
      </c>
      <c r="F66" s="1667"/>
      <c r="G66" s="317">
        <v>3</v>
      </c>
      <c r="H66" s="1386" t="s">
        <v>240</v>
      </c>
      <c r="I66" s="260"/>
      <c r="J66" s="763"/>
      <c r="K66" s="416"/>
      <c r="L66" s="447"/>
      <c r="M66" s="416"/>
      <c r="N66" s="371"/>
      <c r="O66" s="560"/>
      <c r="P66" s="710"/>
      <c r="Q66" s="632"/>
      <c r="R66" s="593"/>
    </row>
    <row r="67" spans="1:18" s="3" customFormat="1" ht="15" customHeight="1" x14ac:dyDescent="0.3">
      <c r="A67" s="941"/>
      <c r="B67" s="938"/>
      <c r="C67" s="61"/>
      <c r="D67" s="219"/>
      <c r="E67" s="1523"/>
      <c r="F67" s="1361"/>
      <c r="G67" s="296"/>
      <c r="H67" s="1387"/>
      <c r="I67" s="368"/>
      <c r="J67" s="764"/>
      <c r="K67" s="76"/>
      <c r="L67" s="403"/>
      <c r="M67" s="76"/>
      <c r="N67" s="338"/>
      <c r="O67" s="561"/>
      <c r="P67" s="711"/>
      <c r="Q67" s="633"/>
      <c r="R67" s="594"/>
    </row>
    <row r="68" spans="1:18" s="3" customFormat="1" ht="18" customHeight="1" x14ac:dyDescent="0.3">
      <c r="A68" s="941"/>
      <c r="B68" s="938"/>
      <c r="C68" s="928"/>
      <c r="D68" s="216" t="s">
        <v>13</v>
      </c>
      <c r="E68" s="1443" t="s">
        <v>310</v>
      </c>
      <c r="F68" s="1361"/>
      <c r="G68" s="296"/>
      <c r="H68" s="1387"/>
      <c r="I68" s="139" t="s">
        <v>20</v>
      </c>
      <c r="J68" s="179">
        <v>497.5</v>
      </c>
      <c r="K68" s="386">
        <v>287</v>
      </c>
      <c r="L68" s="401">
        <v>345.8</v>
      </c>
      <c r="M68" s="386">
        <v>345.8</v>
      </c>
      <c r="N68" s="372" t="s">
        <v>85</v>
      </c>
      <c r="O68" s="538">
        <v>82</v>
      </c>
      <c r="P68" s="9">
        <v>82</v>
      </c>
      <c r="Q68" s="519">
        <v>82</v>
      </c>
      <c r="R68" s="606">
        <v>82</v>
      </c>
    </row>
    <row r="69" spans="1:18" s="3" customFormat="1" ht="18" customHeight="1" x14ac:dyDescent="0.3">
      <c r="A69" s="991"/>
      <c r="B69" s="992"/>
      <c r="C69" s="996"/>
      <c r="D69" s="211"/>
      <c r="E69" s="1444"/>
      <c r="F69" s="1361"/>
      <c r="G69" s="296"/>
      <c r="H69" s="1387"/>
      <c r="I69" s="139" t="s">
        <v>289</v>
      </c>
      <c r="J69" s="179"/>
      <c r="K69" s="386">
        <v>188.4</v>
      </c>
      <c r="L69" s="401">
        <v>188.4</v>
      </c>
      <c r="M69" s="386">
        <v>188.4</v>
      </c>
      <c r="N69" s="1012"/>
      <c r="O69" s="575"/>
      <c r="P69" s="289"/>
      <c r="Q69" s="643"/>
      <c r="R69" s="609"/>
    </row>
    <row r="70" spans="1:18" s="3" customFormat="1" ht="18" customHeight="1" x14ac:dyDescent="0.3">
      <c r="A70" s="941"/>
      <c r="B70" s="938"/>
      <c r="C70" s="928"/>
      <c r="D70" s="211"/>
      <c r="E70" s="1444"/>
      <c r="F70" s="1361"/>
      <c r="G70" s="296"/>
      <c r="H70" s="1387"/>
      <c r="I70" s="125" t="s">
        <v>42</v>
      </c>
      <c r="J70" s="181">
        <v>356</v>
      </c>
      <c r="K70" s="389">
        <v>405</v>
      </c>
      <c r="L70" s="402">
        <v>405</v>
      </c>
      <c r="M70" s="389">
        <v>415</v>
      </c>
      <c r="N70" s="127" t="s">
        <v>243</v>
      </c>
      <c r="O70" s="562">
        <v>4</v>
      </c>
      <c r="P70" s="170">
        <v>1</v>
      </c>
      <c r="Q70" s="522"/>
      <c r="R70" s="595"/>
    </row>
    <row r="71" spans="1:18" s="3" customFormat="1" ht="29.7" customHeight="1" x14ac:dyDescent="0.3">
      <c r="A71" s="941"/>
      <c r="B71" s="938"/>
      <c r="C71" s="928"/>
      <c r="D71" s="211"/>
      <c r="E71" s="1444"/>
      <c r="F71" s="1361"/>
      <c r="G71" s="296"/>
      <c r="H71" s="911"/>
      <c r="I71" s="368" t="s">
        <v>18</v>
      </c>
      <c r="J71" s="765">
        <v>27.6</v>
      </c>
      <c r="K71" s="417"/>
      <c r="L71" s="448"/>
      <c r="M71" s="417"/>
      <c r="N71" s="372" t="s">
        <v>251</v>
      </c>
      <c r="O71" s="562">
        <v>52</v>
      </c>
      <c r="P71" s="170"/>
      <c r="Q71" s="522"/>
      <c r="R71" s="595"/>
    </row>
    <row r="72" spans="1:18" s="3" customFormat="1" ht="18" customHeight="1" x14ac:dyDescent="0.3">
      <c r="A72" s="941"/>
      <c r="B72" s="938"/>
      <c r="C72" s="928"/>
      <c r="D72" s="211"/>
      <c r="E72" s="1444"/>
      <c r="F72" s="1361"/>
      <c r="G72" s="296"/>
      <c r="H72" s="1387" t="s">
        <v>239</v>
      </c>
      <c r="I72" s="125" t="s">
        <v>86</v>
      </c>
      <c r="J72" s="765">
        <v>15.4</v>
      </c>
      <c r="K72" s="417">
        <v>100.5</v>
      </c>
      <c r="L72" s="448"/>
      <c r="M72" s="417"/>
      <c r="N72" s="127" t="s">
        <v>235</v>
      </c>
      <c r="O72" s="562">
        <v>1</v>
      </c>
      <c r="P72" s="170"/>
      <c r="Q72" s="522"/>
      <c r="R72" s="595"/>
    </row>
    <row r="73" spans="1:18" s="3" customFormat="1" ht="41.25" customHeight="1" x14ac:dyDescent="0.3">
      <c r="A73" s="941"/>
      <c r="B73" s="938"/>
      <c r="C73" s="928"/>
      <c r="D73" s="211"/>
      <c r="E73" s="1445"/>
      <c r="F73" s="1361"/>
      <c r="G73" s="296"/>
      <c r="H73" s="1387"/>
      <c r="I73" s="261" t="s">
        <v>34</v>
      </c>
      <c r="J73" s="765">
        <v>54.4</v>
      </c>
      <c r="K73" s="417"/>
      <c r="L73" s="448"/>
      <c r="M73" s="417"/>
      <c r="N73" s="127" t="s">
        <v>252</v>
      </c>
      <c r="O73" s="562">
        <v>10</v>
      </c>
      <c r="P73" s="170"/>
      <c r="Q73" s="522"/>
      <c r="R73" s="595"/>
    </row>
    <row r="74" spans="1:18" s="3" customFormat="1" ht="15.6" customHeight="1" x14ac:dyDescent="0.3">
      <c r="A74" s="941"/>
      <c r="B74" s="938"/>
      <c r="C74" s="928"/>
      <c r="D74" s="216" t="s">
        <v>32</v>
      </c>
      <c r="E74" s="1443" t="s">
        <v>184</v>
      </c>
      <c r="F74" s="267" t="s">
        <v>213</v>
      </c>
      <c r="G74" s="296"/>
      <c r="H74" s="1387"/>
      <c r="I74" s="261" t="s">
        <v>20</v>
      </c>
      <c r="J74" s="181">
        <v>1032.7</v>
      </c>
      <c r="K74" s="389">
        <v>804.2</v>
      </c>
      <c r="L74" s="402">
        <v>804.2</v>
      </c>
      <c r="M74" s="389">
        <v>804.2</v>
      </c>
      <c r="N74" s="1598" t="s">
        <v>183</v>
      </c>
      <c r="O74" s="563">
        <v>160</v>
      </c>
      <c r="P74" s="712">
        <v>160</v>
      </c>
      <c r="Q74" s="634">
        <v>160</v>
      </c>
      <c r="R74" s="596">
        <v>160</v>
      </c>
    </row>
    <row r="75" spans="1:18" s="3" customFormat="1" ht="15.6" customHeight="1" x14ac:dyDescent="0.3">
      <c r="A75" s="991"/>
      <c r="B75" s="992"/>
      <c r="C75" s="996"/>
      <c r="D75" s="211"/>
      <c r="E75" s="1444"/>
      <c r="F75" s="269"/>
      <c r="G75" s="296"/>
      <c r="H75" s="1387"/>
      <c r="I75" s="261" t="s">
        <v>289</v>
      </c>
      <c r="J75" s="181"/>
      <c r="K75" s="389">
        <v>393.6</v>
      </c>
      <c r="L75" s="402">
        <v>393.6</v>
      </c>
      <c r="M75" s="389">
        <v>393.6</v>
      </c>
      <c r="N75" s="1599"/>
      <c r="O75" s="1013"/>
      <c r="P75" s="1014"/>
      <c r="Q75" s="1015"/>
      <c r="R75" s="1016"/>
    </row>
    <row r="76" spans="1:18" s="3" customFormat="1" ht="15.6" customHeight="1" x14ac:dyDescent="0.3">
      <c r="A76" s="941"/>
      <c r="B76" s="938"/>
      <c r="C76" s="928"/>
      <c r="D76" s="211"/>
      <c r="E76" s="62"/>
      <c r="F76" s="269"/>
      <c r="G76" s="296"/>
      <c r="H76" s="1387"/>
      <c r="I76" s="261" t="s">
        <v>20</v>
      </c>
      <c r="J76" s="181"/>
      <c r="K76" s="126"/>
      <c r="L76" s="402"/>
      <c r="M76" s="872">
        <v>53.5</v>
      </c>
      <c r="N76" s="1028" t="s">
        <v>168</v>
      </c>
      <c r="O76" s="563"/>
      <c r="P76" s="712"/>
      <c r="Q76" s="634"/>
      <c r="R76" s="596">
        <v>1</v>
      </c>
    </row>
    <row r="77" spans="1:18" s="3" customFormat="1" ht="27" customHeight="1" x14ac:dyDescent="0.3">
      <c r="A77" s="941"/>
      <c r="B77" s="938"/>
      <c r="C77" s="928"/>
      <c r="D77" s="211"/>
      <c r="E77" s="912"/>
      <c r="F77" s="267" t="s">
        <v>213</v>
      </c>
      <c r="G77" s="296"/>
      <c r="H77" s="62"/>
      <c r="I77" s="130" t="s">
        <v>42</v>
      </c>
      <c r="J77" s="181">
        <v>129.30000000000001</v>
      </c>
      <c r="K77" s="389">
        <v>129.9</v>
      </c>
      <c r="L77" s="402">
        <v>129.9</v>
      </c>
      <c r="M77" s="389">
        <v>129.9</v>
      </c>
      <c r="N77" s="1359" t="s">
        <v>187</v>
      </c>
      <c r="O77" s="564" t="s">
        <v>210</v>
      </c>
      <c r="P77" s="713" t="s">
        <v>210</v>
      </c>
      <c r="Q77" s="635" t="s">
        <v>210</v>
      </c>
      <c r="R77" s="597" t="s">
        <v>210</v>
      </c>
    </row>
    <row r="78" spans="1:18" s="3" customFormat="1" ht="27" customHeight="1" x14ac:dyDescent="0.3">
      <c r="A78" s="941"/>
      <c r="B78" s="938"/>
      <c r="C78" s="928"/>
      <c r="D78" s="211"/>
      <c r="E78" s="912"/>
      <c r="F78" s="269"/>
      <c r="G78" s="296"/>
      <c r="H78" s="100"/>
      <c r="I78" s="130" t="s">
        <v>86</v>
      </c>
      <c r="J78" s="181">
        <v>18.600000000000001</v>
      </c>
      <c r="K78" s="389">
        <v>15.6</v>
      </c>
      <c r="L78" s="402"/>
      <c r="M78" s="389"/>
      <c r="N78" s="1360"/>
      <c r="O78" s="565"/>
      <c r="P78" s="714"/>
      <c r="Q78" s="636"/>
      <c r="R78" s="598"/>
    </row>
    <row r="79" spans="1:18" s="3" customFormat="1" ht="30" customHeight="1" x14ac:dyDescent="0.3">
      <c r="A79" s="941"/>
      <c r="B79" s="938"/>
      <c r="C79" s="928"/>
      <c r="D79" s="211"/>
      <c r="E79" s="912"/>
      <c r="F79" s="1361"/>
      <c r="G79" s="296"/>
      <c r="H79" s="100"/>
      <c r="I79" s="130" t="s">
        <v>43</v>
      </c>
      <c r="J79" s="181">
        <v>5</v>
      </c>
      <c r="K79" s="389">
        <v>6</v>
      </c>
      <c r="L79" s="402">
        <v>6</v>
      </c>
      <c r="M79" s="389">
        <v>7</v>
      </c>
      <c r="N79" s="373" t="s">
        <v>140</v>
      </c>
      <c r="O79" s="539">
        <v>300</v>
      </c>
      <c r="P79" s="125">
        <v>250</v>
      </c>
      <c r="Q79" s="521">
        <v>250</v>
      </c>
      <c r="R79" s="599">
        <v>250</v>
      </c>
    </row>
    <row r="80" spans="1:18" s="3" customFormat="1" ht="30.75" customHeight="1" x14ac:dyDescent="0.3">
      <c r="A80" s="941"/>
      <c r="B80" s="938"/>
      <c r="C80" s="928"/>
      <c r="D80" s="211"/>
      <c r="E80" s="912"/>
      <c r="F80" s="1361"/>
      <c r="G80" s="296"/>
      <c r="H80" s="100"/>
      <c r="I80" s="139" t="s">
        <v>34</v>
      </c>
      <c r="J80" s="189">
        <v>23</v>
      </c>
      <c r="K80" s="393">
        <v>23</v>
      </c>
      <c r="L80" s="410">
        <v>24</v>
      </c>
      <c r="M80" s="393">
        <v>25</v>
      </c>
      <c r="N80" s="959" t="s">
        <v>188</v>
      </c>
      <c r="O80" s="569" t="s">
        <v>250</v>
      </c>
      <c r="P80" s="715" t="s">
        <v>250</v>
      </c>
      <c r="Q80" s="638" t="s">
        <v>250</v>
      </c>
      <c r="R80" s="602" t="s">
        <v>270</v>
      </c>
    </row>
    <row r="81" spans="1:18" s="3" customFormat="1" ht="29.25" customHeight="1" x14ac:dyDescent="0.3">
      <c r="A81" s="941"/>
      <c r="B81" s="938"/>
      <c r="C81" s="928"/>
      <c r="D81" s="211"/>
      <c r="E81" s="62"/>
      <c r="F81" s="269"/>
      <c r="G81" s="296"/>
      <c r="H81" s="62"/>
      <c r="I81" s="125" t="s">
        <v>18</v>
      </c>
      <c r="J81" s="181">
        <v>71.2</v>
      </c>
      <c r="K81" s="389"/>
      <c r="L81" s="402"/>
      <c r="M81" s="389"/>
      <c r="N81" s="962" t="s">
        <v>251</v>
      </c>
      <c r="O81" s="563">
        <v>128</v>
      </c>
      <c r="P81" s="712"/>
      <c r="Q81" s="634"/>
      <c r="R81" s="596"/>
    </row>
    <row r="82" spans="1:18" s="3" customFormat="1" ht="29.25" customHeight="1" x14ac:dyDescent="0.3">
      <c r="A82" s="1333"/>
      <c r="B82" s="1332"/>
      <c r="C82" s="1330"/>
      <c r="D82" s="211"/>
      <c r="E82" s="62"/>
      <c r="F82" s="527"/>
      <c r="G82" s="296"/>
      <c r="H82" s="62"/>
      <c r="I82" s="125" t="s">
        <v>18</v>
      </c>
      <c r="J82" s="179"/>
      <c r="K82" s="386">
        <v>24.7</v>
      </c>
      <c r="L82" s="401"/>
      <c r="M82" s="386"/>
      <c r="N82" s="1337" t="s">
        <v>315</v>
      </c>
      <c r="O82" s="563"/>
      <c r="P82" s="712">
        <v>57</v>
      </c>
      <c r="Q82" s="634"/>
      <c r="R82" s="596"/>
    </row>
    <row r="83" spans="1:18" s="3" customFormat="1" ht="55.5" customHeight="1" x14ac:dyDescent="0.3">
      <c r="A83" s="941"/>
      <c r="B83" s="938"/>
      <c r="C83" s="928"/>
      <c r="D83" s="211"/>
      <c r="E83" s="305" t="s">
        <v>126</v>
      </c>
      <c r="F83" s="155"/>
      <c r="G83" s="78"/>
      <c r="H83" s="262"/>
      <c r="I83" s="282" t="s">
        <v>57</v>
      </c>
      <c r="J83" s="189">
        <v>43.1</v>
      </c>
      <c r="K83" s="393">
        <v>43.1</v>
      </c>
      <c r="L83" s="401"/>
      <c r="M83" s="472"/>
      <c r="N83" s="373" t="s">
        <v>189</v>
      </c>
      <c r="O83" s="566">
        <v>0.5</v>
      </c>
      <c r="P83" s="716">
        <v>0.5</v>
      </c>
      <c r="Q83" s="637">
        <v>0.5</v>
      </c>
      <c r="R83" s="600"/>
    </row>
    <row r="84" spans="1:18" s="3" customFormat="1" ht="30.75" customHeight="1" x14ac:dyDescent="0.3">
      <c r="A84" s="941"/>
      <c r="B84" s="938"/>
      <c r="C84" s="928"/>
      <c r="D84" s="211"/>
      <c r="E84" s="912"/>
      <c r="F84" s="155"/>
      <c r="G84" s="78"/>
      <c r="H84" s="262"/>
      <c r="I84" s="169"/>
      <c r="J84" s="1043"/>
      <c r="K84" s="150"/>
      <c r="L84" s="507"/>
      <c r="M84" s="780"/>
      <c r="N84" s="374" t="s">
        <v>111</v>
      </c>
      <c r="O84" s="567">
        <v>20</v>
      </c>
      <c r="P84" s="466">
        <v>20</v>
      </c>
      <c r="Q84" s="477"/>
      <c r="R84" s="471"/>
    </row>
    <row r="85" spans="1:18" s="3" customFormat="1" ht="42.75" customHeight="1" x14ac:dyDescent="0.3">
      <c r="A85" s="941"/>
      <c r="B85" s="938"/>
      <c r="C85" s="928"/>
      <c r="D85" s="211"/>
      <c r="E85" s="305"/>
      <c r="F85" s="155"/>
      <c r="G85" s="78"/>
      <c r="H85" s="262"/>
      <c r="I85" s="125" t="s">
        <v>34</v>
      </c>
      <c r="J85" s="181">
        <v>60.9</v>
      </c>
      <c r="K85" s="389"/>
      <c r="L85" s="402"/>
      <c r="M85" s="417"/>
      <c r="N85" s="960" t="s">
        <v>253</v>
      </c>
      <c r="O85" s="567">
        <v>21</v>
      </c>
      <c r="P85" s="466"/>
      <c r="Q85" s="477"/>
      <c r="R85" s="471"/>
    </row>
    <row r="86" spans="1:18" s="3" customFormat="1" ht="21.6" customHeight="1" x14ac:dyDescent="0.3">
      <c r="A86" s="941"/>
      <c r="B86" s="938"/>
      <c r="C86" s="928"/>
      <c r="D86" s="216" t="s">
        <v>35</v>
      </c>
      <c r="E86" s="1443" t="s">
        <v>116</v>
      </c>
      <c r="F86" s="318" t="s">
        <v>213</v>
      </c>
      <c r="G86" s="296"/>
      <c r="H86" s="100"/>
      <c r="I86" s="125" t="s">
        <v>20</v>
      </c>
      <c r="J86" s="181">
        <f>597+0.1-2</f>
        <v>595.1</v>
      </c>
      <c r="K86" s="389">
        <v>436.6</v>
      </c>
      <c r="L86" s="402">
        <v>436.6</v>
      </c>
      <c r="M86" s="435">
        <v>436.6</v>
      </c>
      <c r="N86" s="1501" t="s">
        <v>141</v>
      </c>
      <c r="O86" s="537">
        <v>70</v>
      </c>
      <c r="P86" s="1017">
        <v>70</v>
      </c>
      <c r="Q86" s="784">
        <v>70</v>
      </c>
      <c r="R86" s="546">
        <v>70</v>
      </c>
    </row>
    <row r="87" spans="1:18" s="3" customFormat="1" ht="21.6" customHeight="1" x14ac:dyDescent="0.3">
      <c r="A87" s="991"/>
      <c r="B87" s="992"/>
      <c r="C87" s="996"/>
      <c r="D87" s="211"/>
      <c r="E87" s="1444"/>
      <c r="F87" s="367"/>
      <c r="G87" s="296"/>
      <c r="H87" s="100"/>
      <c r="I87" s="125" t="s">
        <v>289</v>
      </c>
      <c r="J87" s="181"/>
      <c r="K87" s="389">
        <v>234</v>
      </c>
      <c r="L87" s="402">
        <v>234</v>
      </c>
      <c r="M87" s="435">
        <v>234</v>
      </c>
      <c r="N87" s="1502"/>
      <c r="O87" s="568"/>
      <c r="P87" s="717"/>
      <c r="Q87" s="704"/>
      <c r="R87" s="601"/>
    </row>
    <row r="88" spans="1:18" s="3" customFormat="1" ht="41.25" customHeight="1" x14ac:dyDescent="0.3">
      <c r="A88" s="941"/>
      <c r="B88" s="938"/>
      <c r="C88" s="928"/>
      <c r="D88" s="211"/>
      <c r="E88" s="62"/>
      <c r="F88" s="367"/>
      <c r="G88" s="296"/>
      <c r="H88" s="100"/>
      <c r="I88" s="368" t="s">
        <v>18</v>
      </c>
      <c r="J88" s="179">
        <v>28.3</v>
      </c>
      <c r="K88" s="386"/>
      <c r="L88" s="401"/>
      <c r="M88" s="386"/>
      <c r="N88" s="375" t="s">
        <v>251</v>
      </c>
      <c r="O88" s="568">
        <v>48</v>
      </c>
      <c r="P88" s="717"/>
      <c r="Q88" s="704"/>
      <c r="R88" s="601"/>
    </row>
    <row r="89" spans="1:18" s="3" customFormat="1" ht="28.5" customHeight="1" x14ac:dyDescent="0.3">
      <c r="A89" s="941"/>
      <c r="B89" s="938"/>
      <c r="C89" s="928"/>
      <c r="D89" s="211"/>
      <c r="E89" s="62"/>
      <c r="F89" s="310"/>
      <c r="G89" s="296"/>
      <c r="H89" s="100"/>
      <c r="I89" s="131" t="s">
        <v>42</v>
      </c>
      <c r="J89" s="179">
        <v>107.4</v>
      </c>
      <c r="K89" s="386">
        <v>107.4</v>
      </c>
      <c r="L89" s="401">
        <v>107.4</v>
      </c>
      <c r="M89" s="386">
        <v>107.4</v>
      </c>
      <c r="N89" s="375" t="s">
        <v>142</v>
      </c>
      <c r="O89" s="568">
        <v>46</v>
      </c>
      <c r="P89" s="718">
        <v>66</v>
      </c>
      <c r="Q89" s="705">
        <v>66</v>
      </c>
      <c r="R89" s="601">
        <v>66</v>
      </c>
    </row>
    <row r="90" spans="1:18" s="3" customFormat="1" ht="41.25" customHeight="1" x14ac:dyDescent="0.3">
      <c r="A90" s="941"/>
      <c r="B90" s="938"/>
      <c r="C90" s="928"/>
      <c r="D90" s="211"/>
      <c r="E90" s="62"/>
      <c r="F90" s="155"/>
      <c r="G90" s="78"/>
      <c r="H90" s="262"/>
      <c r="I90" s="125" t="s">
        <v>86</v>
      </c>
      <c r="J90" s="181">
        <v>31.7</v>
      </c>
      <c r="K90" s="389">
        <v>18.7</v>
      </c>
      <c r="L90" s="402"/>
      <c r="M90" s="389"/>
      <c r="N90" s="270" t="s">
        <v>143</v>
      </c>
      <c r="O90" s="536">
        <v>68</v>
      </c>
      <c r="P90" s="558">
        <v>100</v>
      </c>
      <c r="Q90" s="550">
        <v>100</v>
      </c>
      <c r="R90" s="545">
        <v>100</v>
      </c>
    </row>
    <row r="91" spans="1:18" s="3" customFormat="1" ht="16.5" customHeight="1" x14ac:dyDescent="0.3">
      <c r="A91" s="941"/>
      <c r="B91" s="938"/>
      <c r="C91" s="928"/>
      <c r="D91" s="212"/>
      <c r="E91" s="62"/>
      <c r="F91" s="57"/>
      <c r="G91" s="78"/>
      <c r="H91" s="262"/>
      <c r="I91" s="368" t="s">
        <v>20</v>
      </c>
      <c r="J91" s="764">
        <v>78.900000000000006</v>
      </c>
      <c r="K91" s="76"/>
      <c r="L91" s="403"/>
      <c r="M91" s="76"/>
      <c r="N91" s="357" t="s">
        <v>168</v>
      </c>
      <c r="O91" s="569" t="s">
        <v>272</v>
      </c>
      <c r="P91" s="715"/>
      <c r="Q91" s="638"/>
      <c r="R91" s="602"/>
    </row>
    <row r="92" spans="1:18" s="3" customFormat="1" ht="53.25" customHeight="1" x14ac:dyDescent="0.3">
      <c r="A92" s="941"/>
      <c r="B92" s="938"/>
      <c r="C92" s="928"/>
      <c r="D92" s="211" t="s">
        <v>37</v>
      </c>
      <c r="E92" s="1368" t="s">
        <v>44</v>
      </c>
      <c r="F92" s="155"/>
      <c r="G92" s="958"/>
      <c r="H92" s="72"/>
      <c r="I92" s="125" t="s">
        <v>20</v>
      </c>
      <c r="J92" s="1018">
        <f>981.7-3.7</f>
        <v>978</v>
      </c>
      <c r="K92" s="1066">
        <v>704.8</v>
      </c>
      <c r="L92" s="880">
        <v>704.8</v>
      </c>
      <c r="M92" s="1067">
        <v>704.8</v>
      </c>
      <c r="N92" s="337" t="s">
        <v>211</v>
      </c>
      <c r="O92" s="570">
        <v>24000</v>
      </c>
      <c r="P92" s="719">
        <v>24000</v>
      </c>
      <c r="Q92" s="639">
        <v>24000</v>
      </c>
      <c r="R92" s="603">
        <v>24000</v>
      </c>
    </row>
    <row r="93" spans="1:18" s="3" customFormat="1" ht="17.7" customHeight="1" x14ac:dyDescent="0.3">
      <c r="A93" s="941"/>
      <c r="B93" s="938"/>
      <c r="C93" s="928"/>
      <c r="D93" s="211"/>
      <c r="E93" s="1369"/>
      <c r="F93" s="91"/>
      <c r="G93" s="958"/>
      <c r="H93" s="72"/>
      <c r="I93" s="368" t="s">
        <v>289</v>
      </c>
      <c r="J93" s="1042"/>
      <c r="K93" s="1068">
        <v>284.5</v>
      </c>
      <c r="L93" s="1001">
        <v>284.5</v>
      </c>
      <c r="M93" s="1069">
        <v>284.5</v>
      </c>
      <c r="N93" s="337" t="s">
        <v>243</v>
      </c>
      <c r="O93" s="570"/>
      <c r="P93" s="79">
        <v>4</v>
      </c>
      <c r="Q93" s="640">
        <v>6</v>
      </c>
      <c r="R93" s="603"/>
    </row>
    <row r="94" spans="1:18" s="3" customFormat="1" ht="29.25" customHeight="1" x14ac:dyDescent="0.3">
      <c r="A94" s="941"/>
      <c r="B94" s="938"/>
      <c r="C94" s="928"/>
      <c r="D94" s="211"/>
      <c r="E94" s="1369"/>
      <c r="F94" s="91"/>
      <c r="G94" s="958"/>
      <c r="H94" s="72"/>
      <c r="I94" s="125" t="s">
        <v>18</v>
      </c>
      <c r="J94" s="749">
        <v>21.9</v>
      </c>
      <c r="K94" s="418"/>
      <c r="L94" s="921"/>
      <c r="M94" s="418"/>
      <c r="N94" s="337" t="s">
        <v>251</v>
      </c>
      <c r="O94" s="570">
        <v>29</v>
      </c>
      <c r="P94" s="719"/>
      <c r="Q94" s="639"/>
      <c r="R94" s="603"/>
    </row>
    <row r="95" spans="1:18" s="3" customFormat="1" ht="29.25" customHeight="1" x14ac:dyDescent="0.3">
      <c r="A95" s="1333"/>
      <c r="B95" s="1332"/>
      <c r="C95" s="1330"/>
      <c r="D95" s="211"/>
      <c r="E95" s="1369"/>
      <c r="F95" s="91"/>
      <c r="G95" s="1334"/>
      <c r="H95" s="72"/>
      <c r="I95" s="125" t="s">
        <v>18</v>
      </c>
      <c r="J95" s="749"/>
      <c r="K95" s="418">
        <v>30.4</v>
      </c>
      <c r="L95" s="921"/>
      <c r="M95" s="418"/>
      <c r="N95" s="1337" t="s">
        <v>315</v>
      </c>
      <c r="O95" s="563"/>
      <c r="P95" s="712">
        <v>70</v>
      </c>
      <c r="Q95" s="639"/>
      <c r="R95" s="1335"/>
    </row>
    <row r="96" spans="1:18" s="3" customFormat="1" ht="29.25" customHeight="1" x14ac:dyDescent="0.3">
      <c r="A96" s="941"/>
      <c r="B96" s="938"/>
      <c r="C96" s="928"/>
      <c r="D96" s="211"/>
      <c r="E96" s="1369"/>
      <c r="G96" s="157"/>
      <c r="H96" s="156"/>
      <c r="I96" s="131" t="s">
        <v>42</v>
      </c>
      <c r="J96" s="803">
        <v>2.1</v>
      </c>
      <c r="K96" s="419">
        <v>0.8</v>
      </c>
      <c r="L96" s="450">
        <v>0.8</v>
      </c>
      <c r="M96" s="419">
        <v>0.8</v>
      </c>
      <c r="N96" s="750" t="s">
        <v>144</v>
      </c>
      <c r="O96" s="89">
        <v>12</v>
      </c>
      <c r="P96" s="101">
        <v>10</v>
      </c>
      <c r="Q96" s="522">
        <v>10</v>
      </c>
      <c r="R96" s="610">
        <v>10</v>
      </c>
    </row>
    <row r="97" spans="1:19" s="3" customFormat="1" ht="42" customHeight="1" x14ac:dyDescent="0.3">
      <c r="A97" s="941"/>
      <c r="B97" s="938"/>
      <c r="C97" s="928"/>
      <c r="D97" s="211"/>
      <c r="E97" s="945"/>
      <c r="F97" s="155"/>
      <c r="G97" s="958"/>
      <c r="H97" s="72"/>
      <c r="I97" s="139" t="s">
        <v>86</v>
      </c>
      <c r="J97" s="803"/>
      <c r="K97" s="419">
        <v>0.5</v>
      </c>
      <c r="L97" s="450"/>
      <c r="M97" s="1095"/>
      <c r="N97" s="337" t="s">
        <v>169</v>
      </c>
      <c r="O97" s="562">
        <v>6</v>
      </c>
      <c r="P97" s="170">
        <v>5</v>
      </c>
      <c r="Q97" s="522">
        <v>5</v>
      </c>
      <c r="R97" s="595">
        <v>5</v>
      </c>
    </row>
    <row r="98" spans="1:19" s="3" customFormat="1" ht="41.25" customHeight="1" x14ac:dyDescent="0.3">
      <c r="A98" s="941"/>
      <c r="B98" s="938"/>
      <c r="C98" s="928"/>
      <c r="D98" s="211"/>
      <c r="E98" s="945"/>
      <c r="F98" s="155"/>
      <c r="G98" s="958"/>
      <c r="H98" s="72"/>
      <c r="I98" s="96"/>
      <c r="J98" s="766"/>
      <c r="K98" s="420"/>
      <c r="L98" s="451"/>
      <c r="M98" s="420"/>
      <c r="N98" s="337" t="s">
        <v>190</v>
      </c>
      <c r="O98" s="572" t="s">
        <v>209</v>
      </c>
      <c r="P98" s="720" t="s">
        <v>209</v>
      </c>
      <c r="Q98" s="706" t="s">
        <v>209</v>
      </c>
      <c r="R98" s="605" t="s">
        <v>209</v>
      </c>
    </row>
    <row r="99" spans="1:19" s="3" customFormat="1" ht="28.5" customHeight="1" x14ac:dyDescent="0.3">
      <c r="A99" s="941"/>
      <c r="B99" s="938"/>
      <c r="C99" s="928"/>
      <c r="D99" s="211"/>
      <c r="E99" s="945"/>
      <c r="F99" s="155"/>
      <c r="G99" s="958"/>
      <c r="H99" s="72"/>
      <c r="I99" s="288"/>
      <c r="J99" s="766"/>
      <c r="K99" s="420"/>
      <c r="L99" s="451"/>
      <c r="M99" s="420"/>
      <c r="N99" s="959" t="s">
        <v>158</v>
      </c>
      <c r="O99" s="538">
        <v>185</v>
      </c>
      <c r="P99" s="35">
        <v>230</v>
      </c>
      <c r="Q99" s="642">
        <v>230</v>
      </c>
      <c r="R99" s="606">
        <v>230</v>
      </c>
    </row>
    <row r="100" spans="1:19" s="2" customFormat="1" ht="21.75" customHeight="1" x14ac:dyDescent="0.3">
      <c r="A100" s="1495"/>
      <c r="B100" s="1496"/>
      <c r="C100" s="1379"/>
      <c r="D100" s="211"/>
      <c r="E100" s="1497" t="s">
        <v>198</v>
      </c>
      <c r="F100" s="1500"/>
      <c r="G100" s="1362"/>
      <c r="H100" s="72"/>
      <c r="I100" s="283" t="s">
        <v>128</v>
      </c>
      <c r="J100" s="181">
        <v>8</v>
      </c>
      <c r="K100" s="389">
        <v>6.5</v>
      </c>
      <c r="L100" s="402"/>
      <c r="M100" s="389"/>
      <c r="N100" s="376" t="s">
        <v>177</v>
      </c>
      <c r="O100" s="533">
        <v>1</v>
      </c>
      <c r="P100" s="381">
        <v>1</v>
      </c>
      <c r="Q100" s="644">
        <v>1</v>
      </c>
      <c r="R100" s="470"/>
    </row>
    <row r="101" spans="1:19" s="2" customFormat="1" ht="35.25" customHeight="1" x14ac:dyDescent="0.3">
      <c r="A101" s="1495"/>
      <c r="B101" s="1496"/>
      <c r="C101" s="1379"/>
      <c r="D101" s="211"/>
      <c r="E101" s="1498"/>
      <c r="F101" s="1500"/>
      <c r="G101" s="1362"/>
      <c r="H101" s="72"/>
      <c r="I101" s="131" t="s">
        <v>127</v>
      </c>
      <c r="J101" s="179">
        <v>87.6</v>
      </c>
      <c r="K101" s="386">
        <v>90.6</v>
      </c>
      <c r="L101" s="401"/>
      <c r="M101" s="386"/>
      <c r="N101" s="377" t="s">
        <v>178</v>
      </c>
      <c r="O101" s="573">
        <v>6</v>
      </c>
      <c r="P101" s="79">
        <v>6</v>
      </c>
      <c r="Q101" s="640">
        <v>6</v>
      </c>
      <c r="R101" s="607"/>
    </row>
    <row r="102" spans="1:19" s="2" customFormat="1" ht="24.75" customHeight="1" x14ac:dyDescent="0.3">
      <c r="A102" s="1495"/>
      <c r="B102" s="1496"/>
      <c r="C102" s="1379"/>
      <c r="D102" s="211"/>
      <c r="E102" s="1499"/>
      <c r="F102" s="1500"/>
      <c r="G102" s="1362"/>
      <c r="H102" s="72"/>
      <c r="I102" s="321"/>
      <c r="J102" s="765"/>
      <c r="K102" s="417"/>
      <c r="L102" s="448"/>
      <c r="M102" s="417"/>
      <c r="N102" s="378" t="s">
        <v>179</v>
      </c>
      <c r="O102" s="571">
        <v>1</v>
      </c>
      <c r="P102" s="79"/>
      <c r="Q102" s="640"/>
      <c r="R102" s="604"/>
    </row>
    <row r="103" spans="1:19" s="3" customFormat="1" ht="41.25" customHeight="1" x14ac:dyDescent="0.3">
      <c r="A103" s="941"/>
      <c r="B103" s="938"/>
      <c r="C103" s="928"/>
      <c r="D103" s="211"/>
      <c r="E103" s="319" t="s">
        <v>185</v>
      </c>
      <c r="F103" s="155"/>
      <c r="G103" s="958"/>
      <c r="H103" s="72"/>
      <c r="I103" s="322" t="s">
        <v>166</v>
      </c>
      <c r="J103" s="767">
        <v>0.5</v>
      </c>
      <c r="K103" s="873">
        <v>2.2999999999999998</v>
      </c>
      <c r="L103" s="874">
        <v>2.2999999999999998</v>
      </c>
      <c r="M103" s="873">
        <v>2.2999999999999998</v>
      </c>
      <c r="N103" s="379"/>
      <c r="O103" s="574"/>
      <c r="P103" s="35"/>
      <c r="Q103" s="642"/>
      <c r="R103" s="608"/>
    </row>
    <row r="104" spans="1:19" s="3" customFormat="1" ht="43.5" customHeight="1" x14ac:dyDescent="0.3">
      <c r="A104" s="941"/>
      <c r="B104" s="938"/>
      <c r="C104" s="928"/>
      <c r="D104" s="211"/>
      <c r="E104" s="305" t="s">
        <v>108</v>
      </c>
      <c r="F104" s="57"/>
      <c r="G104" s="958"/>
      <c r="H104" s="72"/>
      <c r="I104" s="323" t="s">
        <v>166</v>
      </c>
      <c r="J104" s="768">
        <v>1.1000000000000001</v>
      </c>
      <c r="K104" s="875">
        <v>1.9</v>
      </c>
      <c r="L104" s="876">
        <v>1.9</v>
      </c>
      <c r="M104" s="875">
        <v>1.9</v>
      </c>
      <c r="N104" s="957"/>
      <c r="O104" s="574"/>
      <c r="P104" s="35"/>
      <c r="Q104" s="642"/>
      <c r="R104" s="608"/>
    </row>
    <row r="105" spans="1:19" s="3" customFormat="1" ht="16.5" customHeight="1" x14ac:dyDescent="0.3">
      <c r="A105" s="941"/>
      <c r="B105" s="938"/>
      <c r="C105" s="928"/>
      <c r="D105" s="216" t="s">
        <v>38</v>
      </c>
      <c r="E105" s="1368" t="s">
        <v>117</v>
      </c>
      <c r="F105" s="155"/>
      <c r="G105" s="958"/>
      <c r="H105" s="72"/>
      <c r="I105" s="125" t="s">
        <v>20</v>
      </c>
      <c r="J105" s="181">
        <f>608.8+3.5-2</f>
        <v>610.29999999999995</v>
      </c>
      <c r="K105" s="389">
        <v>450.5</v>
      </c>
      <c r="L105" s="402">
        <v>430.6</v>
      </c>
      <c r="M105" s="389">
        <v>430.6</v>
      </c>
      <c r="N105" s="127" t="s">
        <v>85</v>
      </c>
      <c r="O105" s="562">
        <v>171</v>
      </c>
      <c r="P105" s="751">
        <v>171</v>
      </c>
      <c r="Q105" s="707">
        <v>171</v>
      </c>
      <c r="R105" s="752">
        <v>171</v>
      </c>
      <c r="S105" s="169"/>
    </row>
    <row r="106" spans="1:19" s="3" customFormat="1" ht="16.5" customHeight="1" x14ac:dyDescent="0.3">
      <c r="A106" s="991"/>
      <c r="B106" s="992"/>
      <c r="C106" s="996"/>
      <c r="D106" s="211"/>
      <c r="E106" s="1369"/>
      <c r="F106" s="155"/>
      <c r="G106" s="993"/>
      <c r="H106" s="72"/>
      <c r="I106" s="131" t="s">
        <v>289</v>
      </c>
      <c r="J106" s="179"/>
      <c r="K106" s="386">
        <v>221.6</v>
      </c>
      <c r="L106" s="401">
        <v>220.6</v>
      </c>
      <c r="M106" s="386">
        <v>220.6</v>
      </c>
      <c r="N106" s="372"/>
      <c r="O106" s="538"/>
      <c r="P106" s="753"/>
      <c r="Q106" s="708"/>
      <c r="R106" s="754"/>
      <c r="S106" s="169"/>
    </row>
    <row r="107" spans="1:19" s="3" customFormat="1" ht="13.95" customHeight="1" x14ac:dyDescent="0.3">
      <c r="A107" s="941"/>
      <c r="B107" s="938"/>
      <c r="C107" s="928"/>
      <c r="D107" s="211"/>
      <c r="E107" s="1369"/>
      <c r="F107" s="155"/>
      <c r="G107" s="958"/>
      <c r="H107" s="72"/>
      <c r="I107" s="131" t="s">
        <v>42</v>
      </c>
      <c r="J107" s="179">
        <v>13.3</v>
      </c>
      <c r="K107" s="386">
        <v>4.5</v>
      </c>
      <c r="L107" s="401">
        <v>4.5</v>
      </c>
      <c r="M107" s="386">
        <v>4.5</v>
      </c>
      <c r="N107" s="1372" t="s">
        <v>191</v>
      </c>
      <c r="O107" s="538">
        <v>20</v>
      </c>
      <c r="P107" s="753">
        <v>23</v>
      </c>
      <c r="Q107" s="708">
        <v>25</v>
      </c>
      <c r="R107" s="754">
        <v>25</v>
      </c>
    </row>
    <row r="108" spans="1:19" s="3" customFormat="1" ht="13.95" customHeight="1" x14ac:dyDescent="0.3">
      <c r="A108" s="941"/>
      <c r="B108" s="938"/>
      <c r="C108" s="928"/>
      <c r="D108" s="212"/>
      <c r="E108" s="1503"/>
      <c r="F108" s="57"/>
      <c r="G108" s="933"/>
      <c r="H108" s="72"/>
      <c r="I108" s="125" t="s">
        <v>86</v>
      </c>
      <c r="J108" s="181">
        <v>3.5</v>
      </c>
      <c r="K108" s="389">
        <v>2</v>
      </c>
      <c r="L108" s="402"/>
      <c r="M108" s="389"/>
      <c r="N108" s="1373"/>
      <c r="O108" s="575"/>
      <c r="P108" s="755"/>
      <c r="Q108" s="650"/>
      <c r="R108" s="616"/>
    </row>
    <row r="109" spans="1:19" s="3" customFormat="1" ht="27" customHeight="1" x14ac:dyDescent="0.3">
      <c r="A109" s="941"/>
      <c r="B109" s="938"/>
      <c r="C109" s="928"/>
      <c r="D109" s="216" t="s">
        <v>56</v>
      </c>
      <c r="E109" s="1368" t="s">
        <v>119</v>
      </c>
      <c r="F109" s="240"/>
      <c r="G109" s="933"/>
      <c r="H109" s="72"/>
      <c r="I109" s="130" t="s">
        <v>289</v>
      </c>
      <c r="J109" s="181">
        <f>438.9-2</f>
        <v>436.9</v>
      </c>
      <c r="K109" s="389">
        <v>476.9</v>
      </c>
      <c r="L109" s="402">
        <v>476.9</v>
      </c>
      <c r="M109" s="389">
        <v>476.9</v>
      </c>
      <c r="N109" s="369" t="s">
        <v>114</v>
      </c>
      <c r="O109" s="562">
        <v>40</v>
      </c>
      <c r="P109" s="170">
        <v>40</v>
      </c>
      <c r="Q109" s="522">
        <v>40</v>
      </c>
      <c r="R109" s="595">
        <v>40</v>
      </c>
    </row>
    <row r="110" spans="1:19" s="3" customFormat="1" ht="30.6" customHeight="1" x14ac:dyDescent="0.3">
      <c r="A110" s="941"/>
      <c r="B110" s="938"/>
      <c r="C110" s="928"/>
      <c r="D110" s="211"/>
      <c r="E110" s="1369"/>
      <c r="F110" s="91"/>
      <c r="G110" s="958"/>
      <c r="H110" s="72"/>
      <c r="I110" s="125" t="s">
        <v>18</v>
      </c>
      <c r="J110" s="765">
        <v>14.7</v>
      </c>
      <c r="K110" s="417"/>
      <c r="L110" s="448"/>
      <c r="M110" s="417"/>
      <c r="N110" s="369" t="s">
        <v>251</v>
      </c>
      <c r="O110" s="562">
        <v>30</v>
      </c>
      <c r="P110" s="170"/>
      <c r="Q110" s="522"/>
      <c r="R110" s="595"/>
    </row>
    <row r="111" spans="1:19" s="3" customFormat="1" ht="15.75" customHeight="1" x14ac:dyDescent="0.3">
      <c r="A111" s="941"/>
      <c r="B111" s="938"/>
      <c r="C111" s="928"/>
      <c r="D111" s="211"/>
      <c r="E111" s="1369"/>
      <c r="F111" s="91"/>
      <c r="G111" s="958"/>
      <c r="H111" s="72"/>
      <c r="I111" s="261" t="s">
        <v>42</v>
      </c>
      <c r="J111" s="765">
        <v>47.8</v>
      </c>
      <c r="K111" s="417">
        <v>62</v>
      </c>
      <c r="L111" s="448">
        <v>62</v>
      </c>
      <c r="M111" s="417">
        <v>62</v>
      </c>
      <c r="N111" s="379"/>
      <c r="O111" s="574"/>
      <c r="P111" s="35"/>
      <c r="Q111" s="642"/>
      <c r="R111" s="608"/>
    </row>
    <row r="112" spans="1:19" s="3" customFormat="1" ht="15.75" customHeight="1" x14ac:dyDescent="0.3">
      <c r="A112" s="941"/>
      <c r="B112" s="938"/>
      <c r="C112" s="928"/>
      <c r="D112" s="211"/>
      <c r="E112" s="1369"/>
      <c r="F112" s="91"/>
      <c r="G112" s="958"/>
      <c r="H112" s="72"/>
      <c r="I112" s="261" t="s">
        <v>86</v>
      </c>
      <c r="J112" s="765">
        <v>14.1</v>
      </c>
      <c r="K112" s="417">
        <v>9.9</v>
      </c>
      <c r="L112" s="448"/>
      <c r="M112" s="417"/>
      <c r="N112" s="956"/>
      <c r="O112" s="574"/>
      <c r="P112" s="35"/>
      <c r="Q112" s="642"/>
      <c r="R112" s="608"/>
    </row>
    <row r="113" spans="1:18" s="3" customFormat="1" ht="17.25" customHeight="1" x14ac:dyDescent="0.3">
      <c r="A113" s="941"/>
      <c r="B113" s="938"/>
      <c r="C113" s="928"/>
      <c r="D113" s="211"/>
      <c r="E113" s="1369"/>
      <c r="F113" s="91"/>
      <c r="G113" s="958"/>
      <c r="H113" s="72"/>
      <c r="I113" s="130" t="s">
        <v>20</v>
      </c>
      <c r="J113" s="181">
        <f>319.2-3</f>
        <v>316.2</v>
      </c>
      <c r="K113" s="389">
        <v>65.7</v>
      </c>
      <c r="L113" s="402">
        <v>65.7</v>
      </c>
      <c r="M113" s="389">
        <v>65.7</v>
      </c>
      <c r="N113" s="1370" t="s">
        <v>157</v>
      </c>
      <c r="O113" s="538">
        <v>20</v>
      </c>
      <c r="P113" s="9">
        <v>20</v>
      </c>
      <c r="Q113" s="519">
        <v>20</v>
      </c>
      <c r="R113" s="606">
        <v>20</v>
      </c>
    </row>
    <row r="114" spans="1:18" s="3" customFormat="1" ht="17.25" customHeight="1" x14ac:dyDescent="0.3">
      <c r="A114" s="991"/>
      <c r="B114" s="992"/>
      <c r="C114" s="996"/>
      <c r="D114" s="211"/>
      <c r="E114" s="1369"/>
      <c r="F114" s="91"/>
      <c r="G114" s="993"/>
      <c r="H114" s="72"/>
      <c r="I114" s="130" t="s">
        <v>289</v>
      </c>
      <c r="J114" s="765"/>
      <c r="K114" s="417">
        <v>276.5</v>
      </c>
      <c r="L114" s="448">
        <v>276.5</v>
      </c>
      <c r="M114" s="417">
        <v>276.5</v>
      </c>
      <c r="N114" s="1356"/>
      <c r="O114" s="574"/>
      <c r="P114" s="35"/>
      <c r="Q114" s="642"/>
      <c r="R114" s="608"/>
    </row>
    <row r="115" spans="1:18" s="3" customFormat="1" ht="17.25" customHeight="1" x14ac:dyDescent="0.3">
      <c r="A115" s="941"/>
      <c r="B115" s="938"/>
      <c r="C115" s="928"/>
      <c r="D115" s="211"/>
      <c r="E115" s="1369"/>
      <c r="F115" s="91"/>
      <c r="G115" s="958"/>
      <c r="H115" s="72"/>
      <c r="I115" s="130" t="s">
        <v>34</v>
      </c>
      <c r="J115" s="765">
        <v>24.8</v>
      </c>
      <c r="K115" s="417"/>
      <c r="L115" s="448"/>
      <c r="M115" s="417"/>
      <c r="N115" s="1356"/>
      <c r="O115" s="574"/>
      <c r="P115" s="35"/>
      <c r="Q115" s="642"/>
      <c r="R115" s="608"/>
    </row>
    <row r="116" spans="1:18" s="3" customFormat="1" ht="17.25" customHeight="1" x14ac:dyDescent="0.3">
      <c r="A116" s="941"/>
      <c r="B116" s="938"/>
      <c r="C116" s="928"/>
      <c r="D116" s="212"/>
      <c r="E116" s="1503"/>
      <c r="F116" s="240"/>
      <c r="G116" s="933"/>
      <c r="H116" s="72"/>
      <c r="I116" s="261" t="s">
        <v>18</v>
      </c>
      <c r="J116" s="765">
        <v>62</v>
      </c>
      <c r="K116" s="417">
        <v>65.7</v>
      </c>
      <c r="L116" s="448">
        <v>65.7</v>
      </c>
      <c r="M116" s="417">
        <v>65.7</v>
      </c>
      <c r="N116" s="1371"/>
      <c r="O116" s="577"/>
      <c r="P116" s="721"/>
      <c r="Q116" s="645"/>
      <c r="R116" s="612"/>
    </row>
    <row r="117" spans="1:18" s="3" customFormat="1" ht="16.5" customHeight="1" x14ac:dyDescent="0.3">
      <c r="A117" s="941"/>
      <c r="B117" s="938"/>
      <c r="C117" s="928"/>
      <c r="D117" s="211" t="s">
        <v>87</v>
      </c>
      <c r="E117" s="1369" t="s">
        <v>45</v>
      </c>
      <c r="F117" s="44"/>
      <c r="G117" s="958"/>
      <c r="H117" s="72"/>
      <c r="I117" s="261" t="s">
        <v>20</v>
      </c>
      <c r="J117" s="181">
        <v>894</v>
      </c>
      <c r="K117" s="389">
        <v>26.3</v>
      </c>
      <c r="L117" s="402">
        <v>26.3</v>
      </c>
      <c r="M117" s="389">
        <v>26.3</v>
      </c>
      <c r="N117" s="372" t="s">
        <v>145</v>
      </c>
      <c r="O117" s="538">
        <v>48</v>
      </c>
      <c r="P117" s="9">
        <v>56</v>
      </c>
      <c r="Q117" s="519">
        <v>56</v>
      </c>
      <c r="R117" s="606">
        <v>56</v>
      </c>
    </row>
    <row r="118" spans="1:18" s="3" customFormat="1" ht="16.5" customHeight="1" x14ac:dyDescent="0.3">
      <c r="A118" s="109"/>
      <c r="B118" s="992"/>
      <c r="C118" s="996"/>
      <c r="D118" s="211"/>
      <c r="E118" s="1369"/>
      <c r="F118" s="44"/>
      <c r="G118" s="993"/>
      <c r="H118" s="72"/>
      <c r="I118" s="261" t="s">
        <v>289</v>
      </c>
      <c r="J118" s="181"/>
      <c r="K118" s="389">
        <v>974.8</v>
      </c>
      <c r="L118" s="402">
        <v>974.8</v>
      </c>
      <c r="M118" s="389">
        <v>974.8</v>
      </c>
      <c r="N118" s="379"/>
      <c r="O118" s="574"/>
      <c r="P118" s="35"/>
      <c r="Q118" s="642"/>
      <c r="R118" s="608"/>
    </row>
    <row r="119" spans="1:18" s="3" customFormat="1" ht="16.5" customHeight="1" x14ac:dyDescent="0.3">
      <c r="A119" s="109"/>
      <c r="B119" s="938"/>
      <c r="C119" s="928"/>
      <c r="D119" s="211"/>
      <c r="E119" s="1369"/>
      <c r="F119" s="44"/>
      <c r="G119" s="958"/>
      <c r="H119" s="72"/>
      <c r="I119" s="261" t="s">
        <v>42</v>
      </c>
      <c r="J119" s="181">
        <v>12.6</v>
      </c>
      <c r="K119" s="389">
        <v>8.4</v>
      </c>
      <c r="L119" s="402"/>
      <c r="M119" s="389"/>
      <c r="N119" s="379"/>
      <c r="O119" s="574"/>
      <c r="P119" s="35"/>
      <c r="Q119" s="642"/>
      <c r="R119" s="608"/>
    </row>
    <row r="120" spans="1:18" s="3" customFormat="1" ht="16.5" customHeight="1" x14ac:dyDescent="0.3">
      <c r="A120" s="109"/>
      <c r="B120" s="938"/>
      <c r="C120" s="928"/>
      <c r="D120" s="211"/>
      <c r="E120" s="1369"/>
      <c r="F120" s="44"/>
      <c r="G120" s="958"/>
      <c r="H120" s="72"/>
      <c r="I120" s="130" t="s">
        <v>18</v>
      </c>
      <c r="J120" s="181">
        <v>12</v>
      </c>
      <c r="K120" s="389">
        <v>26.3</v>
      </c>
      <c r="L120" s="402">
        <v>26.3</v>
      </c>
      <c r="M120" s="389">
        <v>26.3</v>
      </c>
      <c r="N120" s="379"/>
      <c r="O120" s="574"/>
      <c r="P120" s="35"/>
      <c r="Q120" s="642"/>
      <c r="R120" s="608"/>
    </row>
    <row r="121" spans="1:18" s="3" customFormat="1" ht="16.5" customHeight="1" x14ac:dyDescent="0.3">
      <c r="A121" s="109"/>
      <c r="B121" s="938"/>
      <c r="C121" s="928"/>
      <c r="D121" s="211"/>
      <c r="E121" s="1369"/>
      <c r="F121" s="44"/>
      <c r="G121" s="958"/>
      <c r="H121" s="72"/>
      <c r="I121" s="261" t="s">
        <v>20</v>
      </c>
      <c r="J121" s="181"/>
      <c r="K121" s="389"/>
      <c r="L121" s="402">
        <v>32</v>
      </c>
      <c r="M121" s="389"/>
      <c r="N121" s="372" t="s">
        <v>168</v>
      </c>
      <c r="O121" s="538"/>
      <c r="P121" s="9"/>
      <c r="Q121" s="519">
        <v>1</v>
      </c>
      <c r="R121" s="606"/>
    </row>
    <row r="122" spans="1:18" s="3" customFormat="1" ht="15.6" customHeight="1" x14ac:dyDescent="0.3">
      <c r="A122" s="109"/>
      <c r="B122" s="938"/>
      <c r="C122" s="928"/>
      <c r="D122" s="211"/>
      <c r="E122" s="1369"/>
      <c r="F122" s="44"/>
      <c r="G122" s="958"/>
      <c r="H122" s="72"/>
      <c r="I122" s="125" t="s">
        <v>18</v>
      </c>
      <c r="J122" s="181">
        <v>21.8</v>
      </c>
      <c r="K122" s="389"/>
      <c r="L122" s="402"/>
      <c r="M122" s="389"/>
      <c r="N122" s="1372" t="s">
        <v>251</v>
      </c>
      <c r="O122" s="538">
        <v>45</v>
      </c>
      <c r="P122" s="9"/>
      <c r="Q122" s="519"/>
      <c r="R122" s="606"/>
    </row>
    <row r="123" spans="1:18" s="3" customFormat="1" ht="16.5" customHeight="1" x14ac:dyDescent="0.3">
      <c r="A123" s="109"/>
      <c r="B123" s="938"/>
      <c r="C123" s="928"/>
      <c r="D123" s="211"/>
      <c r="E123" s="1369"/>
      <c r="F123" s="44"/>
      <c r="G123" s="958"/>
      <c r="H123" s="72"/>
      <c r="I123" s="261" t="s">
        <v>124</v>
      </c>
      <c r="J123" s="181">
        <v>46.5</v>
      </c>
      <c r="K123" s="389"/>
      <c r="L123" s="402"/>
      <c r="M123" s="389"/>
      <c r="N123" s="1373"/>
      <c r="O123" s="575"/>
      <c r="P123" s="289"/>
      <c r="Q123" s="643"/>
      <c r="R123" s="609"/>
    </row>
    <row r="124" spans="1:18" s="3" customFormat="1" ht="16.2" customHeight="1" x14ac:dyDescent="0.3">
      <c r="A124" s="109"/>
      <c r="B124" s="938"/>
      <c r="C124" s="928"/>
      <c r="D124" s="211"/>
      <c r="E124" s="1369"/>
      <c r="F124" s="44"/>
      <c r="G124" s="958"/>
      <c r="H124" s="72"/>
      <c r="I124" s="261" t="s">
        <v>86</v>
      </c>
      <c r="J124" s="181">
        <v>12.8</v>
      </c>
      <c r="K124" s="1100">
        <v>7.1</v>
      </c>
      <c r="L124" s="402"/>
      <c r="M124" s="389"/>
      <c r="N124" s="1366" t="s">
        <v>192</v>
      </c>
      <c r="O124" s="533">
        <v>3</v>
      </c>
      <c r="P124" s="465"/>
      <c r="Q124" s="476"/>
      <c r="R124" s="470"/>
    </row>
    <row r="125" spans="1:18" s="3" customFormat="1" ht="16.2" customHeight="1" x14ac:dyDescent="0.3">
      <c r="A125" s="109"/>
      <c r="B125" s="938"/>
      <c r="C125" s="928"/>
      <c r="D125" s="211"/>
      <c r="E125" s="913"/>
      <c r="F125" s="44"/>
      <c r="G125" s="958"/>
      <c r="H125" s="72"/>
      <c r="I125" s="131" t="s">
        <v>34</v>
      </c>
      <c r="J125" s="179">
        <v>60</v>
      </c>
      <c r="K125" s="386"/>
      <c r="L125" s="401"/>
      <c r="M125" s="472"/>
      <c r="N125" s="1367"/>
      <c r="O125" s="567"/>
      <c r="P125" s="466"/>
      <c r="Q125" s="477"/>
      <c r="R125" s="471"/>
    </row>
    <row r="126" spans="1:18" s="3" customFormat="1" ht="28.5" customHeight="1" x14ac:dyDescent="0.3">
      <c r="A126" s="109"/>
      <c r="B126" s="938"/>
      <c r="C126" s="928"/>
      <c r="D126" s="211"/>
      <c r="E126" s="913"/>
      <c r="F126" s="44"/>
      <c r="G126" s="958"/>
      <c r="H126" s="72"/>
      <c r="J126" s="156"/>
      <c r="L126" s="731"/>
      <c r="M126" s="770"/>
      <c r="N126" s="380" t="s">
        <v>170</v>
      </c>
      <c r="O126" s="573">
        <v>3</v>
      </c>
      <c r="P126" s="722"/>
      <c r="Q126" s="641"/>
      <c r="R126" s="607"/>
    </row>
    <row r="127" spans="1:18" s="3" customFormat="1" ht="31.2" customHeight="1" x14ac:dyDescent="0.3">
      <c r="A127" s="109"/>
      <c r="B127" s="938"/>
      <c r="C127" s="290"/>
      <c r="D127" s="211"/>
      <c r="E127" s="913"/>
      <c r="F127" s="228"/>
      <c r="G127" s="958"/>
      <c r="H127" s="72"/>
      <c r="J127" s="156"/>
      <c r="K127" s="417"/>
      <c r="L127" s="448"/>
      <c r="M127" s="417"/>
      <c r="N127" s="729" t="s">
        <v>171</v>
      </c>
      <c r="O127" s="533">
        <v>111</v>
      </c>
      <c r="P127" s="465"/>
      <c r="Q127" s="476"/>
      <c r="R127" s="470"/>
    </row>
    <row r="128" spans="1:18" s="3" customFormat="1" ht="15" customHeight="1" x14ac:dyDescent="0.3">
      <c r="A128" s="941"/>
      <c r="B128" s="938"/>
      <c r="C128" s="928"/>
      <c r="D128" s="211"/>
      <c r="E128" s="1490" t="s">
        <v>118</v>
      </c>
      <c r="F128" s="57"/>
      <c r="G128" s="958"/>
      <c r="H128" s="72"/>
      <c r="I128" s="130" t="s">
        <v>20</v>
      </c>
      <c r="J128" s="181">
        <v>274.8</v>
      </c>
      <c r="K128" s="389"/>
      <c r="L128" s="402"/>
      <c r="M128" s="389"/>
      <c r="N128" s="372" t="s">
        <v>145</v>
      </c>
      <c r="O128" s="576">
        <v>8</v>
      </c>
      <c r="P128" s="381"/>
      <c r="Q128" s="644"/>
      <c r="R128" s="610"/>
    </row>
    <row r="129" spans="1:18" s="3" customFormat="1" ht="15.6" customHeight="1" x14ac:dyDescent="0.3">
      <c r="A129" s="941"/>
      <c r="B129" s="938"/>
      <c r="C129" s="928"/>
      <c r="D129" s="211"/>
      <c r="E129" s="1491"/>
      <c r="F129" s="240"/>
      <c r="G129" s="958"/>
      <c r="H129" s="72"/>
      <c r="I129" s="125" t="s">
        <v>18</v>
      </c>
      <c r="J129" s="765">
        <v>2.4</v>
      </c>
      <c r="K129" s="417"/>
      <c r="L129" s="448"/>
      <c r="M129" s="417"/>
      <c r="N129" s="1372" t="s">
        <v>251</v>
      </c>
      <c r="O129" s="576">
        <v>8</v>
      </c>
      <c r="P129" s="381"/>
      <c r="Q129" s="644"/>
      <c r="R129" s="610"/>
    </row>
    <row r="130" spans="1:18" s="3" customFormat="1" ht="15" customHeight="1" x14ac:dyDescent="0.3">
      <c r="A130" s="941"/>
      <c r="B130" s="938"/>
      <c r="C130" s="928"/>
      <c r="D130" s="211"/>
      <c r="E130" s="1492"/>
      <c r="F130" s="240"/>
      <c r="G130" s="958"/>
      <c r="H130" s="72"/>
      <c r="I130" s="130" t="s">
        <v>34</v>
      </c>
      <c r="J130" s="765">
        <v>14.6</v>
      </c>
      <c r="K130" s="417"/>
      <c r="L130" s="448"/>
      <c r="M130" s="417"/>
      <c r="N130" s="1528"/>
      <c r="O130" s="672"/>
      <c r="P130" s="757"/>
      <c r="Q130" s="674"/>
      <c r="R130" s="663"/>
    </row>
    <row r="131" spans="1:18" s="17" customFormat="1" ht="15" customHeight="1" thickBot="1" x14ac:dyDescent="0.35">
      <c r="A131" s="110"/>
      <c r="B131" s="947"/>
      <c r="C131" s="81"/>
      <c r="D131" s="24"/>
      <c r="E131" s="931" t="s">
        <v>31</v>
      </c>
      <c r="F131" s="932"/>
      <c r="G131" s="932"/>
      <c r="H131" s="932"/>
      <c r="I131" s="932"/>
      <c r="J131" s="769">
        <f>SUM(J67:J130)-J103-J104</f>
        <v>7168.800000000002</v>
      </c>
      <c r="K131" s="1050">
        <f t="shared" ref="K131:M131" si="12">SUM(K67:K130)-K103-K104</f>
        <v>7013.9999999999991</v>
      </c>
      <c r="L131" s="1051">
        <f>SUM(L67:L130)-L103-L104</f>
        <v>6726.9000000000005</v>
      </c>
      <c r="M131" s="1048">
        <f t="shared" si="12"/>
        <v>6760.4000000000005</v>
      </c>
      <c r="N131" s="730"/>
      <c r="O131" s="578"/>
      <c r="P131" s="723"/>
      <c r="Q131" s="646"/>
      <c r="R131" s="613"/>
    </row>
    <row r="132" spans="1:18" s="18" customFormat="1" ht="25.2" customHeight="1" x14ac:dyDescent="0.3">
      <c r="A132" s="1654" t="s">
        <v>13</v>
      </c>
      <c r="B132" s="1657" t="s">
        <v>32</v>
      </c>
      <c r="C132" s="1660" t="s">
        <v>32</v>
      </c>
      <c r="D132" s="218"/>
      <c r="E132" s="1535" t="s">
        <v>46</v>
      </c>
      <c r="F132" s="1601"/>
      <c r="G132" s="1604" t="s">
        <v>17</v>
      </c>
      <c r="H132" s="936" t="s">
        <v>221</v>
      </c>
      <c r="I132" s="1038" t="s">
        <v>20</v>
      </c>
      <c r="J132" s="202">
        <v>608.20000000000005</v>
      </c>
      <c r="K132" s="1039">
        <v>255.9</v>
      </c>
      <c r="L132" s="1040">
        <v>288.2</v>
      </c>
      <c r="M132" s="1056">
        <v>288.2</v>
      </c>
      <c r="N132" s="1363" t="s">
        <v>96</v>
      </c>
      <c r="O132" s="1052">
        <v>126</v>
      </c>
      <c r="P132" s="724">
        <v>126</v>
      </c>
      <c r="Q132" s="647">
        <v>126</v>
      </c>
      <c r="R132" s="614">
        <v>126</v>
      </c>
    </row>
    <row r="133" spans="1:18" s="18" customFormat="1" ht="25.2" customHeight="1" x14ac:dyDescent="0.3">
      <c r="A133" s="1655"/>
      <c r="B133" s="1658"/>
      <c r="C133" s="1661"/>
      <c r="D133" s="219"/>
      <c r="E133" s="1600"/>
      <c r="F133" s="1602"/>
      <c r="G133" s="1605"/>
      <c r="H133" s="1000"/>
      <c r="I133" s="1035" t="s">
        <v>289</v>
      </c>
      <c r="J133" s="181"/>
      <c r="K133" s="27">
        <v>384.1</v>
      </c>
      <c r="L133" s="402">
        <v>381.8</v>
      </c>
      <c r="M133" s="389">
        <v>381.8</v>
      </c>
      <c r="N133" s="1364"/>
      <c r="O133" s="94"/>
      <c r="P133" s="761"/>
      <c r="Q133" s="648"/>
      <c r="R133" s="1019"/>
    </row>
    <row r="134" spans="1:18" s="19" customFormat="1" ht="21.75" customHeight="1" thickBot="1" x14ac:dyDescent="0.35">
      <c r="A134" s="1656"/>
      <c r="B134" s="1659"/>
      <c r="C134" s="1662"/>
      <c r="D134" s="220"/>
      <c r="E134" s="1536"/>
      <c r="F134" s="1603"/>
      <c r="G134" s="1606"/>
      <c r="H134" s="275"/>
      <c r="I134" s="143" t="s">
        <v>24</v>
      </c>
      <c r="J134" s="194">
        <f>SUM(J132)</f>
        <v>608.20000000000005</v>
      </c>
      <c r="K134" s="437">
        <f>SUM(K132:K133)</f>
        <v>640</v>
      </c>
      <c r="L134" s="452">
        <f t="shared" ref="L134:M134" si="13">SUM(L132:L133)</f>
        <v>670</v>
      </c>
      <c r="M134" s="1049">
        <f t="shared" si="13"/>
        <v>670</v>
      </c>
      <c r="N134" s="1365"/>
      <c r="O134" s="1053"/>
      <c r="P134" s="725"/>
      <c r="Q134" s="726"/>
      <c r="R134" s="727"/>
    </row>
    <row r="135" spans="1:18" s="2" customFormat="1" ht="42" customHeight="1" x14ac:dyDescent="0.3">
      <c r="A135" s="111" t="s">
        <v>13</v>
      </c>
      <c r="B135" s="20" t="s">
        <v>32</v>
      </c>
      <c r="C135" s="206" t="s">
        <v>35</v>
      </c>
      <c r="D135" s="207"/>
      <c r="E135" s="1531" t="s">
        <v>47</v>
      </c>
      <c r="F135" s="349"/>
      <c r="G135" s="36" t="s">
        <v>17</v>
      </c>
      <c r="H135" s="936" t="s">
        <v>221</v>
      </c>
      <c r="I135" s="142"/>
      <c r="J135" s="192"/>
      <c r="K135" s="438"/>
      <c r="L135" s="453"/>
      <c r="M135" s="422"/>
      <c r="N135" s="963"/>
      <c r="O135" s="579"/>
      <c r="P135" s="99"/>
      <c r="Q135" s="649"/>
      <c r="R135" s="615"/>
    </row>
    <row r="136" spans="1:18" s="2" customFormat="1" ht="52.5" customHeight="1" x14ac:dyDescent="0.3">
      <c r="A136" s="112"/>
      <c r="B136" s="21"/>
      <c r="C136" s="948"/>
      <c r="D136" s="208"/>
      <c r="E136" s="1532"/>
      <c r="F136" s="350"/>
      <c r="G136" s="23"/>
      <c r="H136" s="935"/>
      <c r="I136" s="272"/>
      <c r="J136" s="200"/>
      <c r="K136" s="439"/>
      <c r="L136" s="454"/>
      <c r="M136" s="423"/>
      <c r="N136" s="33"/>
      <c r="O136" s="580"/>
      <c r="P136" s="755"/>
      <c r="Q136" s="650"/>
      <c r="R136" s="616"/>
    </row>
    <row r="137" spans="1:18" s="2" customFormat="1" ht="55.5" customHeight="1" x14ac:dyDescent="0.3">
      <c r="A137" s="112"/>
      <c r="B137" s="21"/>
      <c r="C137" s="948"/>
      <c r="D137" s="221" t="s">
        <v>13</v>
      </c>
      <c r="E137" s="946" t="s">
        <v>89</v>
      </c>
      <c r="F137" s="916"/>
      <c r="G137" s="23"/>
      <c r="H137" s="935"/>
      <c r="I137" s="1035" t="s">
        <v>289</v>
      </c>
      <c r="J137" s="190">
        <v>72.7</v>
      </c>
      <c r="K137" s="370">
        <v>70</v>
      </c>
      <c r="L137" s="449">
        <v>103</v>
      </c>
      <c r="M137" s="426">
        <v>103</v>
      </c>
      <c r="N137" s="771" t="s">
        <v>271</v>
      </c>
      <c r="O137" s="580">
        <v>13</v>
      </c>
      <c r="P137" s="755">
        <v>13</v>
      </c>
      <c r="Q137" s="650">
        <v>13</v>
      </c>
      <c r="R137" s="616">
        <v>13</v>
      </c>
    </row>
    <row r="138" spans="1:18" s="2" customFormat="1" ht="62.25" customHeight="1" x14ac:dyDescent="0.3">
      <c r="A138" s="112"/>
      <c r="B138" s="21"/>
      <c r="C138" s="948"/>
      <c r="D138" s="208" t="s">
        <v>32</v>
      </c>
      <c r="E138" s="1368" t="s">
        <v>90</v>
      </c>
      <c r="F138" s="311"/>
      <c r="G138" s="23"/>
      <c r="H138" s="935"/>
      <c r="I138" s="241" t="s">
        <v>20</v>
      </c>
      <c r="J138" s="804">
        <v>82.5</v>
      </c>
      <c r="K138" s="738">
        <v>72</v>
      </c>
      <c r="L138" s="739">
        <v>72</v>
      </c>
      <c r="M138" s="740">
        <v>72</v>
      </c>
      <c r="N138" s="772" t="s">
        <v>146</v>
      </c>
      <c r="O138" s="774">
        <v>20</v>
      </c>
      <c r="P138" s="777">
        <v>20</v>
      </c>
      <c r="Q138" s="773">
        <v>20</v>
      </c>
      <c r="R138" s="617">
        <v>20</v>
      </c>
    </row>
    <row r="139" spans="1:18" s="2" customFormat="1" ht="16.5" customHeight="1" x14ac:dyDescent="0.3">
      <c r="A139" s="112"/>
      <c r="B139" s="21"/>
      <c r="C139" s="948"/>
      <c r="D139" s="208"/>
      <c r="E139" s="1503"/>
      <c r="F139" s="267" t="s">
        <v>213</v>
      </c>
      <c r="G139" s="23"/>
      <c r="H139" s="935"/>
      <c r="I139" s="135"/>
      <c r="J139" s="177"/>
      <c r="K139" s="735"/>
      <c r="L139" s="736"/>
      <c r="M139" s="737"/>
      <c r="N139" s="742"/>
      <c r="O139" s="775"/>
      <c r="P139" s="717"/>
      <c r="Q139" s="704"/>
      <c r="R139" s="743"/>
    </row>
    <row r="140" spans="1:18" s="2" customFormat="1" ht="42.75" customHeight="1" x14ac:dyDescent="0.3">
      <c r="A140" s="112"/>
      <c r="B140" s="21"/>
      <c r="C140" s="948"/>
      <c r="D140" s="209" t="s">
        <v>35</v>
      </c>
      <c r="E140" s="1368" t="s">
        <v>234</v>
      </c>
      <c r="F140" s="267" t="s">
        <v>213</v>
      </c>
      <c r="G140" s="23"/>
      <c r="H140" s="935"/>
      <c r="I140" s="282" t="s">
        <v>20</v>
      </c>
      <c r="J140" s="199">
        <v>268.60000000000002</v>
      </c>
      <c r="K140" s="294">
        <v>80.900000000000006</v>
      </c>
      <c r="L140" s="449">
        <v>80.900000000000006</v>
      </c>
      <c r="M140" s="426">
        <v>149.19999999999999</v>
      </c>
      <c r="N140" s="324" t="s">
        <v>220</v>
      </c>
      <c r="O140" s="776">
        <v>34</v>
      </c>
      <c r="P140" s="778">
        <v>80</v>
      </c>
      <c r="Q140" s="651">
        <v>80</v>
      </c>
      <c r="R140" s="618">
        <v>80</v>
      </c>
    </row>
    <row r="141" spans="1:18" s="2" customFormat="1" ht="42.75" customHeight="1" x14ac:dyDescent="0.3">
      <c r="A141" s="112"/>
      <c r="B141" s="21"/>
      <c r="C141" s="948"/>
      <c r="D141" s="208"/>
      <c r="E141" s="1369"/>
      <c r="F141" s="269"/>
      <c r="G141" s="23"/>
      <c r="H141" s="935"/>
      <c r="I141" s="1035" t="s">
        <v>289</v>
      </c>
      <c r="J141" s="198"/>
      <c r="K141" s="1352">
        <v>322.5</v>
      </c>
      <c r="L141" s="455">
        <v>322.5</v>
      </c>
      <c r="M141" s="425">
        <v>254.2</v>
      </c>
      <c r="N141" s="325" t="s">
        <v>244</v>
      </c>
      <c r="O141" s="581">
        <v>40</v>
      </c>
      <c r="P141" s="778">
        <v>20</v>
      </c>
      <c r="Q141" s="651">
        <v>20</v>
      </c>
      <c r="R141" s="619">
        <v>20</v>
      </c>
    </row>
    <row r="142" spans="1:18" s="2" customFormat="1" ht="34.950000000000003" customHeight="1" x14ac:dyDescent="0.3">
      <c r="A142" s="112"/>
      <c r="B142" s="21"/>
      <c r="C142" s="948"/>
      <c r="D142" s="209" t="s">
        <v>37</v>
      </c>
      <c r="E142" s="1368" t="s">
        <v>91</v>
      </c>
      <c r="F142" s="351" t="s">
        <v>102</v>
      </c>
      <c r="G142" s="23"/>
      <c r="H142" s="935"/>
      <c r="I142" s="282" t="s">
        <v>289</v>
      </c>
      <c r="J142" s="199">
        <v>405.6</v>
      </c>
      <c r="K142" s="294">
        <v>422</v>
      </c>
      <c r="L142" s="410">
        <v>584</v>
      </c>
      <c r="M142" s="424">
        <v>584</v>
      </c>
      <c r="N142" s="1501" t="s">
        <v>147</v>
      </c>
      <c r="O142" s="867">
        <v>150</v>
      </c>
      <c r="P142" s="964">
        <v>200</v>
      </c>
      <c r="Q142" s="965">
        <v>200</v>
      </c>
      <c r="R142" s="966">
        <v>200</v>
      </c>
    </row>
    <row r="143" spans="1:18" s="2" customFormat="1" ht="23.7" customHeight="1" x14ac:dyDescent="0.3">
      <c r="A143" s="112"/>
      <c r="B143" s="21"/>
      <c r="C143" s="948"/>
      <c r="D143" s="208"/>
      <c r="E143" s="1503"/>
      <c r="F143" s="312" t="s">
        <v>213</v>
      </c>
      <c r="G143" s="23"/>
      <c r="H143" s="935"/>
      <c r="I143" s="1034"/>
      <c r="J143" s="239"/>
      <c r="K143" s="967"/>
      <c r="L143" s="1001"/>
      <c r="M143" s="968"/>
      <c r="N143" s="1502"/>
      <c r="O143" s="868"/>
      <c r="P143" s="969"/>
      <c r="Q143" s="970"/>
      <c r="R143" s="971"/>
    </row>
    <row r="144" spans="1:18" s="2" customFormat="1" ht="84" customHeight="1" x14ac:dyDescent="0.3">
      <c r="A144" s="112"/>
      <c r="B144" s="21"/>
      <c r="C144" s="948"/>
      <c r="D144" s="221" t="s">
        <v>38</v>
      </c>
      <c r="E144" s="946" t="s">
        <v>100</v>
      </c>
      <c r="F144" s="799"/>
      <c r="G144" s="23"/>
      <c r="H144" s="935"/>
      <c r="I144" s="1035" t="s">
        <v>289</v>
      </c>
      <c r="J144" s="190">
        <v>26</v>
      </c>
      <c r="K144" s="370">
        <v>26</v>
      </c>
      <c r="L144" s="449">
        <v>67.900000000000006</v>
      </c>
      <c r="M144" s="426">
        <v>67.900000000000006</v>
      </c>
      <c r="N144" s="869" t="s">
        <v>148</v>
      </c>
      <c r="O144" s="870">
        <v>102</v>
      </c>
      <c r="P144" s="972">
        <v>150</v>
      </c>
      <c r="Q144" s="973">
        <v>150</v>
      </c>
      <c r="R144" s="974">
        <v>150</v>
      </c>
    </row>
    <row r="145" spans="1:21" s="2" customFormat="1" ht="57" customHeight="1" x14ac:dyDescent="0.3">
      <c r="A145" s="941"/>
      <c r="B145" s="938"/>
      <c r="C145" s="928"/>
      <c r="D145" s="216" t="s">
        <v>55</v>
      </c>
      <c r="E145" s="801" t="s">
        <v>48</v>
      </c>
      <c r="F145" s="915"/>
      <c r="G145" s="933"/>
      <c r="H145" s="72"/>
      <c r="I145" s="1033" t="s">
        <v>289</v>
      </c>
      <c r="J145" s="190">
        <v>21.2</v>
      </c>
      <c r="K145" s="855">
        <v>21.2</v>
      </c>
      <c r="L145" s="507">
        <v>39.799999999999997</v>
      </c>
      <c r="M145" s="857">
        <v>39.799999999999997</v>
      </c>
      <c r="N145" s="871" t="s">
        <v>149</v>
      </c>
      <c r="O145" s="535">
        <v>20</v>
      </c>
      <c r="P145" s="557">
        <v>20</v>
      </c>
      <c r="Q145" s="512">
        <v>20</v>
      </c>
      <c r="R145" s="544">
        <v>20</v>
      </c>
    </row>
    <row r="146" spans="1:21" s="2" customFormat="1" ht="18.600000000000001" customHeight="1" x14ac:dyDescent="0.3">
      <c r="A146" s="941"/>
      <c r="B146" s="938"/>
      <c r="C146" s="928"/>
      <c r="D146" s="216" t="s">
        <v>56</v>
      </c>
      <c r="E146" s="1594" t="s">
        <v>277</v>
      </c>
      <c r="F146" s="915"/>
      <c r="G146" s="933"/>
      <c r="H146" s="72"/>
      <c r="I146" s="978" t="s">
        <v>289</v>
      </c>
      <c r="J146" s="370">
        <v>18</v>
      </c>
      <c r="K146" s="1036">
        <v>59.6</v>
      </c>
      <c r="L146" s="880">
        <v>59.6</v>
      </c>
      <c r="M146" s="1037">
        <v>149</v>
      </c>
      <c r="N146" s="1501" t="s">
        <v>278</v>
      </c>
      <c r="O146" s="537">
        <v>8</v>
      </c>
      <c r="P146" s="559">
        <v>8</v>
      </c>
      <c r="Q146" s="551">
        <v>8</v>
      </c>
      <c r="R146" s="546">
        <v>20</v>
      </c>
    </row>
    <row r="147" spans="1:21" s="2" customFormat="1" ht="16.2" customHeight="1" thickBot="1" x14ac:dyDescent="0.35">
      <c r="A147" s="951"/>
      <c r="B147" s="947"/>
      <c r="C147" s="929"/>
      <c r="D147" s="213"/>
      <c r="E147" s="1595"/>
      <c r="F147" s="352"/>
      <c r="G147" s="934"/>
      <c r="H147" s="273"/>
      <c r="I147" s="84" t="s">
        <v>24</v>
      </c>
      <c r="J147" s="184">
        <f>SUM(J137:J146)</f>
        <v>894.60000000000014</v>
      </c>
      <c r="K147" s="437">
        <f>SUM(K137:K146)</f>
        <v>1074.2</v>
      </c>
      <c r="L147" s="452">
        <f t="shared" ref="L147:M147" si="14">SUM(L137:L146)</f>
        <v>1329.7</v>
      </c>
      <c r="M147" s="421">
        <f t="shared" si="14"/>
        <v>1419.1000000000001</v>
      </c>
      <c r="N147" s="1507"/>
      <c r="O147" s="582"/>
      <c r="P147" s="779"/>
      <c r="Q147" s="652"/>
      <c r="R147" s="620"/>
    </row>
    <row r="148" spans="1:21" s="2" customFormat="1" ht="15.75" customHeight="1" x14ac:dyDescent="0.3">
      <c r="A148" s="111" t="s">
        <v>13</v>
      </c>
      <c r="B148" s="20" t="s">
        <v>32</v>
      </c>
      <c r="C148" s="206" t="s">
        <v>37</v>
      </c>
      <c r="D148" s="207"/>
      <c r="E148" s="1531" t="s">
        <v>49</v>
      </c>
      <c r="F148" s="169"/>
      <c r="G148" s="36" t="s">
        <v>17</v>
      </c>
      <c r="H148" s="1533" t="s">
        <v>221</v>
      </c>
      <c r="I148" s="144"/>
      <c r="J148" s="193"/>
      <c r="K148" s="881"/>
      <c r="L148" s="882"/>
      <c r="M148" s="883"/>
      <c r="N148" s="327"/>
      <c r="O148" s="292"/>
      <c r="P148" s="583"/>
      <c r="Q148" s="653"/>
      <c r="R148" s="621"/>
    </row>
    <row r="149" spans="1:21" s="2" customFormat="1" ht="15.75" customHeight="1" x14ac:dyDescent="0.3">
      <c r="A149" s="112"/>
      <c r="B149" s="21"/>
      <c r="C149" s="948"/>
      <c r="D149" s="208"/>
      <c r="E149" s="1538"/>
      <c r="F149" s="316"/>
      <c r="G149" s="23"/>
      <c r="H149" s="1534"/>
      <c r="I149" s="145"/>
      <c r="J149" s="248"/>
      <c r="K149" s="884"/>
      <c r="L149" s="451"/>
      <c r="M149" s="885"/>
      <c r="N149" s="328"/>
      <c r="O149" s="116"/>
      <c r="P149" s="584"/>
      <c r="Q149" s="654"/>
      <c r="R149" s="622"/>
    </row>
    <row r="150" spans="1:21" s="2" customFormat="1" ht="27.6" customHeight="1" x14ac:dyDescent="0.3">
      <c r="A150" s="112"/>
      <c r="B150" s="21"/>
      <c r="C150" s="948"/>
      <c r="D150" s="209" t="s">
        <v>13</v>
      </c>
      <c r="E150" s="1087" t="s">
        <v>50</v>
      </c>
      <c r="F150" s="285" t="s">
        <v>213</v>
      </c>
      <c r="G150" s="23"/>
      <c r="H150" s="1534"/>
      <c r="I150" s="170" t="s">
        <v>20</v>
      </c>
      <c r="J150" s="252">
        <v>45</v>
      </c>
      <c r="K150" s="716">
        <v>23.2</v>
      </c>
      <c r="L150" s="637">
        <v>23.2</v>
      </c>
      <c r="M150" s="600">
        <v>23.2</v>
      </c>
      <c r="N150" s="1425" t="s">
        <v>193</v>
      </c>
      <c r="O150" s="59">
        <v>21</v>
      </c>
      <c r="P150" s="101">
        <v>20</v>
      </c>
      <c r="Q150" s="519">
        <v>20</v>
      </c>
      <c r="R150" s="610">
        <v>20</v>
      </c>
      <c r="U150" s="3"/>
    </row>
    <row r="151" spans="1:21" s="2" customFormat="1" ht="27.6" customHeight="1" x14ac:dyDescent="0.3">
      <c r="A151" s="112"/>
      <c r="B151" s="21"/>
      <c r="C151" s="994"/>
      <c r="D151" s="208"/>
      <c r="E151" s="1088"/>
      <c r="F151" s="310"/>
      <c r="G151" s="23"/>
      <c r="H151" s="1000"/>
      <c r="I151" s="170" t="s">
        <v>289</v>
      </c>
      <c r="J151" s="252"/>
      <c r="K151" s="716">
        <v>21.8</v>
      </c>
      <c r="L151" s="637">
        <v>21.8</v>
      </c>
      <c r="M151" s="600">
        <v>21.8</v>
      </c>
      <c r="N151" s="1426"/>
      <c r="O151" s="77"/>
      <c r="P151" s="291"/>
      <c r="Q151" s="642"/>
      <c r="R151" s="663"/>
      <c r="U151" s="3"/>
    </row>
    <row r="152" spans="1:21" s="2" customFormat="1" ht="15" customHeight="1" x14ac:dyDescent="0.3">
      <c r="A152" s="1354"/>
      <c r="B152" s="1355"/>
      <c r="C152" s="928"/>
      <c r="D152" s="216" t="s">
        <v>32</v>
      </c>
      <c r="E152" s="1561" t="s">
        <v>51</v>
      </c>
      <c r="F152" s="1591"/>
      <c r="G152" s="165"/>
      <c r="H152" s="926"/>
      <c r="I152" s="170" t="s">
        <v>20</v>
      </c>
      <c r="J152" s="198">
        <v>48.8</v>
      </c>
      <c r="K152" s="370">
        <v>20</v>
      </c>
      <c r="L152" s="449">
        <v>20</v>
      </c>
      <c r="M152" s="426">
        <v>20</v>
      </c>
      <c r="N152" s="1551" t="s">
        <v>202</v>
      </c>
      <c r="O152" s="1092" t="s">
        <v>172</v>
      </c>
      <c r="P152" s="1093">
        <v>12</v>
      </c>
      <c r="Q152" s="551">
        <v>12</v>
      </c>
      <c r="R152" s="1094" t="s">
        <v>74</v>
      </c>
    </row>
    <row r="153" spans="1:21" s="2" customFormat="1" ht="15" customHeight="1" x14ac:dyDescent="0.3">
      <c r="A153" s="1354"/>
      <c r="B153" s="1355"/>
      <c r="C153" s="996"/>
      <c r="D153" s="211"/>
      <c r="E153" s="1554"/>
      <c r="F153" s="1592"/>
      <c r="G153" s="165"/>
      <c r="H153" s="997"/>
      <c r="I153" s="35" t="s">
        <v>289</v>
      </c>
      <c r="J153" s="1029"/>
      <c r="K153" s="855">
        <v>32.799999999999997</v>
      </c>
      <c r="L153" s="507">
        <v>32.799999999999997</v>
      </c>
      <c r="M153" s="857">
        <v>32.799999999999997</v>
      </c>
      <c r="N153" s="1556"/>
      <c r="O153" s="245"/>
      <c r="P153" s="511"/>
      <c r="Q153" s="512"/>
      <c r="R153" s="623"/>
    </row>
    <row r="154" spans="1:21" s="2" customFormat="1" ht="15" customHeight="1" x14ac:dyDescent="0.3">
      <c r="A154" s="1354"/>
      <c r="B154" s="1355"/>
      <c r="C154" s="928"/>
      <c r="D154" s="211"/>
      <c r="E154" s="1554"/>
      <c r="F154" s="1592"/>
      <c r="G154" s="165"/>
      <c r="H154" s="926"/>
      <c r="I154" s="271" t="s">
        <v>34</v>
      </c>
      <c r="J154" s="332">
        <v>243.9</v>
      </c>
      <c r="K154" s="441">
        <v>263.7</v>
      </c>
      <c r="L154" s="456">
        <v>263.7</v>
      </c>
      <c r="M154" s="427">
        <v>263.7</v>
      </c>
      <c r="N154" s="1556"/>
      <c r="O154" s="10"/>
      <c r="P154" s="585"/>
      <c r="Q154" s="655"/>
      <c r="R154" s="624"/>
    </row>
    <row r="155" spans="1:21" s="2" customFormat="1" ht="15" customHeight="1" thickBot="1" x14ac:dyDescent="0.35">
      <c r="A155" s="951"/>
      <c r="B155" s="947"/>
      <c r="C155" s="929"/>
      <c r="D155" s="213"/>
      <c r="E155" s="937"/>
      <c r="F155" s="1593"/>
      <c r="G155" s="940"/>
      <c r="H155" s="925"/>
      <c r="I155" s="143" t="s">
        <v>24</v>
      </c>
      <c r="J155" s="194">
        <f>SUM(J150:J154)</f>
        <v>337.7</v>
      </c>
      <c r="K155" s="437">
        <f>SUM(K150:K154)</f>
        <v>361.5</v>
      </c>
      <c r="L155" s="452">
        <f>SUM(L150:L154)</f>
        <v>361.5</v>
      </c>
      <c r="M155" s="421">
        <f>SUM(M150:M154)</f>
        <v>361.5</v>
      </c>
      <c r="N155" s="329"/>
      <c r="O155" s="24"/>
      <c r="P155" s="586"/>
      <c r="Q155" s="656"/>
      <c r="R155" s="625"/>
    </row>
    <row r="156" spans="1:21" s="2" customFormat="1" ht="16.2" customHeight="1" x14ac:dyDescent="0.3">
      <c r="A156" s="950" t="s">
        <v>13</v>
      </c>
      <c r="B156" s="264" t="s">
        <v>32</v>
      </c>
      <c r="C156" s="242" t="s">
        <v>38</v>
      </c>
      <c r="D156" s="243"/>
      <c r="E156" s="204" t="s">
        <v>52</v>
      </c>
      <c r="F156" s="133"/>
      <c r="G156" s="136" t="s">
        <v>53</v>
      </c>
      <c r="H156" s="1665" t="s">
        <v>279</v>
      </c>
      <c r="I156" s="99" t="s">
        <v>20</v>
      </c>
      <c r="J156" s="195">
        <v>90</v>
      </c>
      <c r="K156" s="103">
        <v>16.7</v>
      </c>
      <c r="L156" s="457">
        <v>16.7</v>
      </c>
      <c r="M156" s="428">
        <v>16.7</v>
      </c>
      <c r="N156" s="1506" t="s">
        <v>54</v>
      </c>
      <c r="O156" s="1003">
        <v>18</v>
      </c>
      <c r="P156" s="1076">
        <v>17</v>
      </c>
      <c r="Q156" s="1005">
        <v>21</v>
      </c>
      <c r="R156" s="1006">
        <v>20</v>
      </c>
    </row>
    <row r="157" spans="1:21" s="2" customFormat="1" ht="16.2" customHeight="1" x14ac:dyDescent="0.3">
      <c r="A157" s="1054"/>
      <c r="B157" s="266"/>
      <c r="C157" s="244"/>
      <c r="D157" s="245"/>
      <c r="E157" s="1055"/>
      <c r="F157" s="291"/>
      <c r="G157" s="137"/>
      <c r="H157" s="1666"/>
      <c r="I157" s="170" t="s">
        <v>124</v>
      </c>
      <c r="J157" s="198"/>
      <c r="K157" s="46">
        <v>1.3</v>
      </c>
      <c r="L157" s="408"/>
      <c r="M157" s="431"/>
      <c r="N157" s="1516"/>
      <c r="O157" s="866"/>
      <c r="P157" s="535"/>
      <c r="Q157" s="512"/>
      <c r="R157" s="544"/>
    </row>
    <row r="158" spans="1:21" s="2" customFormat="1" ht="16.2" customHeight="1" x14ac:dyDescent="0.3">
      <c r="A158" s="991"/>
      <c r="B158" s="266"/>
      <c r="C158" s="244"/>
      <c r="D158" s="245"/>
      <c r="E158" s="998"/>
      <c r="F158" s="291"/>
      <c r="G158" s="137"/>
      <c r="H158" s="1666"/>
      <c r="I158" s="35" t="s">
        <v>289</v>
      </c>
      <c r="J158" s="1029"/>
      <c r="K158" s="1030">
        <v>63.3</v>
      </c>
      <c r="L158" s="1031">
        <v>63.3</v>
      </c>
      <c r="M158" s="1032">
        <v>63.3</v>
      </c>
      <c r="N158" s="326"/>
      <c r="O158" s="250"/>
      <c r="P158" s="568"/>
      <c r="Q158" s="805"/>
      <c r="R158" s="601"/>
    </row>
    <row r="159" spans="1:21" s="2" customFormat="1" ht="27" customHeight="1" x14ac:dyDescent="0.3">
      <c r="A159" s="203"/>
      <c r="B159" s="265"/>
      <c r="C159" s="244"/>
      <c r="D159" s="245"/>
      <c r="E159" s="945"/>
      <c r="F159" s="291"/>
      <c r="G159" s="137"/>
      <c r="H159" s="1666"/>
      <c r="I159" s="253" t="s">
        <v>34</v>
      </c>
      <c r="J159" s="196">
        <v>116</v>
      </c>
      <c r="K159" s="11">
        <v>106.3</v>
      </c>
      <c r="L159" s="409">
        <v>110</v>
      </c>
      <c r="M159" s="798">
        <v>110</v>
      </c>
      <c r="N159" s="326" t="s">
        <v>165</v>
      </c>
      <c r="O159" s="250">
        <v>2</v>
      </c>
      <c r="P159" s="568">
        <v>5</v>
      </c>
      <c r="Q159" s="805">
        <v>5</v>
      </c>
      <c r="R159" s="601">
        <v>5</v>
      </c>
      <c r="T159" s="3"/>
    </row>
    <row r="160" spans="1:21" s="2" customFormat="1" ht="42.75" customHeight="1" x14ac:dyDescent="0.3">
      <c r="A160" s="203"/>
      <c r="B160" s="265"/>
      <c r="C160" s="244"/>
      <c r="D160" s="245"/>
      <c r="E160" s="945"/>
      <c r="F160" s="291"/>
      <c r="G160" s="137"/>
      <c r="H160" s="806"/>
      <c r="I160" s="159"/>
      <c r="J160" s="191"/>
      <c r="K160" s="975"/>
      <c r="L160" s="458"/>
      <c r="M160" s="429"/>
      <c r="N160" s="326" t="s">
        <v>97</v>
      </c>
      <c r="O160" s="250">
        <v>5</v>
      </c>
      <c r="P160" s="568">
        <v>10</v>
      </c>
      <c r="Q160" s="805">
        <v>10</v>
      </c>
      <c r="R160" s="601">
        <v>10</v>
      </c>
    </row>
    <row r="161" spans="1:19" s="2" customFormat="1" ht="28.95" customHeight="1" x14ac:dyDescent="0.3">
      <c r="A161" s="203"/>
      <c r="B161" s="265"/>
      <c r="C161" s="244"/>
      <c r="D161" s="245"/>
      <c r="E161" s="945"/>
      <c r="F161" s="291"/>
      <c r="G161" s="137"/>
      <c r="H161" s="914"/>
      <c r="I161" s="159"/>
      <c r="J161" s="191"/>
      <c r="K161" s="442"/>
      <c r="L161" s="458"/>
      <c r="M161" s="429"/>
      <c r="N161" s="797" t="s">
        <v>112</v>
      </c>
      <c r="O161" s="796">
        <v>30</v>
      </c>
      <c r="P161" s="536">
        <v>36</v>
      </c>
      <c r="Q161" s="550">
        <v>36</v>
      </c>
      <c r="R161" s="545">
        <v>36</v>
      </c>
    </row>
    <row r="162" spans="1:19" s="2" customFormat="1" ht="54.6" customHeight="1" x14ac:dyDescent="0.3">
      <c r="A162" s="203"/>
      <c r="B162" s="265"/>
      <c r="C162" s="244"/>
      <c r="D162" s="245"/>
      <c r="E162" s="945"/>
      <c r="F162" s="291"/>
      <c r="G162" s="137"/>
      <c r="H162" s="1524" t="s">
        <v>239</v>
      </c>
      <c r="I162" s="253" t="s">
        <v>34</v>
      </c>
      <c r="J162" s="196">
        <f>0.94+3.698</f>
        <v>4.6379999999999999</v>
      </c>
      <c r="K162" s="11"/>
      <c r="L162" s="409"/>
      <c r="M162" s="798"/>
      <c r="N162" s="1501" t="s">
        <v>275</v>
      </c>
      <c r="O162" s="866"/>
      <c r="P162" s="535"/>
      <c r="Q162" s="512"/>
      <c r="R162" s="544"/>
    </row>
    <row r="163" spans="1:19" s="2" customFormat="1" ht="16.5" customHeight="1" thickBot="1" x14ac:dyDescent="0.35">
      <c r="A163" s="941"/>
      <c r="B163" s="266"/>
      <c r="C163" s="244"/>
      <c r="D163" s="245"/>
      <c r="E163" s="205"/>
      <c r="F163" s="291"/>
      <c r="G163" s="137"/>
      <c r="H163" s="1525"/>
      <c r="I163" s="146" t="s">
        <v>24</v>
      </c>
      <c r="J163" s="184">
        <f>SUM(J156:J162)</f>
        <v>210.63800000000001</v>
      </c>
      <c r="K163" s="12">
        <f t="shared" ref="K163:M163" si="15">SUM(K156:K161)</f>
        <v>187.6</v>
      </c>
      <c r="L163" s="414">
        <f>SUM(L156:L161)</f>
        <v>190</v>
      </c>
      <c r="M163" s="396">
        <f t="shared" si="15"/>
        <v>190</v>
      </c>
      <c r="N163" s="1507"/>
      <c r="O163" s="138"/>
      <c r="P163" s="587"/>
      <c r="Q163" s="657"/>
      <c r="R163" s="626"/>
      <c r="S163" s="3"/>
    </row>
    <row r="164" spans="1:19" s="2" customFormat="1" ht="19.95" customHeight="1" x14ac:dyDescent="0.3">
      <c r="A164" s="950" t="s">
        <v>13</v>
      </c>
      <c r="B164" s="952" t="s">
        <v>32</v>
      </c>
      <c r="C164" s="927" t="s">
        <v>55</v>
      </c>
      <c r="D164" s="215"/>
      <c r="E164" s="1535" t="s">
        <v>101</v>
      </c>
      <c r="F164" s="16"/>
      <c r="G164" s="1663">
        <v>3</v>
      </c>
      <c r="H164" s="1504" t="s">
        <v>221</v>
      </c>
      <c r="I164" s="144" t="s">
        <v>20</v>
      </c>
      <c r="J164" s="197">
        <v>5.2</v>
      </c>
      <c r="K164" s="443">
        <v>5.2</v>
      </c>
      <c r="L164" s="459">
        <v>5.2</v>
      </c>
      <c r="M164" s="430">
        <v>5.2</v>
      </c>
      <c r="N164" s="1529" t="s">
        <v>174</v>
      </c>
      <c r="O164" s="97">
        <v>2</v>
      </c>
      <c r="P164" s="588">
        <v>2</v>
      </c>
      <c r="Q164" s="658">
        <v>2</v>
      </c>
      <c r="R164" s="627">
        <v>2</v>
      </c>
    </row>
    <row r="165" spans="1:19" s="2" customFormat="1" ht="16.5" customHeight="1" thickBot="1" x14ac:dyDescent="0.35">
      <c r="A165" s="951"/>
      <c r="B165" s="947"/>
      <c r="C165" s="929"/>
      <c r="D165" s="213"/>
      <c r="E165" s="1536"/>
      <c r="F165" s="160"/>
      <c r="G165" s="1664"/>
      <c r="H165" s="1505"/>
      <c r="I165" s="143" t="s">
        <v>24</v>
      </c>
      <c r="J165" s="184">
        <f>J164</f>
        <v>5.2</v>
      </c>
      <c r="K165" s="12">
        <f>K164</f>
        <v>5.2</v>
      </c>
      <c r="L165" s="414">
        <f>L164</f>
        <v>5.2</v>
      </c>
      <c r="M165" s="396">
        <f>M164</f>
        <v>5.2</v>
      </c>
      <c r="N165" s="1530"/>
      <c r="O165" s="68"/>
      <c r="P165" s="589"/>
      <c r="Q165" s="659"/>
      <c r="R165" s="628"/>
    </row>
    <row r="166" spans="1:19" s="2" customFormat="1" ht="15" customHeight="1" x14ac:dyDescent="0.3">
      <c r="A166" s="1563" t="s">
        <v>13</v>
      </c>
      <c r="B166" s="1565" t="s">
        <v>32</v>
      </c>
      <c r="C166" s="1378" t="s">
        <v>56</v>
      </c>
      <c r="D166" s="215"/>
      <c r="E166" s="1570" t="s">
        <v>106</v>
      </c>
      <c r="F166" s="1573"/>
      <c r="G166" s="1587">
        <v>3</v>
      </c>
      <c r="H166" s="1504" t="s">
        <v>221</v>
      </c>
      <c r="I166" s="102" t="s">
        <v>18</v>
      </c>
      <c r="J166" s="195">
        <v>57</v>
      </c>
      <c r="K166" s="103">
        <v>88.9</v>
      </c>
      <c r="L166" s="457">
        <v>9.5</v>
      </c>
      <c r="M166" s="428"/>
      <c r="N166" s="327" t="s">
        <v>105</v>
      </c>
      <c r="O166" s="292">
        <v>350</v>
      </c>
      <c r="P166" s="583">
        <v>350</v>
      </c>
      <c r="Q166" s="653">
        <v>20</v>
      </c>
      <c r="R166" s="621"/>
    </row>
    <row r="167" spans="1:19" s="2" customFormat="1" ht="15" customHeight="1" x14ac:dyDescent="0.3">
      <c r="A167" s="1495"/>
      <c r="B167" s="1496"/>
      <c r="C167" s="1379"/>
      <c r="D167" s="211"/>
      <c r="E167" s="1571"/>
      <c r="F167" s="1574"/>
      <c r="G167" s="1362"/>
      <c r="H167" s="1515"/>
      <c r="I167" s="79" t="s">
        <v>197</v>
      </c>
      <c r="J167" s="198">
        <v>4.2</v>
      </c>
      <c r="K167" s="46">
        <v>0.5</v>
      </c>
      <c r="L167" s="408"/>
      <c r="M167" s="431"/>
      <c r="N167" s="328"/>
      <c r="O167" s="116"/>
      <c r="P167" s="584"/>
      <c r="Q167" s="654"/>
      <c r="R167" s="622"/>
    </row>
    <row r="168" spans="1:19" s="2" customFormat="1" ht="15" customHeight="1" x14ac:dyDescent="0.3">
      <c r="A168" s="1495"/>
      <c r="B168" s="1496"/>
      <c r="C168" s="1379"/>
      <c r="D168" s="211"/>
      <c r="E168" s="1571"/>
      <c r="F168" s="1574"/>
      <c r="G168" s="1362"/>
      <c r="H168" s="1515"/>
      <c r="I168" s="79" t="s">
        <v>127</v>
      </c>
      <c r="J168" s="198">
        <v>243.1</v>
      </c>
      <c r="K168" s="46">
        <v>404.9</v>
      </c>
      <c r="L168" s="408">
        <v>42.4</v>
      </c>
      <c r="M168" s="431"/>
      <c r="N168" s="328"/>
      <c r="O168" s="116"/>
      <c r="P168" s="584"/>
      <c r="Q168" s="654"/>
      <c r="R168" s="622"/>
    </row>
    <row r="169" spans="1:19" s="2" customFormat="1" ht="15" customHeight="1" x14ac:dyDescent="0.3">
      <c r="A169" s="1495"/>
      <c r="B169" s="1496"/>
      <c r="C169" s="1379"/>
      <c r="D169" s="211"/>
      <c r="E169" s="1571"/>
      <c r="F169" s="1574"/>
      <c r="G169" s="1362"/>
      <c r="H169" s="72"/>
      <c r="I169" s="79" t="s">
        <v>134</v>
      </c>
      <c r="J169" s="199">
        <v>16.399999999999999</v>
      </c>
      <c r="K169" s="1101">
        <v>38</v>
      </c>
      <c r="L169" s="460"/>
      <c r="M169" s="432"/>
      <c r="N169" s="328"/>
      <c r="O169" s="116"/>
      <c r="P169" s="584"/>
      <c r="Q169" s="654"/>
      <c r="R169" s="622"/>
    </row>
    <row r="170" spans="1:19" s="2" customFormat="1" ht="15" customHeight="1" thickBot="1" x14ac:dyDescent="0.35">
      <c r="A170" s="1564"/>
      <c r="B170" s="1566"/>
      <c r="C170" s="1380"/>
      <c r="D170" s="213"/>
      <c r="E170" s="1572"/>
      <c r="F170" s="1575"/>
      <c r="G170" s="1588"/>
      <c r="H170" s="273"/>
      <c r="I170" s="84" t="s">
        <v>24</v>
      </c>
      <c r="J170" s="184">
        <f>SUM(J166:J169)</f>
        <v>320.7</v>
      </c>
      <c r="K170" s="12">
        <f t="shared" ref="K170:M170" si="16">SUM(K166:K169)</f>
        <v>532.29999999999995</v>
      </c>
      <c r="L170" s="414">
        <f>SUM(L166:L169)</f>
        <v>51.9</v>
      </c>
      <c r="M170" s="396">
        <f t="shared" si="16"/>
        <v>0</v>
      </c>
      <c r="N170" s="330"/>
      <c r="O170" s="104"/>
      <c r="P170" s="590"/>
      <c r="Q170" s="660"/>
      <c r="R170" s="629"/>
    </row>
    <row r="171" spans="1:19" s="2" customFormat="1" ht="18.75" customHeight="1" x14ac:dyDescent="0.3">
      <c r="A171" s="1563" t="s">
        <v>13</v>
      </c>
      <c r="B171" s="1565" t="s">
        <v>32</v>
      </c>
      <c r="C171" s="1378" t="s">
        <v>87</v>
      </c>
      <c r="D171" s="215"/>
      <c r="E171" s="1653" t="s">
        <v>131</v>
      </c>
      <c r="F171" s="1573"/>
      <c r="G171" s="1587">
        <v>3</v>
      </c>
      <c r="H171" s="1504" t="s">
        <v>221</v>
      </c>
      <c r="I171" s="1057" t="s">
        <v>20</v>
      </c>
      <c r="J171" s="196">
        <v>20</v>
      </c>
      <c r="K171" s="11">
        <v>63.8</v>
      </c>
      <c r="L171" s="409"/>
      <c r="M171" s="798"/>
      <c r="N171" s="1526" t="s">
        <v>152</v>
      </c>
      <c r="O171" s="37">
        <v>1</v>
      </c>
      <c r="P171" s="579">
        <v>1</v>
      </c>
      <c r="Q171" s="649"/>
      <c r="R171" s="615"/>
    </row>
    <row r="172" spans="1:19" s="2" customFormat="1" ht="41.25" customHeight="1" x14ac:dyDescent="0.3">
      <c r="A172" s="1495"/>
      <c r="B172" s="1496"/>
      <c r="C172" s="1379"/>
      <c r="D172" s="211"/>
      <c r="E172" s="1436"/>
      <c r="F172" s="1574"/>
      <c r="G172" s="1362"/>
      <c r="H172" s="1515"/>
      <c r="I172" s="7" t="s">
        <v>127</v>
      </c>
      <c r="J172" s="199">
        <v>113.5</v>
      </c>
      <c r="K172" s="1101">
        <v>361.6</v>
      </c>
      <c r="L172" s="460"/>
      <c r="M172" s="432"/>
      <c r="N172" s="1527"/>
      <c r="O172" s="38"/>
      <c r="P172" s="575"/>
      <c r="Q172" s="643"/>
      <c r="R172" s="609"/>
    </row>
    <row r="173" spans="1:19" s="2" customFormat="1" ht="45.6" customHeight="1" x14ac:dyDescent="0.3">
      <c r="A173" s="1495"/>
      <c r="B173" s="1496"/>
      <c r="C173" s="1379"/>
      <c r="D173" s="211"/>
      <c r="E173" s="1436"/>
      <c r="F173" s="1574"/>
      <c r="G173" s="1362"/>
      <c r="H173" s="935" t="s">
        <v>247</v>
      </c>
      <c r="I173" s="354" t="s">
        <v>134</v>
      </c>
      <c r="J173" s="198">
        <v>0.8</v>
      </c>
      <c r="K173" s="46">
        <v>0.8</v>
      </c>
      <c r="L173" s="408"/>
      <c r="M173" s="431"/>
      <c r="N173" s="961" t="s">
        <v>159</v>
      </c>
      <c r="O173" s="89">
        <v>340</v>
      </c>
      <c r="P173" s="538">
        <v>340</v>
      </c>
      <c r="Q173" s="519"/>
      <c r="R173" s="606"/>
    </row>
    <row r="174" spans="1:19" s="2" customFormat="1" ht="15.75" customHeight="1" thickBot="1" x14ac:dyDescent="0.35">
      <c r="A174" s="1495"/>
      <c r="B174" s="1496"/>
      <c r="C174" s="1379"/>
      <c r="D174" s="211"/>
      <c r="E174" s="1571"/>
      <c r="F174" s="1574"/>
      <c r="G174" s="1588"/>
      <c r="H174" s="72"/>
      <c r="I174" s="84" t="s">
        <v>24</v>
      </c>
      <c r="J174" s="201">
        <f>SUM(J171:J173)</f>
        <v>134.30000000000001</v>
      </c>
      <c r="K174" s="445">
        <f>SUM(K171:K173)</f>
        <v>426.20000000000005</v>
      </c>
      <c r="L174" s="462">
        <f>SUM(L171:L173)</f>
        <v>0</v>
      </c>
      <c r="M174" s="434">
        <f>SUM(M171:M173)</f>
        <v>0</v>
      </c>
      <c r="N174" s="508" t="s">
        <v>262</v>
      </c>
      <c r="O174" s="509"/>
      <c r="P174" s="591">
        <v>1</v>
      </c>
      <c r="Q174" s="661"/>
      <c r="R174" s="630"/>
    </row>
    <row r="175" spans="1:19" s="2" customFormat="1" ht="21.75" customHeight="1" x14ac:dyDescent="0.3">
      <c r="A175" s="1563"/>
      <c r="B175" s="1565"/>
      <c r="C175" s="1378"/>
      <c r="D175" s="215"/>
      <c r="E175" s="1651" t="s">
        <v>120</v>
      </c>
      <c r="F175" s="313" t="s">
        <v>213</v>
      </c>
      <c r="G175" s="1587">
        <v>5</v>
      </c>
      <c r="H175" s="1504" t="s">
        <v>242</v>
      </c>
      <c r="I175" s="147" t="s">
        <v>20</v>
      </c>
      <c r="J175" s="202">
        <v>80</v>
      </c>
      <c r="K175" s="382"/>
      <c r="L175" s="400"/>
      <c r="M175" s="398"/>
      <c r="N175" s="331" t="s">
        <v>233</v>
      </c>
      <c r="O175" s="335">
        <v>17</v>
      </c>
      <c r="P175" s="592"/>
      <c r="Q175" s="662"/>
      <c r="R175" s="631"/>
    </row>
    <row r="176" spans="1:19" s="2" customFormat="1" ht="26.25" customHeight="1" x14ac:dyDescent="0.3">
      <c r="A176" s="1495"/>
      <c r="B176" s="1496"/>
      <c r="C176" s="1379"/>
      <c r="D176" s="211"/>
      <c r="E176" s="1444"/>
      <c r="F176" s="314" t="s">
        <v>219</v>
      </c>
      <c r="G176" s="1362"/>
      <c r="H176" s="1515"/>
      <c r="I176" s="148" t="s">
        <v>124</v>
      </c>
      <c r="J176" s="181">
        <v>50</v>
      </c>
      <c r="K176" s="27"/>
      <c r="L176" s="402"/>
      <c r="M176" s="435"/>
      <c r="N176" s="76"/>
      <c r="O176" s="251"/>
      <c r="P176" s="534"/>
      <c r="Q176" s="510"/>
      <c r="R176" s="543"/>
    </row>
    <row r="177" spans="1:20" s="2" customFormat="1" ht="20.25" customHeight="1" thickBot="1" x14ac:dyDescent="0.35">
      <c r="A177" s="1564"/>
      <c r="B177" s="1566"/>
      <c r="C177" s="1380"/>
      <c r="D177" s="213"/>
      <c r="E177" s="1652"/>
      <c r="F177" s="315"/>
      <c r="G177" s="1588"/>
      <c r="H177" s="1505"/>
      <c r="I177" s="149" t="s">
        <v>24</v>
      </c>
      <c r="J177" s="194">
        <f>SUM(J175:J176)</f>
        <v>130</v>
      </c>
      <c r="K177" s="437">
        <f t="shared" ref="K177:M177" si="17">SUM(K175:K176)</f>
        <v>0</v>
      </c>
      <c r="L177" s="452">
        <f t="shared" si="17"/>
        <v>0</v>
      </c>
      <c r="M177" s="421">
        <f t="shared" si="17"/>
        <v>0</v>
      </c>
      <c r="N177" s="334"/>
      <c r="O177" s="117"/>
      <c r="P177" s="578"/>
      <c r="Q177" s="646"/>
      <c r="R177" s="613"/>
    </row>
    <row r="178" spans="1:20" s="2" customFormat="1" ht="16.5" customHeight="1" thickBot="1" x14ac:dyDescent="0.35">
      <c r="A178" s="107" t="s">
        <v>13</v>
      </c>
      <c r="B178" s="4" t="s">
        <v>32</v>
      </c>
      <c r="C178" s="1550" t="s">
        <v>39</v>
      </c>
      <c r="D178" s="1550"/>
      <c r="E178" s="1550"/>
      <c r="F178" s="1550"/>
      <c r="G178" s="1550"/>
      <c r="H178" s="1550"/>
      <c r="I178" s="1550"/>
      <c r="J178" s="333">
        <f>+J177+J174+J170+J165+J163+J155+J147+J134+J131</f>
        <v>9810.1380000000026</v>
      </c>
      <c r="K178" s="446">
        <f>+K177+K174+K170+K165+K163+K155+K147+K134+K131</f>
        <v>10241</v>
      </c>
      <c r="L178" s="463">
        <f>+L177+L174+L170+L165+L163+L155+L147+L134+L131</f>
        <v>9335.2000000000007</v>
      </c>
      <c r="M178" s="436">
        <f>+M177+M174+M170+M165+M163+M155+M147+M134+M131</f>
        <v>9406.2000000000007</v>
      </c>
      <c r="N178" s="1509"/>
      <c r="O178" s="1509"/>
      <c r="P178" s="1509"/>
      <c r="Q178" s="1509"/>
      <c r="R178" s="1510"/>
    </row>
    <row r="179" spans="1:20" s="2" customFormat="1" ht="14.25" customHeight="1" thickBot="1" x14ac:dyDescent="0.35">
      <c r="A179" s="108" t="s">
        <v>13</v>
      </c>
      <c r="B179" s="4" t="s">
        <v>35</v>
      </c>
      <c r="C179" s="1585" t="s">
        <v>228</v>
      </c>
      <c r="D179" s="1585"/>
      <c r="E179" s="1585"/>
      <c r="F179" s="1585"/>
      <c r="G179" s="1585"/>
      <c r="H179" s="1585"/>
      <c r="I179" s="1585"/>
      <c r="J179" s="1585"/>
      <c r="K179" s="1585"/>
      <c r="L179" s="1585"/>
      <c r="M179" s="1585"/>
      <c r="N179" s="1585"/>
      <c r="O179" s="1585"/>
      <c r="P179" s="1585"/>
      <c r="Q179" s="1585"/>
      <c r="R179" s="1586"/>
    </row>
    <row r="180" spans="1:20" s="3" customFormat="1" ht="54.75" customHeight="1" x14ac:dyDescent="0.3">
      <c r="A180" s="950" t="s">
        <v>13</v>
      </c>
      <c r="B180" s="952" t="s">
        <v>35</v>
      </c>
      <c r="C180" s="222" t="s">
        <v>13</v>
      </c>
      <c r="D180" s="254"/>
      <c r="E180" s="528" t="s">
        <v>58</v>
      </c>
      <c r="F180" s="525"/>
      <c r="G180" s="258"/>
      <c r="H180" s="259"/>
      <c r="I180" s="124"/>
      <c r="J180" s="188"/>
      <c r="K180" s="464"/>
      <c r="L180" s="475"/>
      <c r="M180" s="469"/>
      <c r="N180" s="63"/>
      <c r="O180" s="530"/>
      <c r="P180" s="64"/>
      <c r="Q180" s="548"/>
      <c r="R180" s="540"/>
    </row>
    <row r="181" spans="1:20" s="3" customFormat="1" ht="15.6" customHeight="1" x14ac:dyDescent="0.3">
      <c r="A181" s="941"/>
      <c r="B181" s="938"/>
      <c r="C181" s="69"/>
      <c r="D181" s="257" t="s">
        <v>13</v>
      </c>
      <c r="E181" s="1537" t="s">
        <v>280</v>
      </c>
      <c r="F181" s="807" t="s">
        <v>59</v>
      </c>
      <c r="G181" s="808">
        <v>5</v>
      </c>
      <c r="H181" s="1569" t="s">
        <v>223</v>
      </c>
      <c r="I181" s="101" t="s">
        <v>124</v>
      </c>
      <c r="J181" s="196">
        <v>9.3000000000000007</v>
      </c>
      <c r="K181" s="11">
        <v>10.5</v>
      </c>
      <c r="L181" s="409"/>
      <c r="M181" s="798"/>
      <c r="N181" s="852" t="s">
        <v>121</v>
      </c>
      <c r="O181" s="537">
        <v>50</v>
      </c>
      <c r="P181" s="559">
        <v>100</v>
      </c>
      <c r="Q181" s="476"/>
      <c r="R181" s="470"/>
    </row>
    <row r="182" spans="1:20" s="3" customFormat="1" ht="15.6" customHeight="1" x14ac:dyDescent="0.3">
      <c r="A182" s="941"/>
      <c r="B182" s="938"/>
      <c r="C182" s="69"/>
      <c r="D182" s="256"/>
      <c r="E182" s="1538"/>
      <c r="F182" s="809"/>
      <c r="G182" s="810"/>
      <c r="H182" s="1534"/>
      <c r="I182" s="101" t="s">
        <v>289</v>
      </c>
      <c r="J182" s="196"/>
      <c r="K182" s="11">
        <f>126.2-5.7</f>
        <v>120.5</v>
      </c>
      <c r="L182" s="409"/>
      <c r="M182" s="798"/>
      <c r="N182" s="811" t="s">
        <v>263</v>
      </c>
      <c r="O182" s="537"/>
      <c r="P182" s="559">
        <v>100</v>
      </c>
      <c r="Q182" s="476"/>
      <c r="R182" s="470"/>
    </row>
    <row r="183" spans="1:20" s="3" customFormat="1" ht="15.6" customHeight="1" x14ac:dyDescent="0.3">
      <c r="A183" s="941"/>
      <c r="B183" s="938"/>
      <c r="C183" s="69"/>
      <c r="D183" s="256"/>
      <c r="E183" s="1538"/>
      <c r="F183" s="809"/>
      <c r="G183" s="810"/>
      <c r="H183" s="1534"/>
      <c r="I183" s="812" t="s">
        <v>127</v>
      </c>
      <c r="J183" s="813">
        <v>138.80000000000001</v>
      </c>
      <c r="K183" s="171">
        <f>120.6+95.2+53.9-18.4</f>
        <v>251.29999999999998</v>
      </c>
      <c r="L183" s="406"/>
      <c r="M183" s="814"/>
      <c r="N183" s="304"/>
      <c r="O183" s="535"/>
      <c r="P183" s="557"/>
      <c r="Q183" s="510"/>
      <c r="R183" s="543"/>
    </row>
    <row r="184" spans="1:20" s="3" customFormat="1" ht="15.6" customHeight="1" x14ac:dyDescent="0.3">
      <c r="A184" s="1075"/>
      <c r="B184" s="1074"/>
      <c r="C184" s="69"/>
      <c r="D184" s="256"/>
      <c r="E184" s="1538"/>
      <c r="F184" s="809"/>
      <c r="G184" s="810"/>
      <c r="H184" s="1534"/>
      <c r="I184" s="812" t="s">
        <v>134</v>
      </c>
      <c r="J184" s="191"/>
      <c r="K184" s="11">
        <v>18.399999999999999</v>
      </c>
      <c r="L184" s="409"/>
      <c r="M184" s="429"/>
      <c r="N184" s="304"/>
      <c r="O184" s="535"/>
      <c r="P184" s="557"/>
      <c r="Q184" s="510"/>
      <c r="R184" s="543"/>
    </row>
    <row r="185" spans="1:20" s="3" customFormat="1" ht="15.6" customHeight="1" x14ac:dyDescent="0.3">
      <c r="A185" s="941"/>
      <c r="B185" s="938"/>
      <c r="C185" s="69"/>
      <c r="D185" s="524"/>
      <c r="E185" s="1532"/>
      <c r="F185" s="809"/>
      <c r="G185" s="810"/>
      <c r="H185" s="1582"/>
      <c r="I185" s="812" t="s">
        <v>34</v>
      </c>
      <c r="J185" s="813">
        <v>24</v>
      </c>
      <c r="K185" s="171"/>
      <c r="L185" s="406"/>
      <c r="M185" s="814"/>
      <c r="N185" s="304"/>
      <c r="O185" s="535"/>
      <c r="P185" s="557"/>
      <c r="Q185" s="512"/>
      <c r="R185" s="544"/>
    </row>
    <row r="186" spans="1:20" s="1" customFormat="1" ht="17.25" customHeight="1" x14ac:dyDescent="0.25">
      <c r="A186" s="941"/>
      <c r="B186" s="938"/>
      <c r="C186" s="928"/>
      <c r="D186" s="1517" t="s">
        <v>32</v>
      </c>
      <c r="E186" s="1368" t="s">
        <v>215</v>
      </c>
      <c r="F186" s="1339" t="s">
        <v>59</v>
      </c>
      <c r="G186" s="286">
        <v>5</v>
      </c>
      <c r="H186" s="917" t="s">
        <v>222</v>
      </c>
      <c r="I186" s="101" t="s">
        <v>127</v>
      </c>
      <c r="J186" s="815">
        <v>72.599999999999994</v>
      </c>
      <c r="K186" s="976">
        <v>27.3</v>
      </c>
      <c r="L186" s="977">
        <v>334.9</v>
      </c>
      <c r="M186" s="816"/>
      <c r="N186" s="372" t="s">
        <v>267</v>
      </c>
      <c r="O186" s="576"/>
      <c r="P186" s="381">
        <v>1</v>
      </c>
      <c r="Q186" s="550"/>
      <c r="R186" s="545"/>
      <c r="T186" s="25"/>
    </row>
    <row r="187" spans="1:20" s="1" customFormat="1" ht="17.25" customHeight="1" x14ac:dyDescent="0.25">
      <c r="A187" s="1011"/>
      <c r="B187" s="1010"/>
      <c r="C187" s="1009"/>
      <c r="D187" s="1518"/>
      <c r="E187" s="1369"/>
      <c r="F187" s="1342"/>
      <c r="G187" s="286"/>
      <c r="H187" s="1008"/>
      <c r="I187" s="291"/>
      <c r="J187" s="817"/>
      <c r="K187" s="297"/>
      <c r="L187" s="499"/>
      <c r="M187" s="818"/>
      <c r="N187" s="270" t="s">
        <v>136</v>
      </c>
      <c r="O187" s="536">
        <v>60</v>
      </c>
      <c r="P187" s="558"/>
      <c r="Q187" s="550">
        <v>100</v>
      </c>
      <c r="R187" s="546"/>
    </row>
    <row r="188" spans="1:20" s="1" customFormat="1" ht="55.95" customHeight="1" x14ac:dyDescent="0.25">
      <c r="A188" s="941"/>
      <c r="B188" s="938"/>
      <c r="C188" s="928"/>
      <c r="D188" s="1519"/>
      <c r="E188" s="1503"/>
      <c r="F188" s="809"/>
      <c r="G188" s="286"/>
      <c r="H188" s="935"/>
      <c r="I188" s="291"/>
      <c r="J188" s="817"/>
      <c r="K188" s="297"/>
      <c r="L188" s="499"/>
      <c r="M188" s="818"/>
      <c r="N188" s="304" t="s">
        <v>264</v>
      </c>
      <c r="O188" s="535"/>
      <c r="P188" s="557"/>
      <c r="Q188" s="512">
        <v>100</v>
      </c>
      <c r="R188" s="546"/>
    </row>
    <row r="189" spans="1:20" s="19" customFormat="1" ht="15.75" customHeight="1" x14ac:dyDescent="0.3">
      <c r="A189" s="113"/>
      <c r="B189" s="50"/>
      <c r="C189" s="51"/>
      <c r="D189" s="255" t="s">
        <v>35</v>
      </c>
      <c r="E189" s="1443" t="s">
        <v>286</v>
      </c>
      <c r="F189" s="526" t="s">
        <v>59</v>
      </c>
      <c r="G189" s="268">
        <v>1</v>
      </c>
      <c r="H189" s="1583" t="s">
        <v>285</v>
      </c>
      <c r="I189" s="283" t="s">
        <v>20</v>
      </c>
      <c r="J189" s="190">
        <f>75.3+30</f>
        <v>105.3</v>
      </c>
      <c r="K189" s="370"/>
      <c r="L189" s="449">
        <f>60.6+24.2</f>
        <v>84.8</v>
      </c>
      <c r="M189" s="426"/>
      <c r="N189" s="959" t="s">
        <v>160</v>
      </c>
      <c r="O189" s="531">
        <v>1</v>
      </c>
      <c r="P189" s="554"/>
      <c r="Q189" s="523"/>
      <c r="R189" s="541"/>
    </row>
    <row r="190" spans="1:20" s="19" customFormat="1" ht="15.75" customHeight="1" x14ac:dyDescent="0.3">
      <c r="A190" s="113"/>
      <c r="B190" s="50"/>
      <c r="C190" s="51"/>
      <c r="D190" s="51"/>
      <c r="E190" s="1444"/>
      <c r="F190" s="527"/>
      <c r="H190" s="1387"/>
      <c r="I190" s="283" t="s">
        <v>124</v>
      </c>
      <c r="J190" s="190"/>
      <c r="K190" s="370">
        <v>29.4</v>
      </c>
      <c r="L190" s="449"/>
      <c r="M190" s="424"/>
      <c r="N190" s="1607" t="s">
        <v>214</v>
      </c>
      <c r="O190" s="531">
        <v>100</v>
      </c>
      <c r="P190" s="554">
        <v>20</v>
      </c>
      <c r="Q190" s="523">
        <v>100</v>
      </c>
      <c r="R190" s="541"/>
    </row>
    <row r="191" spans="1:20" s="19" customFormat="1" ht="14.7" customHeight="1" x14ac:dyDescent="0.3">
      <c r="A191" s="113"/>
      <c r="B191" s="52"/>
      <c r="C191" s="51"/>
      <c r="D191" s="51"/>
      <c r="E191" s="1444"/>
      <c r="F191" s="269"/>
      <c r="G191" s="268">
        <v>3</v>
      </c>
      <c r="H191" s="911"/>
      <c r="I191" s="282" t="s">
        <v>57</v>
      </c>
      <c r="J191" s="189">
        <v>76.2</v>
      </c>
      <c r="K191" s="294">
        <v>10</v>
      </c>
      <c r="L191" s="410">
        <v>66.2</v>
      </c>
      <c r="M191" s="864"/>
      <c r="N191" s="1608"/>
      <c r="O191" s="532"/>
      <c r="P191" s="555"/>
      <c r="Q191" s="549"/>
      <c r="R191" s="542"/>
    </row>
    <row r="192" spans="1:20" s="19" customFormat="1" ht="33" customHeight="1" x14ac:dyDescent="0.3">
      <c r="A192" s="113"/>
      <c r="B192" s="50"/>
      <c r="C192" s="51"/>
      <c r="D192" s="51"/>
      <c r="E192" s="1445"/>
      <c r="F192" s="863"/>
      <c r="G192" s="856"/>
      <c r="H192" s="911"/>
      <c r="I192" s="911"/>
      <c r="J192" s="173"/>
      <c r="K192" s="855"/>
      <c r="L192" s="507"/>
      <c r="M192" s="857"/>
      <c r="N192" s="858" t="s">
        <v>284</v>
      </c>
      <c r="O192" s="859"/>
      <c r="P192" s="860"/>
      <c r="Q192" s="861">
        <v>100</v>
      </c>
      <c r="R192" s="862"/>
    </row>
    <row r="193" spans="1:20" s="19" customFormat="1" ht="45.6" customHeight="1" x14ac:dyDescent="0.3">
      <c r="A193" s="113"/>
      <c r="B193" s="50"/>
      <c r="C193" s="51"/>
      <c r="D193" s="1027" t="s">
        <v>37</v>
      </c>
      <c r="E193" s="912" t="s">
        <v>287</v>
      </c>
      <c r="F193" s="312"/>
      <c r="G193" s="856"/>
      <c r="H193" s="978" t="s">
        <v>241</v>
      </c>
      <c r="I193" s="283" t="s">
        <v>289</v>
      </c>
      <c r="J193" s="190"/>
      <c r="K193" s="370">
        <v>40</v>
      </c>
      <c r="L193" s="449"/>
      <c r="M193" s="426"/>
      <c r="N193" s="979" t="s">
        <v>266</v>
      </c>
      <c r="O193" s="980"/>
      <c r="P193" s="981">
        <v>100</v>
      </c>
      <c r="Q193" s="982"/>
      <c r="R193" s="983"/>
      <c r="T193" s="1353"/>
    </row>
    <row r="194" spans="1:20" s="3" customFormat="1" ht="18.600000000000001" customHeight="1" x14ac:dyDescent="0.3">
      <c r="A194" s="941"/>
      <c r="B194" s="938"/>
      <c r="C194" s="122"/>
      <c r="D194" s="1024" t="s">
        <v>38</v>
      </c>
      <c r="E194" s="1443" t="s">
        <v>229</v>
      </c>
      <c r="F194" s="829"/>
      <c r="G194" s="268">
        <v>6</v>
      </c>
      <c r="H194" s="1583" t="s">
        <v>273</v>
      </c>
      <c r="I194" s="830" t="s">
        <v>20</v>
      </c>
      <c r="J194" s="189">
        <v>104.9</v>
      </c>
      <c r="K194" s="294">
        <v>121.8</v>
      </c>
      <c r="L194" s="410">
        <v>138.1</v>
      </c>
      <c r="M194" s="424">
        <v>138.1</v>
      </c>
      <c r="N194" s="1023" t="s">
        <v>109</v>
      </c>
      <c r="O194" s="831">
        <v>9</v>
      </c>
      <c r="P194" s="832">
        <v>9</v>
      </c>
      <c r="Q194" s="552">
        <v>9</v>
      </c>
      <c r="R194" s="547">
        <v>9</v>
      </c>
      <c r="T194" s="1353"/>
    </row>
    <row r="195" spans="1:20" s="3" customFormat="1" ht="30.75" customHeight="1" x14ac:dyDescent="0.3">
      <c r="A195" s="941"/>
      <c r="B195" s="938"/>
      <c r="C195" s="122"/>
      <c r="D195" s="1025"/>
      <c r="E195" s="1444"/>
      <c r="F195" s="833"/>
      <c r="G195" s="296"/>
      <c r="H195" s="1387"/>
      <c r="I195" s="282" t="s">
        <v>124</v>
      </c>
      <c r="J195" s="189">
        <v>15</v>
      </c>
      <c r="K195" s="294">
        <v>16.3</v>
      </c>
      <c r="L195" s="410"/>
      <c r="M195" s="424"/>
      <c r="N195" s="22" t="s">
        <v>230</v>
      </c>
      <c r="O195" s="835">
        <v>5</v>
      </c>
      <c r="P195" s="836">
        <v>5</v>
      </c>
      <c r="Q195" s="553">
        <v>5</v>
      </c>
      <c r="R195" s="837">
        <v>5</v>
      </c>
    </row>
    <row r="196" spans="1:20" s="3" customFormat="1" ht="45" customHeight="1" x14ac:dyDescent="0.3">
      <c r="A196" s="941"/>
      <c r="B196" s="938"/>
      <c r="C196" s="122"/>
      <c r="D196" s="1026"/>
      <c r="E196" s="918"/>
      <c r="F196" s="838"/>
      <c r="G196" s="839"/>
      <c r="H196" s="1584"/>
      <c r="I196" s="288"/>
      <c r="J196" s="239"/>
      <c r="K196" s="440"/>
      <c r="L196" s="455"/>
      <c r="M196" s="425"/>
      <c r="N196" s="834" t="s">
        <v>231</v>
      </c>
      <c r="O196" s="835">
        <v>3</v>
      </c>
      <c r="P196" s="836">
        <v>3</v>
      </c>
      <c r="Q196" s="553">
        <v>3</v>
      </c>
      <c r="R196" s="837">
        <v>3</v>
      </c>
    </row>
    <row r="197" spans="1:20" s="1" customFormat="1" ht="19.95" customHeight="1" x14ac:dyDescent="0.25">
      <c r="A197" s="941"/>
      <c r="B197" s="938"/>
      <c r="C197" s="928"/>
      <c r="D197" s="517" t="s">
        <v>55</v>
      </c>
      <c r="E197" s="1537" t="s">
        <v>281</v>
      </c>
      <c r="F197" s="1340" t="s">
        <v>59</v>
      </c>
      <c r="G197" s="286"/>
      <c r="H197" s="935"/>
      <c r="I197" s="819" t="s">
        <v>20</v>
      </c>
      <c r="J197" s="820"/>
      <c r="K197" s="821"/>
      <c r="L197" s="977">
        <v>117</v>
      </c>
      <c r="M197" s="822">
        <f>1100</f>
        <v>1100</v>
      </c>
      <c r="N197" s="372" t="s">
        <v>267</v>
      </c>
      <c r="O197" s="576"/>
      <c r="P197" s="381"/>
      <c r="Q197" s="640">
        <v>1</v>
      </c>
      <c r="R197" s="545"/>
    </row>
    <row r="198" spans="1:20" s="1" customFormat="1" ht="18" customHeight="1" x14ac:dyDescent="0.25">
      <c r="A198" s="941"/>
      <c r="B198" s="938"/>
      <c r="C198" s="928"/>
      <c r="D198" s="517"/>
      <c r="E198" s="1538"/>
      <c r="F198" s="1341"/>
      <c r="G198" s="286"/>
      <c r="H198" s="935"/>
      <c r="I198" s="984"/>
      <c r="J198" s="985"/>
      <c r="K198" s="986"/>
      <c r="L198" s="987"/>
      <c r="M198" s="988"/>
      <c r="N198" s="372" t="s">
        <v>136</v>
      </c>
      <c r="O198" s="576"/>
      <c r="P198" s="79"/>
      <c r="Q198" s="640"/>
      <c r="R198" s="545">
        <v>30</v>
      </c>
    </row>
    <row r="199" spans="1:20" s="1" customFormat="1" ht="43.2" customHeight="1" x14ac:dyDescent="0.25">
      <c r="A199" s="941"/>
      <c r="B199" s="938"/>
      <c r="C199" s="928"/>
      <c r="D199" s="517"/>
      <c r="E199" s="1532"/>
      <c r="F199" s="823" t="s">
        <v>213</v>
      </c>
      <c r="G199" s="286"/>
      <c r="H199" s="935"/>
      <c r="I199" s="824"/>
      <c r="J199" s="825"/>
      <c r="K199" s="826"/>
      <c r="L199" s="827"/>
      <c r="M199" s="828"/>
      <c r="N199" s="1007" t="s">
        <v>293</v>
      </c>
      <c r="O199" s="571"/>
      <c r="P199" s="79"/>
      <c r="Q199" s="640"/>
      <c r="R199" s="545">
        <v>80</v>
      </c>
    </row>
    <row r="200" spans="1:20" s="19" customFormat="1" ht="21.75" customHeight="1" x14ac:dyDescent="0.3">
      <c r="A200" s="113"/>
      <c r="B200" s="50"/>
      <c r="C200" s="51"/>
      <c r="D200" s="793"/>
      <c r="E200" s="1443" t="s">
        <v>104</v>
      </c>
      <c r="F200" s="527" t="s">
        <v>59</v>
      </c>
      <c r="H200" s="1583" t="s">
        <v>237</v>
      </c>
      <c r="I200" s="840" t="s">
        <v>124</v>
      </c>
      <c r="J200" s="910">
        <v>186.2</v>
      </c>
      <c r="K200" s="556"/>
      <c r="L200" s="510"/>
      <c r="M200" s="543"/>
      <c r="N200" s="930" t="s">
        <v>226</v>
      </c>
      <c r="O200" s="859">
        <v>1</v>
      </c>
      <c r="P200" s="860"/>
      <c r="Q200" s="861"/>
      <c r="R200" s="862"/>
    </row>
    <row r="201" spans="1:20" s="19" customFormat="1" ht="21.75" customHeight="1" x14ac:dyDescent="0.3">
      <c r="A201" s="113"/>
      <c r="B201" s="50"/>
      <c r="C201" s="51"/>
      <c r="D201" s="51"/>
      <c r="E201" s="1444"/>
      <c r="F201" s="527"/>
      <c r="H201" s="1584"/>
      <c r="I201" s="840"/>
      <c r="J201" s="348"/>
      <c r="K201" s="466"/>
      <c r="L201" s="477"/>
      <c r="M201" s="471"/>
      <c r="N201" s="960"/>
      <c r="O201" s="532"/>
      <c r="P201" s="555"/>
      <c r="Q201" s="549"/>
      <c r="R201" s="542"/>
    </row>
    <row r="202" spans="1:20" s="1" customFormat="1" ht="21.6" customHeight="1" x14ac:dyDescent="0.25">
      <c r="A202" s="941"/>
      <c r="B202" s="938"/>
      <c r="C202" s="928"/>
      <c r="D202" s="211"/>
      <c r="E202" s="1368" t="s">
        <v>153</v>
      </c>
      <c r="F202" s="318"/>
      <c r="G202" s="287"/>
      <c r="H202" s="1569" t="s">
        <v>241</v>
      </c>
      <c r="I202" s="345" t="s">
        <v>124</v>
      </c>
      <c r="J202" s="308">
        <v>46.6</v>
      </c>
      <c r="K202" s="467"/>
      <c r="L202" s="478"/>
      <c r="M202" s="473"/>
      <c r="N202" s="961" t="s">
        <v>122</v>
      </c>
      <c r="O202" s="537">
        <v>100</v>
      </c>
      <c r="P202" s="559"/>
      <c r="Q202" s="551"/>
      <c r="R202" s="546"/>
    </row>
    <row r="203" spans="1:20" s="1" customFormat="1" ht="21.6" customHeight="1" x14ac:dyDescent="0.25">
      <c r="A203" s="941"/>
      <c r="B203" s="938"/>
      <c r="C203" s="928"/>
      <c r="D203" s="517"/>
      <c r="E203" s="1503"/>
      <c r="F203" s="367"/>
      <c r="G203" s="286"/>
      <c r="H203" s="1534"/>
      <c r="I203" s="1103"/>
      <c r="J203" s="513"/>
      <c r="K203" s="514"/>
      <c r="L203" s="515"/>
      <c r="M203" s="516"/>
      <c r="N203" s="304"/>
      <c r="O203" s="535"/>
      <c r="P203" s="557"/>
      <c r="Q203" s="512"/>
      <c r="R203" s="544"/>
    </row>
    <row r="204" spans="1:20" s="1" customFormat="1" ht="28.95" customHeight="1" x14ac:dyDescent="0.25">
      <c r="A204" s="941"/>
      <c r="B204" s="938"/>
      <c r="C204" s="928"/>
      <c r="D204" s="517"/>
      <c r="E204" s="1368" t="s">
        <v>268</v>
      </c>
      <c r="F204" s="267" t="s">
        <v>59</v>
      </c>
      <c r="G204" s="286"/>
      <c r="H204" s="1569" t="s">
        <v>241</v>
      </c>
      <c r="I204" s="1102" t="s">
        <v>20</v>
      </c>
      <c r="J204" s="308"/>
      <c r="K204" s="467"/>
      <c r="L204" s="478"/>
      <c r="M204" s="473">
        <v>30</v>
      </c>
      <c r="N204" s="750" t="s">
        <v>267</v>
      </c>
      <c r="O204" s="531"/>
      <c r="P204" s="554"/>
      <c r="Q204" s="523"/>
      <c r="R204" s="546">
        <v>1</v>
      </c>
    </row>
    <row r="205" spans="1:20" s="1" customFormat="1" ht="28.95" customHeight="1" x14ac:dyDescent="0.25">
      <c r="A205" s="941"/>
      <c r="B205" s="938"/>
      <c r="C205" s="928"/>
      <c r="D205" s="517"/>
      <c r="E205" s="1369"/>
      <c r="F205" s="312" t="s">
        <v>213</v>
      </c>
      <c r="G205" s="287"/>
      <c r="H205" s="1582"/>
      <c r="I205" s="1105"/>
      <c r="J205" s="280"/>
      <c r="K205" s="468"/>
      <c r="L205" s="479"/>
      <c r="M205" s="474"/>
      <c r="N205" s="375"/>
      <c r="O205" s="568"/>
      <c r="P205" s="1106"/>
      <c r="Q205" s="805"/>
      <c r="R205" s="601"/>
    </row>
    <row r="206" spans="1:20" s="1" customFormat="1" ht="43.5" customHeight="1" x14ac:dyDescent="0.25">
      <c r="A206" s="941"/>
      <c r="B206" s="938"/>
      <c r="C206" s="928"/>
      <c r="D206" s="211"/>
      <c r="E206" s="529" t="s">
        <v>265</v>
      </c>
      <c r="F206" s="518"/>
      <c r="G206" s="1104"/>
      <c r="H206" s="935"/>
      <c r="I206" s="284"/>
      <c r="J206" s="513"/>
      <c r="K206" s="514"/>
      <c r="L206" s="515"/>
      <c r="M206" s="516"/>
      <c r="N206" s="379" t="s">
        <v>266</v>
      </c>
      <c r="O206" s="535"/>
      <c r="P206" s="35"/>
      <c r="Q206" s="805"/>
      <c r="R206" s="601"/>
    </row>
    <row r="207" spans="1:20" s="2" customFormat="1" ht="16.5" customHeight="1" thickBot="1" x14ac:dyDescent="0.35">
      <c r="A207" s="951"/>
      <c r="B207" s="947"/>
      <c r="C207" s="70"/>
      <c r="D207" s="224"/>
      <c r="E207" s="1427" t="s">
        <v>31</v>
      </c>
      <c r="F207" s="1428"/>
      <c r="G207" s="1428"/>
      <c r="H207" s="1428"/>
      <c r="I207" s="1428"/>
      <c r="J207" s="794">
        <f>SUM(J181:J206)</f>
        <v>778.9</v>
      </c>
      <c r="K207" s="153">
        <f>SUM(K181:K206)</f>
        <v>645.49999999999989</v>
      </c>
      <c r="L207" s="500">
        <f>SUM(L181:L206)</f>
        <v>741</v>
      </c>
      <c r="M207" s="865">
        <f>SUM(M181:M206)</f>
        <v>1268.0999999999999</v>
      </c>
      <c r="N207" s="1546"/>
      <c r="O207" s="1547"/>
      <c r="P207" s="1547"/>
      <c r="Q207" s="1547"/>
      <c r="R207" s="1548"/>
    </row>
    <row r="208" spans="1:20" s="2" customFormat="1" ht="16.5" customHeight="1" thickBot="1" x14ac:dyDescent="0.35">
      <c r="A208" s="107" t="s">
        <v>13</v>
      </c>
      <c r="B208" s="28" t="s">
        <v>35</v>
      </c>
      <c r="C208" s="1549" t="s">
        <v>39</v>
      </c>
      <c r="D208" s="1550"/>
      <c r="E208" s="1550"/>
      <c r="F208" s="1550"/>
      <c r="G208" s="1550"/>
      <c r="H208" s="1550"/>
      <c r="I208" s="1550"/>
      <c r="J208" s="333">
        <f>J207</f>
        <v>778.9</v>
      </c>
      <c r="K208" s="446">
        <f t="shared" ref="K208:M208" si="18">K207</f>
        <v>645.49999999999989</v>
      </c>
      <c r="L208" s="463">
        <f t="shared" si="18"/>
        <v>741</v>
      </c>
      <c r="M208" s="436">
        <f t="shared" si="18"/>
        <v>1268.0999999999999</v>
      </c>
      <c r="N208" s="1508"/>
      <c r="O208" s="1509"/>
      <c r="P208" s="1509"/>
      <c r="Q208" s="1509"/>
      <c r="R208" s="1510"/>
    </row>
    <row r="209" spans="1:20" s="1" customFormat="1" ht="16.5" customHeight="1" thickBot="1" x14ac:dyDescent="0.3">
      <c r="A209" s="107" t="s">
        <v>13</v>
      </c>
      <c r="B209" s="28" t="s">
        <v>37</v>
      </c>
      <c r="C209" s="1558" t="s">
        <v>60</v>
      </c>
      <c r="D209" s="1388"/>
      <c r="E209" s="1388"/>
      <c r="F209" s="1388"/>
      <c r="G209" s="1388"/>
      <c r="H209" s="1388"/>
      <c r="I209" s="1388"/>
      <c r="J209" s="1388"/>
      <c r="K209" s="1388"/>
      <c r="L209" s="1388"/>
      <c r="M209" s="1388"/>
      <c r="N209" s="1388"/>
      <c r="O209" s="1388"/>
      <c r="P209" s="1388"/>
      <c r="Q209" s="1388"/>
      <c r="R209" s="1390"/>
    </row>
    <row r="210" spans="1:20" s="1" customFormat="1" ht="18" customHeight="1" x14ac:dyDescent="0.25">
      <c r="A210" s="950" t="s">
        <v>13</v>
      </c>
      <c r="B210" s="952" t="s">
        <v>37</v>
      </c>
      <c r="C210" s="927" t="s">
        <v>13</v>
      </c>
      <c r="D210" s="215"/>
      <c r="E210" s="29" t="s">
        <v>61</v>
      </c>
      <c r="F210" s="54"/>
      <c r="G210" s="36"/>
      <c r="H210" s="936"/>
      <c r="I210" s="282"/>
      <c r="J210" s="103"/>
      <c r="K210" s="103"/>
      <c r="L210" s="457"/>
      <c r="M210" s="480"/>
      <c r="N210" s="63"/>
      <c r="O210" s="583"/>
      <c r="P210" s="685"/>
      <c r="Q210" s="653"/>
      <c r="R210" s="621"/>
    </row>
    <row r="211" spans="1:20" s="1" customFormat="1" ht="17.25" customHeight="1" x14ac:dyDescent="0.25">
      <c r="A211" s="941"/>
      <c r="B211" s="938"/>
      <c r="C211" s="928"/>
      <c r="D211" s="216" t="s">
        <v>13</v>
      </c>
      <c r="E211" s="1368" t="s">
        <v>282</v>
      </c>
      <c r="F211" s="1542"/>
      <c r="G211" s="841">
        <v>5</v>
      </c>
      <c r="H211" s="1524" t="s">
        <v>223</v>
      </c>
      <c r="I211" s="85" t="s">
        <v>175</v>
      </c>
      <c r="J211" s="842">
        <v>30</v>
      </c>
      <c r="K211" s="842">
        <f>30+8.7</f>
        <v>38.700000000000003</v>
      </c>
      <c r="L211" s="977">
        <f>70-8.7+23.3</f>
        <v>84.6</v>
      </c>
      <c r="M211" s="1086">
        <v>948.3</v>
      </c>
      <c r="N211" s="797" t="s">
        <v>212</v>
      </c>
      <c r="O211" s="537"/>
      <c r="P211" s="559">
        <v>0.5</v>
      </c>
      <c r="Q211" s="551">
        <v>1</v>
      </c>
      <c r="R211" s="546"/>
    </row>
    <row r="212" spans="1:20" s="1" customFormat="1" ht="19.5" customHeight="1" x14ac:dyDescent="0.25">
      <c r="A212" s="941"/>
      <c r="B212" s="938"/>
      <c r="C212" s="928"/>
      <c r="D212" s="211"/>
      <c r="E212" s="1369"/>
      <c r="F212" s="1543"/>
      <c r="G212" s="137"/>
      <c r="H212" s="1544"/>
      <c r="I212" s="35"/>
      <c r="J212" s="297"/>
      <c r="K212" s="297"/>
      <c r="L212" s="499"/>
      <c r="M212" s="483"/>
      <c r="N212" s="811" t="s">
        <v>294</v>
      </c>
      <c r="O212" s="537"/>
      <c r="P212" s="559"/>
      <c r="Q212" s="551"/>
      <c r="R212" s="546">
        <v>30</v>
      </c>
      <c r="T212" s="25"/>
    </row>
    <row r="213" spans="1:20" s="1" customFormat="1" ht="13.95" customHeight="1" x14ac:dyDescent="0.25">
      <c r="A213" s="941"/>
      <c r="B213" s="938"/>
      <c r="C213" s="928"/>
      <c r="D213" s="211"/>
      <c r="E213" s="1369"/>
      <c r="F213" s="128" t="s">
        <v>213</v>
      </c>
      <c r="G213" s="137"/>
      <c r="H213" s="914"/>
      <c r="I213" s="289"/>
      <c r="J213" s="849"/>
      <c r="K213" s="849"/>
      <c r="L213" s="850"/>
      <c r="M213" s="851"/>
      <c r="N213" s="304"/>
      <c r="O213" s="535"/>
      <c r="P213" s="557"/>
      <c r="Q213" s="512"/>
      <c r="R213" s="544"/>
    </row>
    <row r="214" spans="1:20" s="1" customFormat="1" ht="13.95" customHeight="1" x14ac:dyDescent="0.25">
      <c r="A214" s="941"/>
      <c r="B214" s="938"/>
      <c r="C214" s="928"/>
      <c r="D214" s="212"/>
      <c r="E214" s="1369"/>
      <c r="F214" s="128" t="s">
        <v>59</v>
      </c>
      <c r="G214" s="137"/>
      <c r="H214" s="914"/>
      <c r="I214" s="86" t="s">
        <v>24</v>
      </c>
      <c r="J214" s="8">
        <f>SUM(J211:J213)</f>
        <v>30</v>
      </c>
      <c r="K214" s="8">
        <f t="shared" ref="K214:M214" si="19">SUM(K211:K213)</f>
        <v>38.700000000000003</v>
      </c>
      <c r="L214" s="407">
        <f t="shared" si="19"/>
        <v>84.6</v>
      </c>
      <c r="M214" s="390">
        <f t="shared" si="19"/>
        <v>948.3</v>
      </c>
      <c r="N214" s="848"/>
      <c r="O214" s="683"/>
      <c r="P214" s="686"/>
      <c r="Q214" s="693"/>
      <c r="R214" s="689"/>
    </row>
    <row r="215" spans="1:20" s="1" customFormat="1" ht="17.25" customHeight="1" x14ac:dyDescent="0.25">
      <c r="A215" s="941"/>
      <c r="B215" s="938"/>
      <c r="C215" s="928"/>
      <c r="D215" s="211" t="s">
        <v>32</v>
      </c>
      <c r="E215" s="1368" t="s">
        <v>115</v>
      </c>
      <c r="F215" s="1542"/>
      <c r="G215" s="137">
        <v>5</v>
      </c>
      <c r="H215" s="1524" t="s">
        <v>223</v>
      </c>
      <c r="I215" s="85" t="s">
        <v>180</v>
      </c>
      <c r="J215" s="278">
        <v>270.60000000000002</v>
      </c>
      <c r="K215" s="278">
        <v>27</v>
      </c>
      <c r="L215" s="497"/>
      <c r="M215" s="481"/>
      <c r="N215" s="298" t="s">
        <v>62</v>
      </c>
      <c r="O215" s="536">
        <v>100</v>
      </c>
      <c r="P215" s="558">
        <v>100</v>
      </c>
      <c r="Q215" s="550"/>
      <c r="R215" s="545"/>
    </row>
    <row r="216" spans="1:20" s="1" customFormat="1" ht="18.75" customHeight="1" x14ac:dyDescent="0.25">
      <c r="A216" s="941"/>
      <c r="B216" s="938"/>
      <c r="C216" s="928"/>
      <c r="D216" s="211"/>
      <c r="E216" s="1369"/>
      <c r="F216" s="1543"/>
      <c r="G216" s="137"/>
      <c r="H216" s="1544"/>
      <c r="I216" s="85" t="s">
        <v>175</v>
      </c>
      <c r="J216" s="279">
        <v>270</v>
      </c>
      <c r="K216" s="279">
        <v>211.3</v>
      </c>
      <c r="L216" s="498"/>
      <c r="M216" s="482"/>
      <c r="N216" s="1501" t="s">
        <v>224</v>
      </c>
      <c r="O216" s="537" t="s">
        <v>218</v>
      </c>
      <c r="P216" s="559" t="s">
        <v>218</v>
      </c>
      <c r="Q216" s="551"/>
      <c r="R216" s="546"/>
    </row>
    <row r="217" spans="1:20" s="1" customFormat="1" ht="15.75" customHeight="1" x14ac:dyDescent="0.25">
      <c r="A217" s="941"/>
      <c r="B217" s="938"/>
      <c r="C217" s="928"/>
      <c r="D217" s="211"/>
      <c r="E217" s="1369"/>
      <c r="F217" s="128" t="s">
        <v>213</v>
      </c>
      <c r="G217" s="344"/>
      <c r="H217" s="914"/>
      <c r="I217" s="9" t="s">
        <v>127</v>
      </c>
      <c r="J217" s="297">
        <v>2060</v>
      </c>
      <c r="K217" s="297">
        <f>220.4+87.6-308</f>
        <v>0</v>
      </c>
      <c r="L217" s="499"/>
      <c r="M217" s="483"/>
      <c r="N217" s="1516"/>
      <c r="O217" s="534"/>
      <c r="P217" s="556"/>
      <c r="Q217" s="510"/>
      <c r="R217" s="543"/>
    </row>
    <row r="218" spans="1:20" s="1" customFormat="1" ht="15.75" customHeight="1" x14ac:dyDescent="0.25">
      <c r="A218" s="1075"/>
      <c r="B218" s="1074"/>
      <c r="C218" s="1072"/>
      <c r="D218" s="211"/>
      <c r="E218" s="1369"/>
      <c r="F218" s="1596" t="s">
        <v>59</v>
      </c>
      <c r="G218" s="344"/>
      <c r="H218" s="1073"/>
      <c r="I218" s="9" t="s">
        <v>134</v>
      </c>
      <c r="J218" s="278"/>
      <c r="K218" s="1085">
        <v>328</v>
      </c>
      <c r="L218" s="497"/>
      <c r="M218" s="1084"/>
      <c r="N218" s="1516"/>
      <c r="O218" s="534"/>
      <c r="P218" s="556"/>
      <c r="Q218" s="510"/>
      <c r="R218" s="543"/>
    </row>
    <row r="219" spans="1:20" s="1" customFormat="1" ht="14.25" customHeight="1" x14ac:dyDescent="0.25">
      <c r="A219" s="941"/>
      <c r="B219" s="938"/>
      <c r="C219" s="928"/>
      <c r="D219" s="211"/>
      <c r="E219" s="1503"/>
      <c r="F219" s="1597"/>
      <c r="G219" s="344"/>
      <c r="H219" s="914"/>
      <c r="I219" s="86" t="s">
        <v>24</v>
      </c>
      <c r="J219" s="8">
        <f>SUM(J215:J218)</f>
        <v>2600.6</v>
      </c>
      <c r="K219" s="8">
        <f>SUM(K215:K218)</f>
        <v>566.29999999999995</v>
      </c>
      <c r="L219" s="407">
        <f t="shared" ref="L219:M219" si="20">SUM(L215:L217)</f>
        <v>0</v>
      </c>
      <c r="M219" s="390">
        <f t="shared" si="20"/>
        <v>0</v>
      </c>
      <c r="N219" s="1516"/>
      <c r="O219" s="683"/>
      <c r="P219" s="686"/>
      <c r="Q219" s="693"/>
      <c r="R219" s="689"/>
    </row>
    <row r="220" spans="1:20" s="1" customFormat="1" ht="17.7" customHeight="1" x14ac:dyDescent="0.25">
      <c r="A220" s="941"/>
      <c r="B220" s="938"/>
      <c r="C220" s="928"/>
      <c r="D220" s="216"/>
      <c r="E220" s="1368" t="s">
        <v>216</v>
      </c>
      <c r="F220" s="1542"/>
      <c r="G220" s="841">
        <v>5</v>
      </c>
      <c r="H220" s="1524" t="s">
        <v>241</v>
      </c>
      <c r="I220" s="85" t="s">
        <v>20</v>
      </c>
      <c r="J220" s="842"/>
      <c r="K220" s="842"/>
      <c r="L220" s="843"/>
      <c r="M220" s="844"/>
      <c r="N220" s="298" t="s">
        <v>212</v>
      </c>
      <c r="O220" s="536">
        <v>1</v>
      </c>
      <c r="P220" s="558"/>
      <c r="Q220" s="550"/>
      <c r="R220" s="545"/>
    </row>
    <row r="221" spans="1:20" s="1" customFormat="1" ht="17.7" customHeight="1" x14ac:dyDescent="0.25">
      <c r="A221" s="941"/>
      <c r="B221" s="938"/>
      <c r="C221" s="928"/>
      <c r="D221" s="211"/>
      <c r="E221" s="1369"/>
      <c r="F221" s="1543"/>
      <c r="G221" s="137"/>
      <c r="H221" s="1544"/>
      <c r="I221" s="170" t="s">
        <v>124</v>
      </c>
      <c r="J221" s="845">
        <v>63.6</v>
      </c>
      <c r="K221" s="845"/>
      <c r="L221" s="846"/>
      <c r="M221" s="847"/>
      <c r="N221" s="304" t="s">
        <v>136</v>
      </c>
      <c r="O221" s="535">
        <v>100</v>
      </c>
      <c r="P221" s="557"/>
      <c r="Q221" s="512"/>
      <c r="R221" s="544"/>
    </row>
    <row r="222" spans="1:20" s="1" customFormat="1" ht="15.75" customHeight="1" x14ac:dyDescent="0.25">
      <c r="A222" s="941"/>
      <c r="B222" s="938"/>
      <c r="C222" s="928"/>
      <c r="D222" s="211"/>
      <c r="E222" s="1503"/>
      <c r="F222" s="128" t="s">
        <v>59</v>
      </c>
      <c r="G222" s="344"/>
      <c r="H222" s="1545"/>
      <c r="I222" s="86" t="s">
        <v>24</v>
      </c>
      <c r="J222" s="8">
        <f>SUM(J220:J221)</f>
        <v>63.6</v>
      </c>
      <c r="K222" s="8">
        <f t="shared" ref="K222:M222" si="21">SUM(K220:K221)</f>
        <v>0</v>
      </c>
      <c r="L222" s="407">
        <f t="shared" si="21"/>
        <v>0</v>
      </c>
      <c r="M222" s="390">
        <f t="shared" si="21"/>
        <v>0</v>
      </c>
      <c r="N222" s="848"/>
      <c r="O222" s="683"/>
      <c r="P222" s="686"/>
      <c r="Q222" s="693"/>
      <c r="R222" s="689"/>
    </row>
    <row r="223" spans="1:20" s="1" customFormat="1" ht="15" customHeight="1" thickBot="1" x14ac:dyDescent="0.3">
      <c r="A223" s="951"/>
      <c r="B223" s="947"/>
      <c r="C223" s="929"/>
      <c r="D223" s="213"/>
      <c r="E223" s="1576" t="s">
        <v>31</v>
      </c>
      <c r="F223" s="1577"/>
      <c r="G223" s="1577"/>
      <c r="H223" s="1577"/>
      <c r="I223" s="1578"/>
      <c r="J223" s="153">
        <f>J214+J219+J222</f>
        <v>2694.2</v>
      </c>
      <c r="K223" s="153">
        <f>K214+K219+K222</f>
        <v>605</v>
      </c>
      <c r="L223" s="500">
        <f>L214+L219+L222</f>
        <v>84.6</v>
      </c>
      <c r="M223" s="484">
        <f>M214+M219+M222</f>
        <v>948.3</v>
      </c>
      <c r="N223" s="795"/>
      <c r="O223" s="684"/>
      <c r="P223" s="687"/>
      <c r="Q223" s="694"/>
      <c r="R223" s="690"/>
    </row>
    <row r="224" spans="1:20" s="1" customFormat="1" ht="18" customHeight="1" x14ac:dyDescent="0.25">
      <c r="A224" s="941" t="s">
        <v>13</v>
      </c>
      <c r="B224" s="938" t="s">
        <v>37</v>
      </c>
      <c r="C224" s="69" t="s">
        <v>32</v>
      </c>
      <c r="D224" s="223"/>
      <c r="E224" s="1579" t="s">
        <v>63</v>
      </c>
      <c r="F224" s="1580"/>
      <c r="G224" s="933" t="s">
        <v>17</v>
      </c>
      <c r="H224" s="1533" t="s">
        <v>254</v>
      </c>
      <c r="I224" s="7"/>
      <c r="J224" s="178"/>
      <c r="K224" s="491"/>
      <c r="L224" s="501"/>
      <c r="M224" s="485"/>
      <c r="N224" s="953"/>
      <c r="O224" s="116"/>
      <c r="P224" s="584"/>
      <c r="Q224" s="654"/>
      <c r="R224" s="622"/>
    </row>
    <row r="225" spans="1:20" s="1" customFormat="1" ht="18" customHeight="1" x14ac:dyDescent="0.25">
      <c r="A225" s="941"/>
      <c r="B225" s="938"/>
      <c r="C225" s="69"/>
      <c r="D225" s="223"/>
      <c r="E225" s="1579"/>
      <c r="F225" s="1581"/>
      <c r="G225" s="933"/>
      <c r="H225" s="1534"/>
      <c r="I225" s="7" t="s">
        <v>86</v>
      </c>
      <c r="J225" s="199">
        <v>219.9</v>
      </c>
      <c r="K225" s="1101">
        <v>234.5</v>
      </c>
      <c r="L225" s="460"/>
      <c r="M225" s="432"/>
      <c r="N225" s="953"/>
      <c r="O225" s="116"/>
      <c r="P225" s="584"/>
      <c r="Q225" s="654"/>
      <c r="R225" s="622"/>
    </row>
    <row r="226" spans="1:20" s="1" customFormat="1" ht="18" customHeight="1" x14ac:dyDescent="0.25">
      <c r="A226" s="941"/>
      <c r="B226" s="938"/>
      <c r="C226" s="69"/>
      <c r="D226" s="223"/>
      <c r="E226" s="1579"/>
      <c r="F226" s="1581"/>
      <c r="G226" s="933"/>
      <c r="H226" s="1534"/>
      <c r="I226" s="119"/>
      <c r="J226" s="183"/>
      <c r="K226" s="492"/>
      <c r="L226" s="502"/>
      <c r="M226" s="486"/>
      <c r="N226" s="953"/>
      <c r="O226" s="116"/>
      <c r="P226" s="584"/>
      <c r="Q226" s="654"/>
      <c r="R226" s="622"/>
      <c r="T226" s="25"/>
    </row>
    <row r="227" spans="1:20" s="1" customFormat="1" ht="21" customHeight="1" x14ac:dyDescent="0.25">
      <c r="A227" s="941"/>
      <c r="B227" s="938"/>
      <c r="C227" s="69"/>
      <c r="D227" s="226" t="s">
        <v>13</v>
      </c>
      <c r="E227" s="1561" t="s">
        <v>64</v>
      </c>
      <c r="F227" s="1581"/>
      <c r="G227" s="933"/>
      <c r="H227" s="72"/>
      <c r="I227" s="7" t="s">
        <v>42</v>
      </c>
      <c r="J227" s="182">
        <v>461.3</v>
      </c>
      <c r="K227" s="444">
        <v>462.3</v>
      </c>
      <c r="L227" s="461">
        <v>400</v>
      </c>
      <c r="M227" s="433">
        <v>400</v>
      </c>
      <c r="N227" s="781" t="s">
        <v>173</v>
      </c>
      <c r="O227" s="782">
        <v>35</v>
      </c>
      <c r="P227" s="783">
        <v>30</v>
      </c>
      <c r="Q227" s="784">
        <v>30</v>
      </c>
      <c r="R227" s="741">
        <v>30</v>
      </c>
    </row>
    <row r="228" spans="1:20" s="1" customFormat="1" ht="21" customHeight="1" x14ac:dyDescent="0.25">
      <c r="A228" s="941"/>
      <c r="B228" s="938"/>
      <c r="C228" s="69"/>
      <c r="D228" s="225"/>
      <c r="E228" s="1562"/>
      <c r="F228" s="151"/>
      <c r="G228" s="933"/>
      <c r="H228" s="72"/>
      <c r="I228" s="119"/>
      <c r="J228" s="246"/>
      <c r="K228" s="493"/>
      <c r="L228" s="503"/>
      <c r="M228" s="487"/>
      <c r="N228" s="152"/>
      <c r="O228" s="249"/>
      <c r="P228" s="703"/>
      <c r="Q228" s="695"/>
      <c r="R228" s="691"/>
    </row>
    <row r="229" spans="1:20" s="1" customFormat="1" ht="33.75" customHeight="1" x14ac:dyDescent="0.25">
      <c r="A229" s="941"/>
      <c r="B229" s="938"/>
      <c r="C229" s="69"/>
      <c r="D229" s="223" t="s">
        <v>32</v>
      </c>
      <c r="E229" s="1561" t="s">
        <v>65</v>
      </c>
      <c r="F229" s="82"/>
      <c r="G229" s="933"/>
      <c r="H229" s="72"/>
      <c r="I229" s="7" t="s">
        <v>42</v>
      </c>
      <c r="J229" s="183">
        <v>130</v>
      </c>
      <c r="K229" s="492">
        <v>131</v>
      </c>
      <c r="L229" s="502">
        <v>150</v>
      </c>
      <c r="M229" s="486">
        <v>160</v>
      </c>
      <c r="N229" s="1551" t="s">
        <v>98</v>
      </c>
      <c r="O229" s="782">
        <v>240</v>
      </c>
      <c r="P229" s="783">
        <v>250</v>
      </c>
      <c r="Q229" s="784">
        <v>260</v>
      </c>
      <c r="R229" s="741">
        <v>270</v>
      </c>
    </row>
    <row r="230" spans="1:20" s="1" customFormat="1" ht="33.75" customHeight="1" x14ac:dyDescent="0.25">
      <c r="A230" s="941"/>
      <c r="B230" s="938"/>
      <c r="C230" s="69"/>
      <c r="D230" s="223"/>
      <c r="E230" s="1562"/>
      <c r="F230" s="55"/>
      <c r="G230" s="933"/>
      <c r="H230" s="72"/>
      <c r="I230" s="119"/>
      <c r="J230" s="183"/>
      <c r="K230" s="492"/>
      <c r="L230" s="502"/>
      <c r="M230" s="486"/>
      <c r="N230" s="1556"/>
      <c r="O230" s="249"/>
      <c r="P230" s="703"/>
      <c r="Q230" s="695"/>
      <c r="R230" s="691"/>
    </row>
    <row r="231" spans="1:20" s="1" customFormat="1" ht="28.5" customHeight="1" x14ac:dyDescent="0.25">
      <c r="A231" s="941"/>
      <c r="B231" s="938"/>
      <c r="C231" s="69"/>
      <c r="D231" s="226" t="s">
        <v>35</v>
      </c>
      <c r="E231" s="1561" t="s">
        <v>66</v>
      </c>
      <c r="F231" s="55"/>
      <c r="G231" s="933"/>
      <c r="H231" s="72"/>
      <c r="I231" s="7" t="s">
        <v>42</v>
      </c>
      <c r="J231" s="182">
        <v>30</v>
      </c>
      <c r="K231" s="444">
        <v>32</v>
      </c>
      <c r="L231" s="461">
        <v>30</v>
      </c>
      <c r="M231" s="433">
        <v>30</v>
      </c>
      <c r="N231" s="1551" t="s">
        <v>99</v>
      </c>
      <c r="O231" s="782">
        <v>35</v>
      </c>
      <c r="P231" s="783">
        <v>35</v>
      </c>
      <c r="Q231" s="784">
        <v>35</v>
      </c>
      <c r="R231" s="741">
        <v>35</v>
      </c>
    </row>
    <row r="232" spans="1:20" s="1" customFormat="1" ht="28.5" customHeight="1" x14ac:dyDescent="0.25">
      <c r="A232" s="941"/>
      <c r="B232" s="938"/>
      <c r="C232" s="69"/>
      <c r="D232" s="223"/>
      <c r="E232" s="1562"/>
      <c r="F232" s="55"/>
      <c r="G232" s="933"/>
      <c r="H232" s="72"/>
      <c r="I232" s="119"/>
      <c r="J232" s="246"/>
      <c r="K232" s="493"/>
      <c r="L232" s="503"/>
      <c r="M232" s="487"/>
      <c r="N232" s="1552"/>
      <c r="O232" s="249"/>
      <c r="P232" s="703"/>
      <c r="Q232" s="695"/>
      <c r="R232" s="691"/>
    </row>
    <row r="233" spans="1:20" s="1" customFormat="1" ht="15" customHeight="1" x14ac:dyDescent="0.25">
      <c r="A233" s="941"/>
      <c r="B233" s="938"/>
      <c r="C233" s="69"/>
      <c r="D233" s="226" t="s">
        <v>37</v>
      </c>
      <c r="E233" s="1561" t="s">
        <v>67</v>
      </c>
      <c r="F233" s="55"/>
      <c r="G233" s="933"/>
      <c r="H233" s="72"/>
      <c r="I233" s="7" t="s">
        <v>42</v>
      </c>
      <c r="J233" s="183">
        <v>240</v>
      </c>
      <c r="K233" s="492">
        <v>237</v>
      </c>
      <c r="L233" s="502">
        <v>240</v>
      </c>
      <c r="M233" s="486">
        <v>240</v>
      </c>
      <c r="N233" s="1551" t="s">
        <v>68</v>
      </c>
      <c r="O233" s="782">
        <v>94</v>
      </c>
      <c r="P233" s="783">
        <v>95</v>
      </c>
      <c r="Q233" s="784">
        <v>95</v>
      </c>
      <c r="R233" s="741">
        <v>95</v>
      </c>
    </row>
    <row r="234" spans="1:20" s="1" customFormat="1" ht="15" customHeight="1" x14ac:dyDescent="0.25">
      <c r="A234" s="941"/>
      <c r="B234" s="938"/>
      <c r="C234" s="69"/>
      <c r="D234" s="223"/>
      <c r="E234" s="1562"/>
      <c r="F234" s="55"/>
      <c r="G234" s="933"/>
      <c r="H234" s="72"/>
      <c r="I234" s="119"/>
      <c r="J234" s="183"/>
      <c r="K234" s="492"/>
      <c r="L234" s="502"/>
      <c r="M234" s="486"/>
      <c r="N234" s="1552"/>
      <c r="O234" s="249"/>
      <c r="P234" s="703"/>
      <c r="Q234" s="695"/>
      <c r="R234" s="691"/>
    </row>
    <row r="235" spans="1:20" s="1" customFormat="1" ht="40.5" customHeight="1" x14ac:dyDescent="0.25">
      <c r="A235" s="941"/>
      <c r="B235" s="938"/>
      <c r="C235" s="69"/>
      <c r="D235" s="227" t="s">
        <v>38</v>
      </c>
      <c r="E235" s="307" t="s">
        <v>69</v>
      </c>
      <c r="F235" s="82"/>
      <c r="G235" s="933"/>
      <c r="H235" s="72"/>
      <c r="I235" s="7" t="s">
        <v>34</v>
      </c>
      <c r="J235" s="247">
        <v>6.6</v>
      </c>
      <c r="K235" s="785">
        <v>6.6</v>
      </c>
      <c r="L235" s="786">
        <v>6.6</v>
      </c>
      <c r="M235" s="787">
        <v>6.6</v>
      </c>
      <c r="N235" s="127" t="s">
        <v>154</v>
      </c>
      <c r="O235" s="129">
        <v>12</v>
      </c>
      <c r="P235" s="697">
        <v>12</v>
      </c>
      <c r="Q235" s="522">
        <v>12</v>
      </c>
      <c r="R235" s="595">
        <v>12</v>
      </c>
    </row>
    <row r="236" spans="1:20" s="1" customFormat="1" ht="22.5" customHeight="1" x14ac:dyDescent="0.25">
      <c r="A236" s="941"/>
      <c r="B236" s="938"/>
      <c r="C236" s="69"/>
      <c r="D236" s="223" t="s">
        <v>55</v>
      </c>
      <c r="E236" s="1554" t="s">
        <v>70</v>
      </c>
      <c r="F236" s="55"/>
      <c r="G236" s="933"/>
      <c r="H236" s="72"/>
      <c r="I236" s="7" t="s">
        <v>42</v>
      </c>
      <c r="J236" s="183">
        <v>160</v>
      </c>
      <c r="K236" s="492">
        <v>157</v>
      </c>
      <c r="L236" s="502">
        <v>160</v>
      </c>
      <c r="M236" s="486">
        <v>160</v>
      </c>
      <c r="N236" s="1556" t="s">
        <v>71</v>
      </c>
      <c r="O236" s="249">
        <v>100</v>
      </c>
      <c r="P236" s="703">
        <v>100</v>
      </c>
      <c r="Q236" s="695">
        <v>100</v>
      </c>
      <c r="R236" s="691">
        <v>100</v>
      </c>
    </row>
    <row r="237" spans="1:20" s="1" customFormat="1" ht="22.5" customHeight="1" x14ac:dyDescent="0.25">
      <c r="A237" s="109"/>
      <c r="B237" s="938"/>
      <c r="C237" s="69"/>
      <c r="D237" s="223"/>
      <c r="E237" s="1554"/>
      <c r="F237" s="55"/>
      <c r="G237" s="933"/>
      <c r="H237" s="72"/>
      <c r="I237" s="119"/>
      <c r="J237" s="183"/>
      <c r="K237" s="492"/>
      <c r="L237" s="502"/>
      <c r="M237" s="486"/>
      <c r="N237" s="1556"/>
      <c r="O237" s="249"/>
      <c r="P237" s="788"/>
      <c r="Q237" s="695"/>
      <c r="R237" s="691"/>
    </row>
    <row r="238" spans="1:20" s="1" customFormat="1" ht="13.5" customHeight="1" thickBot="1" x14ac:dyDescent="0.3">
      <c r="A238" s="110" t="s">
        <v>107</v>
      </c>
      <c r="B238" s="947"/>
      <c r="C238" s="70"/>
      <c r="D238" s="224"/>
      <c r="E238" s="1555"/>
      <c r="F238" s="56"/>
      <c r="G238" s="934"/>
      <c r="H238" s="273"/>
      <c r="I238" s="84" t="s">
        <v>24</v>
      </c>
      <c r="J238" s="184">
        <f t="shared" ref="J238" si="22">SUM(J224:J236)</f>
        <v>1247.8</v>
      </c>
      <c r="K238" s="12">
        <f>SUM(K224:K236)</f>
        <v>1260.3999999999999</v>
      </c>
      <c r="L238" s="414">
        <f>SUM(L227:L236)</f>
        <v>986.6</v>
      </c>
      <c r="M238" s="396">
        <f>SUM(M224:M236)</f>
        <v>996.6</v>
      </c>
      <c r="N238" s="1557"/>
      <c r="O238" s="789"/>
      <c r="P238" s="790"/>
      <c r="Q238" s="791"/>
      <c r="R238" s="792"/>
    </row>
    <row r="239" spans="1:20" s="1" customFormat="1" ht="52.5" customHeight="1" x14ac:dyDescent="0.25">
      <c r="A239" s="950" t="s">
        <v>13</v>
      </c>
      <c r="B239" s="952" t="s">
        <v>37</v>
      </c>
      <c r="C239" s="927" t="s">
        <v>35</v>
      </c>
      <c r="D239" s="215"/>
      <c r="E239" s="29" t="s">
        <v>72</v>
      </c>
      <c r="F239" s="54"/>
      <c r="G239" s="30"/>
      <c r="H239" s="935"/>
      <c r="I239" s="64"/>
      <c r="J239" s="178"/>
      <c r="K239" s="491"/>
      <c r="L239" s="501"/>
      <c r="M239" s="485"/>
      <c r="N239" s="63"/>
      <c r="O239" s="292"/>
      <c r="P239" s="583"/>
      <c r="Q239" s="653"/>
      <c r="R239" s="621"/>
    </row>
    <row r="240" spans="1:20" s="1" customFormat="1" ht="27.75" customHeight="1" x14ac:dyDescent="0.25">
      <c r="A240" s="941"/>
      <c r="B240" s="938"/>
      <c r="C240" s="928"/>
      <c r="D240" s="216" t="s">
        <v>13</v>
      </c>
      <c r="E240" s="1443" t="s">
        <v>123</v>
      </c>
      <c r="F240" s="82"/>
      <c r="G240" s="30">
        <v>1</v>
      </c>
      <c r="H240" s="728" t="s">
        <v>238</v>
      </c>
      <c r="I240" s="85" t="s">
        <v>34</v>
      </c>
      <c r="J240" s="181">
        <v>50</v>
      </c>
      <c r="K240" s="27">
        <v>50</v>
      </c>
      <c r="L240" s="402">
        <v>50</v>
      </c>
      <c r="M240" s="435"/>
      <c r="N240" s="961" t="s">
        <v>161</v>
      </c>
      <c r="O240" s="87">
        <v>1</v>
      </c>
      <c r="P240" s="688">
        <v>1</v>
      </c>
      <c r="Q240" s="696">
        <v>1</v>
      </c>
      <c r="R240" s="692"/>
    </row>
    <row r="241" spans="1:18" s="1" customFormat="1" ht="15" customHeight="1" thickBot="1" x14ac:dyDescent="0.3">
      <c r="A241" s="941"/>
      <c r="B241" s="938"/>
      <c r="C241" s="928"/>
      <c r="D241" s="213"/>
      <c r="E241" s="1444"/>
      <c r="F241" s="53"/>
      <c r="G241" s="39"/>
      <c r="H241" s="274"/>
      <c r="I241" s="86" t="s">
        <v>24</v>
      </c>
      <c r="J241" s="180">
        <f>SUM(J240:J240)</f>
        <v>50</v>
      </c>
      <c r="K241" s="8">
        <f t="shared" ref="K241:M241" si="23">SUM(K240:K240)</f>
        <v>50</v>
      </c>
      <c r="L241" s="407">
        <f t="shared" si="23"/>
        <v>50</v>
      </c>
      <c r="M241" s="397">
        <f t="shared" si="23"/>
        <v>0</v>
      </c>
      <c r="N241" s="295"/>
      <c r="O241" s="343"/>
      <c r="P241" s="684"/>
      <c r="Q241" s="694"/>
      <c r="R241" s="690"/>
    </row>
    <row r="242" spans="1:18" s="2" customFormat="1" ht="16.5" customHeight="1" thickBot="1" x14ac:dyDescent="0.35">
      <c r="A242" s="107" t="s">
        <v>13</v>
      </c>
      <c r="B242" s="4" t="s">
        <v>37</v>
      </c>
      <c r="C242" s="1550" t="s">
        <v>39</v>
      </c>
      <c r="D242" s="1550"/>
      <c r="E242" s="1550"/>
      <c r="F242" s="1550"/>
      <c r="G242" s="1550"/>
      <c r="H242" s="1550"/>
      <c r="I242" s="1550"/>
      <c r="J242" s="185">
        <f>+J241+J238+J223</f>
        <v>3992</v>
      </c>
      <c r="K242" s="494">
        <f t="shared" ref="K242:M242" si="24">+K241+K238+K223</f>
        <v>1915.3999999999999</v>
      </c>
      <c r="L242" s="504">
        <f>+L241+L238+L223</f>
        <v>1121.1999999999998</v>
      </c>
      <c r="M242" s="488">
        <f t="shared" si="24"/>
        <v>1944.9</v>
      </c>
      <c r="N242" s="1508"/>
      <c r="O242" s="1509"/>
      <c r="P242" s="1509"/>
      <c r="Q242" s="1509"/>
      <c r="R242" s="1510"/>
    </row>
    <row r="243" spans="1:18" s="1" customFormat="1" ht="16.5" customHeight="1" thickBot="1" x14ac:dyDescent="0.3">
      <c r="A243" s="951" t="s">
        <v>13</v>
      </c>
      <c r="B243" s="114"/>
      <c r="C243" s="1553" t="s">
        <v>73</v>
      </c>
      <c r="D243" s="1553"/>
      <c r="E243" s="1553"/>
      <c r="F243" s="1553"/>
      <c r="G243" s="1553"/>
      <c r="H243" s="1553"/>
      <c r="I243" s="1553"/>
      <c r="J243" s="186">
        <f>J242+J208+J178+J64</f>
        <v>64419.538</v>
      </c>
      <c r="K243" s="495">
        <f>K242+K208+K178+K64</f>
        <v>59035.900000000009</v>
      </c>
      <c r="L243" s="505">
        <f>L242+L208+L178+L64</f>
        <v>56670.3</v>
      </c>
      <c r="M243" s="489">
        <f>M242+M208+M178+M64</f>
        <v>58095.100000000006</v>
      </c>
      <c r="N243" s="1539"/>
      <c r="O243" s="1540"/>
      <c r="P243" s="1540"/>
      <c r="Q243" s="1540"/>
      <c r="R243" s="1541"/>
    </row>
    <row r="244" spans="1:18" s="2" customFormat="1" ht="16.5" customHeight="1" thickBot="1" x14ac:dyDescent="0.35">
      <c r="A244" s="115" t="s">
        <v>74</v>
      </c>
      <c r="B244" s="1559" t="s">
        <v>75</v>
      </c>
      <c r="C244" s="1560"/>
      <c r="D244" s="1560"/>
      <c r="E244" s="1560"/>
      <c r="F244" s="1560"/>
      <c r="G244" s="1560"/>
      <c r="H244" s="1560"/>
      <c r="I244" s="1560"/>
      <c r="J244" s="187">
        <f t="shared" ref="J244:M244" si="25">J243</f>
        <v>64419.538</v>
      </c>
      <c r="K244" s="496">
        <f t="shared" si="25"/>
        <v>59035.900000000009</v>
      </c>
      <c r="L244" s="506">
        <f t="shared" si="25"/>
        <v>56670.3</v>
      </c>
      <c r="M244" s="490">
        <f t="shared" si="25"/>
        <v>58095.100000000006</v>
      </c>
      <c r="N244" s="1621"/>
      <c r="O244" s="1622"/>
      <c r="P244" s="1622"/>
      <c r="Q244" s="1622"/>
      <c r="R244" s="1623"/>
    </row>
    <row r="245" spans="1:18" s="2" customFormat="1" ht="16.5" customHeight="1" x14ac:dyDescent="0.3">
      <c r="A245" s="1631" t="s">
        <v>283</v>
      </c>
      <c r="B245" s="1631"/>
      <c r="C245" s="1631"/>
      <c r="D245" s="1631"/>
      <c r="E245" s="1631"/>
      <c r="F245" s="1631"/>
      <c r="G245" s="1631"/>
      <c r="H245" s="1631"/>
      <c r="I245" s="1631"/>
      <c r="J245" s="1631"/>
      <c r="K245" s="1631"/>
      <c r="L245" s="1631"/>
      <c r="M245" s="1631"/>
      <c r="N245" s="1631"/>
      <c r="O245" s="1631"/>
      <c r="P245" s="1631"/>
      <c r="Q245" s="1631"/>
      <c r="R245" s="1631"/>
    </row>
    <row r="246" spans="1:18" s="25" customFormat="1" ht="21.75" customHeight="1" thickBot="1" x14ac:dyDescent="0.3">
      <c r="A246" s="1630" t="s">
        <v>76</v>
      </c>
      <c r="B246" s="1630"/>
      <c r="C246" s="1630"/>
      <c r="D246" s="1630"/>
      <c r="E246" s="1630"/>
      <c r="F246" s="1630"/>
      <c r="G246" s="1630"/>
      <c r="H246" s="1630"/>
      <c r="I246" s="1630"/>
      <c r="J246" s="1630"/>
      <c r="K246" s="1630"/>
      <c r="L246" s="1630"/>
      <c r="M246" s="1630"/>
      <c r="N246" s="31"/>
      <c r="O246" s="58"/>
      <c r="P246" s="58"/>
      <c r="Q246" s="58"/>
      <c r="R246" s="58"/>
    </row>
    <row r="247" spans="1:18" s="18" customFormat="1" ht="52.5" customHeight="1" thickBot="1" x14ac:dyDescent="0.35">
      <c r="A247" s="1624" t="s">
        <v>77</v>
      </c>
      <c r="B247" s="1625"/>
      <c r="C247" s="1625"/>
      <c r="D247" s="1625"/>
      <c r="E247" s="1625"/>
      <c r="F247" s="1625"/>
      <c r="G247" s="1625"/>
      <c r="H247" s="1626"/>
      <c r="I247" s="1626"/>
      <c r="J247" s="353" t="s">
        <v>255</v>
      </c>
      <c r="K247" s="1020" t="s">
        <v>256</v>
      </c>
      <c r="L247" s="1022" t="s">
        <v>257</v>
      </c>
      <c r="M247" s="1021" t="s">
        <v>258</v>
      </c>
      <c r="N247" s="303"/>
      <c r="O247" s="303"/>
      <c r="P247" s="303"/>
      <c r="Q247" s="303"/>
      <c r="R247" s="303"/>
    </row>
    <row r="248" spans="1:18" s="2" customFormat="1" ht="15.75" customHeight="1" x14ac:dyDescent="0.3">
      <c r="A248" s="1627" t="s">
        <v>78</v>
      </c>
      <c r="B248" s="1628"/>
      <c r="C248" s="1628"/>
      <c r="D248" s="1628"/>
      <c r="E248" s="1628"/>
      <c r="F248" s="1628"/>
      <c r="G248" s="1628"/>
      <c r="H248" s="1629"/>
      <c r="I248" s="1629"/>
      <c r="J248" s="281">
        <f t="shared" ref="J248:M248" si="26">+J249+J258+J259+J260+J261+J262</f>
        <v>25397.200000000001</v>
      </c>
      <c r="K248" s="886">
        <f t="shared" si="26"/>
        <v>23644.799999999999</v>
      </c>
      <c r="L248" s="902">
        <f t="shared" si="26"/>
        <v>21261.4</v>
      </c>
      <c r="M248" s="894">
        <f t="shared" si="26"/>
        <v>22800.399999999998</v>
      </c>
      <c r="N248" s="299"/>
      <c r="O248" s="299"/>
      <c r="P248" s="299"/>
      <c r="Q248" s="299"/>
      <c r="R248" s="299"/>
    </row>
    <row r="249" spans="1:18" s="2" customFormat="1" ht="15.75" customHeight="1" x14ac:dyDescent="0.3">
      <c r="A249" s="1567" t="s">
        <v>196</v>
      </c>
      <c r="B249" s="1568"/>
      <c r="C249" s="1568"/>
      <c r="D249" s="1568"/>
      <c r="E249" s="1568"/>
      <c r="F249" s="1568"/>
      <c r="G249" s="1568"/>
      <c r="H249" s="1568"/>
      <c r="I249" s="1568"/>
      <c r="J249" s="172">
        <f>SUM(J250:J257)</f>
        <v>23915.200000000001</v>
      </c>
      <c r="K249" s="887">
        <f t="shared" ref="K249:M249" si="27">SUM(K250:K257)</f>
        <v>21911.8</v>
      </c>
      <c r="L249" s="903">
        <f t="shared" si="27"/>
        <v>21261.4</v>
      </c>
      <c r="M249" s="895">
        <f t="shared" si="27"/>
        <v>22800.399999999998</v>
      </c>
      <c r="N249" s="299"/>
      <c r="O249" s="299"/>
      <c r="P249" s="299"/>
      <c r="Q249" s="299"/>
      <c r="R249" s="299"/>
    </row>
    <row r="250" spans="1:18" s="2" customFormat="1" ht="15.75" customHeight="1" x14ac:dyDescent="0.3">
      <c r="A250" s="1528" t="s">
        <v>79</v>
      </c>
      <c r="B250" s="1617"/>
      <c r="C250" s="1617"/>
      <c r="D250" s="1617"/>
      <c r="E250" s="1617"/>
      <c r="F250" s="1617"/>
      <c r="G250" s="1617"/>
      <c r="H250" s="1618"/>
      <c r="I250" s="1618"/>
      <c r="J250" s="173">
        <f>SUMIF(I13:I240,"sb",J13:J240)</f>
        <v>7918.1</v>
      </c>
      <c r="K250" s="855">
        <f>SUMIF(I13:I240,"sb",K13:K240)</f>
        <v>3984.8</v>
      </c>
      <c r="L250" s="507">
        <f>SUMIF(I13:I240,"sb",L13:L240)</f>
        <v>5181.3999999999996</v>
      </c>
      <c r="M250" s="857">
        <f>SUMIF(I13:I240,"sb",M13:M240)</f>
        <v>6199.4</v>
      </c>
      <c r="N250" s="302"/>
      <c r="O250" s="302"/>
      <c r="P250" s="302"/>
      <c r="Q250" s="302"/>
      <c r="R250" s="302"/>
    </row>
    <row r="251" spans="1:18" s="2" customFormat="1" ht="15.75" customHeight="1" x14ac:dyDescent="0.3">
      <c r="A251" s="1370" t="s">
        <v>288</v>
      </c>
      <c r="B251" s="1632"/>
      <c r="C251" s="1632"/>
      <c r="D251" s="1632"/>
      <c r="E251" s="1632"/>
      <c r="F251" s="1632"/>
      <c r="G251" s="1632"/>
      <c r="H251" s="1632"/>
      <c r="I251" s="1633"/>
      <c r="J251" s="190">
        <f>SUMIF(I13:I240,"sb(S)",J13:J240)</f>
        <v>2975.1</v>
      </c>
      <c r="K251" s="370">
        <f>SUMIF(I13:I240,"sb(S)",K13:K240)</f>
        <v>6895.2000000000016</v>
      </c>
      <c r="L251" s="449">
        <f>SUMIF(I13:I240,"sb(S)",L13:L240)</f>
        <v>6927.3000000000011</v>
      </c>
      <c r="M251" s="426">
        <f>SUMIF(I13:I240,"sb(S)",M13:M240)</f>
        <v>6948.4000000000005</v>
      </c>
      <c r="N251" s="302"/>
      <c r="O251" s="302"/>
      <c r="P251" s="302"/>
      <c r="Q251" s="302"/>
      <c r="R251" s="302"/>
    </row>
    <row r="252" spans="1:18" s="2" customFormat="1" ht="15.75" customHeight="1" x14ac:dyDescent="0.3">
      <c r="A252" s="1370" t="s">
        <v>274</v>
      </c>
      <c r="B252" s="1632"/>
      <c r="C252" s="1632"/>
      <c r="D252" s="1632"/>
      <c r="E252" s="1632"/>
      <c r="F252" s="1632"/>
      <c r="G252" s="1632"/>
      <c r="H252" s="1632"/>
      <c r="I252" s="1633"/>
      <c r="J252" s="190">
        <f>SUMIF(I13:I240,"sb(P)",J13:J240)</f>
        <v>0</v>
      </c>
      <c r="K252" s="370">
        <f>SUMIF(I14:I241,"sb(P)",K14:K241)</f>
        <v>0</v>
      </c>
      <c r="L252" s="449">
        <f>SUMIF(I14:I241,"sb(P)",L14:L241)</f>
        <v>0</v>
      </c>
      <c r="M252" s="426">
        <f>SUMIF(I14:I241,"sb(P)",M14:M241)</f>
        <v>0</v>
      </c>
      <c r="N252" s="302"/>
      <c r="O252" s="302"/>
      <c r="P252" s="302"/>
      <c r="Q252" s="302"/>
      <c r="R252" s="302"/>
    </row>
    <row r="253" spans="1:18" s="2" customFormat="1" ht="15.75" customHeight="1" x14ac:dyDescent="0.3">
      <c r="A253" s="1619" t="s">
        <v>176</v>
      </c>
      <c r="B253" s="1620"/>
      <c r="C253" s="1620"/>
      <c r="D253" s="1620"/>
      <c r="E253" s="1620"/>
      <c r="F253" s="1620"/>
      <c r="G253" s="1620"/>
      <c r="H253" s="1620"/>
      <c r="I253" s="1620"/>
      <c r="J253" s="174">
        <f>SUMIF(I13:I240,"sb(f)",J13:J240)</f>
        <v>300</v>
      </c>
      <c r="K253" s="733">
        <f>SUMIF(I13:I240,"sb(f)",K13:K240)</f>
        <v>250</v>
      </c>
      <c r="L253" s="734">
        <f>SUMIF(I13:I240,"sb(f)",L13:L240)</f>
        <v>84.6</v>
      </c>
      <c r="M253" s="732">
        <f>SUMIF(I13:I240,"sb(f)",M13:M240)</f>
        <v>948.3</v>
      </c>
      <c r="N253" s="302"/>
      <c r="O253" s="302"/>
      <c r="P253" s="302"/>
      <c r="Q253" s="302"/>
      <c r="R253" s="302"/>
    </row>
    <row r="254" spans="1:18" s="2" customFormat="1" ht="15.75" customHeight="1" x14ac:dyDescent="0.3">
      <c r="A254" s="1619" t="s">
        <v>162</v>
      </c>
      <c r="B254" s="1620"/>
      <c r="C254" s="1620"/>
      <c r="D254" s="1620"/>
      <c r="E254" s="1620"/>
      <c r="F254" s="1620"/>
      <c r="G254" s="1620"/>
      <c r="H254" s="1620"/>
      <c r="I254" s="1620"/>
      <c r="J254" s="174">
        <f>SUMIF(I16:I240,"sb(es)",J16:J240)</f>
        <v>2960.6</v>
      </c>
      <c r="K254" s="733">
        <f>SUMIF(I16:I240,"sb(es)",K16:K240)</f>
        <v>1391.8</v>
      </c>
      <c r="L254" s="734">
        <f>SUMIF(I16:I240,"sb(es)",L16:L240)</f>
        <v>377.29999999999995</v>
      </c>
      <c r="M254" s="732">
        <f>SUMIF(I16:I240,"sb(es)",M16:M240)</f>
        <v>0</v>
      </c>
      <c r="N254" s="302"/>
      <c r="O254" s="301"/>
      <c r="P254" s="301"/>
      <c r="Q254" s="301"/>
      <c r="R254" s="301"/>
    </row>
    <row r="255" spans="1:18" s="2" customFormat="1" ht="29.4" customHeight="1" x14ac:dyDescent="0.3">
      <c r="A255" s="1619" t="s">
        <v>155</v>
      </c>
      <c r="B255" s="1620"/>
      <c r="C255" s="1620"/>
      <c r="D255" s="1620"/>
      <c r="E255" s="1620"/>
      <c r="F255" s="1620"/>
      <c r="G255" s="1620"/>
      <c r="H255" s="1620"/>
      <c r="I255" s="1620"/>
      <c r="J255" s="174">
        <f>SUMIF(I14:I240,"SB(esa)",J14:J240)</f>
        <v>8</v>
      </c>
      <c r="K255" s="733">
        <f>SUMIF(I14:I240,"SB(esa)",K14:K240)</f>
        <v>6.5</v>
      </c>
      <c r="L255" s="734">
        <f>SUMIF(I13:I240,"SB(esa)",L13:L240)</f>
        <v>0</v>
      </c>
      <c r="M255" s="732">
        <f>SUMIF(I14:I240,"SB(esa)",M14:M240)</f>
        <v>0</v>
      </c>
      <c r="N255" s="301"/>
      <c r="O255" s="301"/>
      <c r="P255" s="301"/>
      <c r="Q255" s="301"/>
      <c r="R255" s="301"/>
    </row>
    <row r="256" spans="1:18" s="2" customFormat="1" ht="15.75" customHeight="1" x14ac:dyDescent="0.3">
      <c r="A256" s="1648" t="s">
        <v>80</v>
      </c>
      <c r="B256" s="1649"/>
      <c r="C256" s="1649"/>
      <c r="D256" s="1649"/>
      <c r="E256" s="1649"/>
      <c r="F256" s="1649"/>
      <c r="G256" s="1649"/>
      <c r="H256" s="1650"/>
      <c r="I256" s="1650"/>
      <c r="J256" s="176">
        <f>SUMIF(I13:I240,"sb(sp)",J13:J240)</f>
        <v>1689.8</v>
      </c>
      <c r="K256" s="735">
        <f>SUMIF(I13:I240,"sb(sp)",K13:K240)</f>
        <v>1737.3</v>
      </c>
      <c r="L256" s="736">
        <f>SUMIF(I13:I240,"sb(sp)",L13:L240)</f>
        <v>1689.6</v>
      </c>
      <c r="M256" s="737">
        <f>SUMIF(I13:I240,"sb(sp)",M13:M240)</f>
        <v>1709.6</v>
      </c>
      <c r="N256" s="302"/>
      <c r="O256" s="301"/>
      <c r="P256" s="301"/>
      <c r="Q256" s="301"/>
      <c r="R256" s="301"/>
    </row>
    <row r="257" spans="1:18" s="2" customFormat="1" ht="15" customHeight="1" x14ac:dyDescent="0.3">
      <c r="A257" s="1648" t="s">
        <v>81</v>
      </c>
      <c r="B257" s="1649"/>
      <c r="C257" s="1649"/>
      <c r="D257" s="1649"/>
      <c r="E257" s="1649"/>
      <c r="F257" s="1649"/>
      <c r="G257" s="1649"/>
      <c r="H257" s="1650"/>
      <c r="I257" s="1650"/>
      <c r="J257" s="174">
        <f>SUMIF(I13:I240,"sb(vb)",J13:J240)</f>
        <v>8063.5999999999995</v>
      </c>
      <c r="K257" s="733">
        <f>SUMIF(I13:I240,"sb(vb)",K13:K240)</f>
        <v>7646.1999999999989</v>
      </c>
      <c r="L257" s="734">
        <f>SUMIF(I13:I240,"sb(vb)",L13:L240)</f>
        <v>7001.2</v>
      </c>
      <c r="M257" s="732">
        <f>SUMIF(I13:I240,"sb(vb)",M13:M240)</f>
        <v>6994.7</v>
      </c>
      <c r="N257" s="302"/>
      <c r="O257" s="301"/>
      <c r="P257" s="301"/>
      <c r="Q257" s="301"/>
      <c r="R257" s="301"/>
    </row>
    <row r="258" spans="1:18" s="2" customFormat="1" ht="15.75" customHeight="1" x14ac:dyDescent="0.3">
      <c r="A258" s="1637" t="s">
        <v>125</v>
      </c>
      <c r="B258" s="1638"/>
      <c r="C258" s="1638"/>
      <c r="D258" s="1638"/>
      <c r="E258" s="1638"/>
      <c r="F258" s="1638"/>
      <c r="G258" s="1638"/>
      <c r="H258" s="1639"/>
      <c r="I258" s="1639"/>
      <c r="J258" s="175">
        <f>SUMIF(I13:I240,"sb(l)",J13:J240)</f>
        <v>797.2</v>
      </c>
      <c r="K258" s="888">
        <f>SUMIF(I13:I240,"sb(l)",K13:K240)</f>
        <v>857.49999999999989</v>
      </c>
      <c r="L258" s="904">
        <f>SUMIF(I13:I240,"sb(l)",L13:L240)</f>
        <v>0</v>
      </c>
      <c r="M258" s="896">
        <f>SUMIF(I13:I240,"sb(l)",M13:M240)</f>
        <v>0</v>
      </c>
      <c r="N258" s="302"/>
      <c r="O258" s="302"/>
      <c r="P258" s="302"/>
      <c r="Q258" s="302"/>
      <c r="R258" s="302"/>
    </row>
    <row r="259" spans="1:18" s="2" customFormat="1" ht="15.75" customHeight="1" x14ac:dyDescent="0.3">
      <c r="A259" s="1640" t="s">
        <v>232</v>
      </c>
      <c r="B259" s="1641"/>
      <c r="C259" s="1641"/>
      <c r="D259" s="1641"/>
      <c r="E259" s="1641"/>
      <c r="F259" s="1641"/>
      <c r="G259" s="1641"/>
      <c r="H259" s="1641"/>
      <c r="I259" s="1641"/>
      <c r="J259" s="175">
        <f>SUMIF(I13:I240,"sb(spl)",J13:J240)</f>
        <v>316</v>
      </c>
      <c r="K259" s="888">
        <f>SUMIF(I13:I240,"sb(spl)",K13:K240)</f>
        <v>388.79999999999995</v>
      </c>
      <c r="L259" s="904">
        <f>SUMIF(I13:I240,"sb(spl)",L13:L240)</f>
        <v>0</v>
      </c>
      <c r="M259" s="896">
        <f>SUMIF(I13:I240,"sb(spl)",M13:M240)</f>
        <v>0</v>
      </c>
      <c r="N259" s="302"/>
      <c r="O259" s="302"/>
      <c r="P259" s="302"/>
      <c r="Q259" s="302"/>
      <c r="R259" s="302"/>
    </row>
    <row r="260" spans="1:18" s="2" customFormat="1" ht="15.75" customHeight="1" x14ac:dyDescent="0.3">
      <c r="A260" s="1637" t="s">
        <v>194</v>
      </c>
      <c r="B260" s="1638"/>
      <c r="C260" s="1638"/>
      <c r="D260" s="1638"/>
      <c r="E260" s="1638"/>
      <c r="F260" s="1638"/>
      <c r="G260" s="1638"/>
      <c r="H260" s="1639"/>
      <c r="I260" s="1639"/>
      <c r="J260" s="175">
        <f>SUMIF(I13:I240,"sb(vbl)",J13:J240)</f>
        <v>4.2</v>
      </c>
      <c r="K260" s="888">
        <f>SUMIF(I13:I240,"sb(vbl)",K13:K240)</f>
        <v>0.5</v>
      </c>
      <c r="L260" s="904">
        <f>SUMIF(I13:I240,"sb(vbl)",L13:L240)</f>
        <v>0</v>
      </c>
      <c r="M260" s="896">
        <f>SUMIF(I13:I240,"sb(vbl)",M13:M240)</f>
        <v>0</v>
      </c>
      <c r="N260" s="301"/>
      <c r="O260" s="301"/>
      <c r="P260" s="301"/>
      <c r="Q260" s="301"/>
      <c r="R260" s="301"/>
    </row>
    <row r="261" spans="1:18" s="2" customFormat="1" ht="18.75" customHeight="1" x14ac:dyDescent="0.3">
      <c r="A261" s="1640" t="s">
        <v>186</v>
      </c>
      <c r="B261" s="1641"/>
      <c r="C261" s="1641"/>
      <c r="D261" s="1641"/>
      <c r="E261" s="1641"/>
      <c r="F261" s="1641"/>
      <c r="G261" s="1641"/>
      <c r="H261" s="1641"/>
      <c r="I261" s="1641"/>
      <c r="J261" s="175">
        <f>SUMIF(I13:I240,"sb(fl)",J13:J240)</f>
        <v>270.60000000000002</v>
      </c>
      <c r="K261" s="888">
        <f>SUMIF(I13:I240,"sb(fl)",K13:K240)</f>
        <v>27</v>
      </c>
      <c r="L261" s="904">
        <f>SUMIF(I13:I240,"sb(fl)",L13:L240)</f>
        <v>0</v>
      </c>
      <c r="M261" s="896">
        <f>SUMIF(I13:I240,"sb(fl)",M13:M240)</f>
        <v>0</v>
      </c>
      <c r="N261" s="302"/>
      <c r="O261" s="302"/>
      <c r="P261" s="302"/>
      <c r="Q261" s="302"/>
      <c r="R261" s="302"/>
    </row>
    <row r="262" spans="1:18" s="2" customFormat="1" ht="15.75" customHeight="1" thickBot="1" x14ac:dyDescent="0.35">
      <c r="A262" s="1642" t="s">
        <v>195</v>
      </c>
      <c r="B262" s="1643"/>
      <c r="C262" s="1643"/>
      <c r="D262" s="1643"/>
      <c r="E262" s="1643"/>
      <c r="F262" s="1643"/>
      <c r="G262" s="1643"/>
      <c r="H262" s="1644"/>
      <c r="I262" s="1644"/>
      <c r="J262" s="235">
        <f>SUMIF(I13:I240,"sb(esl)",J13:J240)</f>
        <v>93.999999999999986</v>
      </c>
      <c r="K262" s="889">
        <f>SUMIF(I13:I240,"sb(esl)",K13:K240)</f>
        <v>459.2</v>
      </c>
      <c r="L262" s="905">
        <f>SUMIF(I13:I240,"sb(esl)",L13:L240)</f>
        <v>0</v>
      </c>
      <c r="M262" s="897">
        <f>SUMIF(I13:I240,"sb(esl)",M13:M240)</f>
        <v>0</v>
      </c>
      <c r="N262" s="301"/>
      <c r="O262" s="301"/>
      <c r="P262" s="301"/>
      <c r="Q262" s="301"/>
      <c r="R262" s="301"/>
    </row>
    <row r="263" spans="1:18" s="2" customFormat="1" ht="15.75" customHeight="1" thickBot="1" x14ac:dyDescent="0.35">
      <c r="A263" s="1645" t="s">
        <v>82</v>
      </c>
      <c r="B263" s="1646"/>
      <c r="C263" s="1646"/>
      <c r="D263" s="1646"/>
      <c r="E263" s="1646"/>
      <c r="F263" s="1646"/>
      <c r="G263" s="1646"/>
      <c r="H263" s="1647"/>
      <c r="I263" s="1647"/>
      <c r="J263" s="168">
        <f>SUM(J264:J266)</f>
        <v>39022.338000000003</v>
      </c>
      <c r="K263" s="890">
        <f>SUM(K264:K266)</f>
        <v>35391.1</v>
      </c>
      <c r="L263" s="906">
        <f t="shared" ref="L263:M263" si="28">SUM(L264:L266)</f>
        <v>35408.899999999994</v>
      </c>
      <c r="M263" s="898">
        <f t="shared" si="28"/>
        <v>35294.699999999997</v>
      </c>
      <c r="N263" s="301"/>
      <c r="O263" s="301"/>
      <c r="P263" s="301"/>
      <c r="Q263" s="301"/>
      <c r="R263" s="301"/>
    </row>
    <row r="264" spans="1:18" s="2" customFormat="1" ht="15.75" customHeight="1" x14ac:dyDescent="0.3">
      <c r="A264" s="1648" t="s">
        <v>110</v>
      </c>
      <c r="B264" s="1649"/>
      <c r="C264" s="1649"/>
      <c r="D264" s="1649"/>
      <c r="E264" s="1649"/>
      <c r="F264" s="1649"/>
      <c r="G264" s="1649"/>
      <c r="H264" s="1650"/>
      <c r="I264" s="1650"/>
      <c r="J264" s="236">
        <f>SUMIF(I12:I240,"es",J12:J240)</f>
        <v>119.30000000000001</v>
      </c>
      <c r="K264" s="891">
        <f>SUMIF(I12:I240,"es",K12:K240)</f>
        <v>53.1</v>
      </c>
      <c r="L264" s="907">
        <f>SUMIF(I12:I240,"es",L12:L240)</f>
        <v>66.2</v>
      </c>
      <c r="M264" s="899">
        <f>SUMIF(I12:I240,"es",M12:M240)</f>
        <v>0</v>
      </c>
      <c r="N264" s="48"/>
      <c r="O264" s="299"/>
      <c r="P264" s="299"/>
      <c r="Q264" s="299"/>
      <c r="R264" s="299"/>
    </row>
    <row r="265" spans="1:18" s="2" customFormat="1" ht="15.75" customHeight="1" x14ac:dyDescent="0.3">
      <c r="A265" s="1634" t="s">
        <v>83</v>
      </c>
      <c r="B265" s="1635"/>
      <c r="C265" s="1635"/>
      <c r="D265" s="1635"/>
      <c r="E265" s="1635"/>
      <c r="F265" s="1635"/>
      <c r="G265" s="1635"/>
      <c r="H265" s="1636"/>
      <c r="I265" s="1636"/>
      <c r="J265" s="176">
        <f>SUMIF(I13:I240,"lrvb",J13:J240)</f>
        <v>38898.038</v>
      </c>
      <c r="K265" s="735">
        <f>SUMIF(I13:I240,"lrvb",K13:K240)</f>
        <v>35332</v>
      </c>
      <c r="L265" s="736">
        <f>SUMIF(I13:I240,"lrvb",L13:L240)</f>
        <v>35336.699999999997</v>
      </c>
      <c r="M265" s="737">
        <f>SUMIF(I13:I240,"lrvb",M13:M240)</f>
        <v>35287.699999999997</v>
      </c>
      <c r="N265" s="32"/>
      <c r="O265" s="301"/>
      <c r="P265" s="301"/>
      <c r="Q265" s="301"/>
      <c r="R265" s="301"/>
    </row>
    <row r="266" spans="1:18" s="2" customFormat="1" ht="15.75" customHeight="1" thickBot="1" x14ac:dyDescent="0.35">
      <c r="A266" s="1611" t="s">
        <v>227</v>
      </c>
      <c r="B266" s="1612"/>
      <c r="C266" s="1612"/>
      <c r="D266" s="1612"/>
      <c r="E266" s="1612"/>
      <c r="F266" s="1612"/>
      <c r="G266" s="1612"/>
      <c r="H266" s="1613"/>
      <c r="I266" s="1613"/>
      <c r="J266" s="177">
        <f>SUMIF(I13:I240,"kt",J13:J240)</f>
        <v>5</v>
      </c>
      <c r="K266" s="892">
        <f>SUMIF(I13:I240,"kt",K13:K240)</f>
        <v>6</v>
      </c>
      <c r="L266" s="908">
        <f>SUMIF(I13:I240,"kt",L13:L240)</f>
        <v>6</v>
      </c>
      <c r="M266" s="900">
        <f>SUMIF(I13:I240,"kt",M13:M240)</f>
        <v>7</v>
      </c>
      <c r="N266" s="32"/>
      <c r="O266" s="301"/>
      <c r="P266" s="301"/>
      <c r="Q266" s="301"/>
      <c r="R266" s="301"/>
    </row>
    <row r="267" spans="1:18" s="2" customFormat="1" ht="15.75" customHeight="1" thickBot="1" x14ac:dyDescent="0.35">
      <c r="A267" s="1614" t="s">
        <v>84</v>
      </c>
      <c r="B267" s="1615"/>
      <c r="C267" s="1615"/>
      <c r="D267" s="1615"/>
      <c r="E267" s="1615"/>
      <c r="F267" s="1615"/>
      <c r="G267" s="1615"/>
      <c r="H267" s="1616"/>
      <c r="I267" s="1616"/>
      <c r="J267" s="237">
        <f t="shared" ref="J267:M267" si="29">J248+J263</f>
        <v>64419.538</v>
      </c>
      <c r="K267" s="893">
        <f t="shared" si="29"/>
        <v>59035.899999999994</v>
      </c>
      <c r="L267" s="909">
        <f t="shared" si="29"/>
        <v>56670.299999999996</v>
      </c>
      <c r="M267" s="901">
        <f t="shared" si="29"/>
        <v>58095.099999999991</v>
      </c>
      <c r="N267" s="47"/>
      <c r="O267" s="299"/>
      <c r="P267" s="299"/>
      <c r="Q267" s="299"/>
      <c r="R267" s="299"/>
    </row>
    <row r="268" spans="1:18" x14ac:dyDescent="0.3">
      <c r="G268" s="1609" t="s">
        <v>164</v>
      </c>
      <c r="H268" s="1609"/>
      <c r="I268" s="1610"/>
      <c r="J268" s="1610"/>
      <c r="K268" s="1610"/>
      <c r="L268" s="1610"/>
      <c r="M268" s="1610"/>
    </row>
    <row r="269" spans="1:18" x14ac:dyDescent="0.3">
      <c r="J269" s="1338">
        <f>+J244-J267</f>
        <v>0</v>
      </c>
      <c r="K269" s="1338">
        <f t="shared" ref="K269:M269" si="30">+K244-K267</f>
        <v>0</v>
      </c>
      <c r="L269" s="1338">
        <f t="shared" si="30"/>
        <v>0</v>
      </c>
      <c r="M269" s="1338">
        <f t="shared" si="30"/>
        <v>0</v>
      </c>
      <c r="N269" s="276"/>
    </row>
    <row r="270" spans="1:18" x14ac:dyDescent="0.3">
      <c r="J270" s="346"/>
      <c r="K270" s="346"/>
      <c r="L270" s="346"/>
      <c r="M270" s="346"/>
      <c r="N270" s="276"/>
    </row>
    <row r="271" spans="1:18" x14ac:dyDescent="0.3">
      <c r="I271" s="277"/>
      <c r="J271" s="106"/>
      <c r="K271" s="106"/>
      <c r="L271" s="106"/>
      <c r="M271" s="106"/>
      <c r="N271" s="300"/>
    </row>
    <row r="272" spans="1:18" x14ac:dyDescent="0.3">
      <c r="J272" s="346"/>
      <c r="K272" s="346"/>
      <c r="L272" s="346"/>
      <c r="M272" s="346"/>
      <c r="N272" s="276"/>
    </row>
    <row r="273" spans="10:14" x14ac:dyDescent="0.3">
      <c r="J273" s="346"/>
      <c r="K273" s="346"/>
      <c r="L273" s="346"/>
      <c r="M273" s="346"/>
      <c r="N273" s="276" t="s">
        <v>225</v>
      </c>
    </row>
    <row r="275" spans="10:14" x14ac:dyDescent="0.3">
      <c r="J275" s="347"/>
      <c r="K275" s="347"/>
      <c r="L275" s="347"/>
      <c r="M275" s="347"/>
    </row>
  </sheetData>
  <mergeCells count="246">
    <mergeCell ref="A175:A177"/>
    <mergeCell ref="B175:B177"/>
    <mergeCell ref="C175:C177"/>
    <mergeCell ref="E175:E177"/>
    <mergeCell ref="H72:H76"/>
    <mergeCell ref="H175:H177"/>
    <mergeCell ref="A171:A174"/>
    <mergeCell ref="B171:B174"/>
    <mergeCell ref="C171:C174"/>
    <mergeCell ref="E171:E174"/>
    <mergeCell ref="F171:F174"/>
    <mergeCell ref="G171:G174"/>
    <mergeCell ref="B152:B154"/>
    <mergeCell ref="A152:A154"/>
    <mergeCell ref="A132:A134"/>
    <mergeCell ref="B132:B134"/>
    <mergeCell ref="C132:C134"/>
    <mergeCell ref="E142:E143"/>
    <mergeCell ref="G164:G165"/>
    <mergeCell ref="E109:E116"/>
    <mergeCell ref="E117:E124"/>
    <mergeCell ref="H156:H159"/>
    <mergeCell ref="F66:F73"/>
    <mergeCell ref="G268:M268"/>
    <mergeCell ref="A266:I266"/>
    <mergeCell ref="A267:I267"/>
    <mergeCell ref="A250:I250"/>
    <mergeCell ref="A253:I253"/>
    <mergeCell ref="A254:I254"/>
    <mergeCell ref="A255:I255"/>
    <mergeCell ref="N244:R244"/>
    <mergeCell ref="A247:I247"/>
    <mergeCell ref="A248:I248"/>
    <mergeCell ref="A246:M246"/>
    <mergeCell ref="A245:R245"/>
    <mergeCell ref="A252:I252"/>
    <mergeCell ref="A265:I265"/>
    <mergeCell ref="A260:I260"/>
    <mergeCell ref="A261:I261"/>
    <mergeCell ref="A262:I262"/>
    <mergeCell ref="A263:I263"/>
    <mergeCell ref="A264:I264"/>
    <mergeCell ref="A258:I258"/>
    <mergeCell ref="A259:I259"/>
    <mergeCell ref="A251:I251"/>
    <mergeCell ref="A257:I257"/>
    <mergeCell ref="A256:I256"/>
    <mergeCell ref="E233:E234"/>
    <mergeCell ref="P60:P61"/>
    <mergeCell ref="F152:F155"/>
    <mergeCell ref="G166:G170"/>
    <mergeCell ref="E146:E147"/>
    <mergeCell ref="N233:N234"/>
    <mergeCell ref="E202:E203"/>
    <mergeCell ref="F218:F219"/>
    <mergeCell ref="E204:E205"/>
    <mergeCell ref="E138:E139"/>
    <mergeCell ref="E152:E154"/>
    <mergeCell ref="E140:E141"/>
    <mergeCell ref="E148:E149"/>
    <mergeCell ref="N74:N75"/>
    <mergeCell ref="E74:E75"/>
    <mergeCell ref="N229:N230"/>
    <mergeCell ref="E132:E134"/>
    <mergeCell ref="F132:F134"/>
    <mergeCell ref="G132:G134"/>
    <mergeCell ref="N152:N154"/>
    <mergeCell ref="N190:N191"/>
    <mergeCell ref="N178:R178"/>
    <mergeCell ref="H189:H190"/>
    <mergeCell ref="H181:H185"/>
    <mergeCell ref="B244:I244"/>
    <mergeCell ref="E229:E230"/>
    <mergeCell ref="E207:I207"/>
    <mergeCell ref="A166:A170"/>
    <mergeCell ref="B166:B170"/>
    <mergeCell ref="E231:E232"/>
    <mergeCell ref="A249:I249"/>
    <mergeCell ref="E200:E201"/>
    <mergeCell ref="H202:H203"/>
    <mergeCell ref="C166:C170"/>
    <mergeCell ref="E166:E170"/>
    <mergeCell ref="F166:F170"/>
    <mergeCell ref="E189:E192"/>
    <mergeCell ref="E223:I223"/>
    <mergeCell ref="E224:E226"/>
    <mergeCell ref="C178:I178"/>
    <mergeCell ref="E181:E185"/>
    <mergeCell ref="F224:F227"/>
    <mergeCell ref="E227:E228"/>
    <mergeCell ref="H204:H205"/>
    <mergeCell ref="H200:H201"/>
    <mergeCell ref="C179:R179"/>
    <mergeCell ref="G175:G177"/>
    <mergeCell ref="H194:H196"/>
    <mergeCell ref="E197:E199"/>
    <mergeCell ref="N243:R243"/>
    <mergeCell ref="F215:F216"/>
    <mergeCell ref="H215:H216"/>
    <mergeCell ref="E211:E214"/>
    <mergeCell ref="H220:H222"/>
    <mergeCell ref="E215:E219"/>
    <mergeCell ref="N207:R207"/>
    <mergeCell ref="C208:I208"/>
    <mergeCell ref="N231:N232"/>
    <mergeCell ref="N216:N219"/>
    <mergeCell ref="C243:I243"/>
    <mergeCell ref="H224:H226"/>
    <mergeCell ref="E236:E238"/>
    <mergeCell ref="N236:N238"/>
    <mergeCell ref="E240:E241"/>
    <mergeCell ref="C242:I242"/>
    <mergeCell ref="N242:R242"/>
    <mergeCell ref="N208:R208"/>
    <mergeCell ref="C209:R209"/>
    <mergeCell ref="F211:F212"/>
    <mergeCell ref="E220:E222"/>
    <mergeCell ref="F220:F221"/>
    <mergeCell ref="H211:H212"/>
    <mergeCell ref="E194:E195"/>
    <mergeCell ref="N156:N157"/>
    <mergeCell ref="E186:E188"/>
    <mergeCell ref="D186:D188"/>
    <mergeCell ref="G52:G53"/>
    <mergeCell ref="E66:E67"/>
    <mergeCell ref="C59:C61"/>
    <mergeCell ref="E59:E61"/>
    <mergeCell ref="N162:N163"/>
    <mergeCell ref="H162:H163"/>
    <mergeCell ref="N142:N143"/>
    <mergeCell ref="H166:H168"/>
    <mergeCell ref="N171:N172"/>
    <mergeCell ref="H171:H172"/>
    <mergeCell ref="N129:N130"/>
    <mergeCell ref="N164:N165"/>
    <mergeCell ref="N146:N147"/>
    <mergeCell ref="N150:N151"/>
    <mergeCell ref="H164:H165"/>
    <mergeCell ref="E68:E73"/>
    <mergeCell ref="E135:E136"/>
    <mergeCell ref="H148:H150"/>
    <mergeCell ref="E164:E165"/>
    <mergeCell ref="H54:H55"/>
    <mergeCell ref="B59:B61"/>
    <mergeCell ref="E128:E130"/>
    <mergeCell ref="N56:N58"/>
    <mergeCell ref="A100:A102"/>
    <mergeCell ref="B100:B102"/>
    <mergeCell ref="C100:C102"/>
    <mergeCell ref="E100:E102"/>
    <mergeCell ref="F100:F102"/>
    <mergeCell ref="N86:N87"/>
    <mergeCell ref="E86:E87"/>
    <mergeCell ref="N122:N123"/>
    <mergeCell ref="E105:E108"/>
    <mergeCell ref="A62:A63"/>
    <mergeCell ref="B62:B63"/>
    <mergeCell ref="C62:C63"/>
    <mergeCell ref="E62:E63"/>
    <mergeCell ref="H62:H63"/>
    <mergeCell ref="N62:N63"/>
    <mergeCell ref="N60:N61"/>
    <mergeCell ref="N64:R64"/>
    <mergeCell ref="Q60:Q61"/>
    <mergeCell ref="R60:R61"/>
    <mergeCell ref="H56:H58"/>
    <mergeCell ref="H59:H61"/>
    <mergeCell ref="A39:A41"/>
    <mergeCell ref="B39:B41"/>
    <mergeCell ref="E39:E42"/>
    <mergeCell ref="G39:G42"/>
    <mergeCell ref="N39:N41"/>
    <mergeCell ref="F39:F41"/>
    <mergeCell ref="J6:J8"/>
    <mergeCell ref="K6:K8"/>
    <mergeCell ref="L6:L8"/>
    <mergeCell ref="M6:M8"/>
    <mergeCell ref="E32:E33"/>
    <mergeCell ref="A6:A8"/>
    <mergeCell ref="B6:B8"/>
    <mergeCell ref="N32:N33"/>
    <mergeCell ref="E34:E35"/>
    <mergeCell ref="F34:F35"/>
    <mergeCell ref="N34:N35"/>
    <mergeCell ref="F36:F38"/>
    <mergeCell ref="E20:E23"/>
    <mergeCell ref="F24:F31"/>
    <mergeCell ref="H1:R1"/>
    <mergeCell ref="A9:R9"/>
    <mergeCell ref="A10:R10"/>
    <mergeCell ref="B11:R11"/>
    <mergeCell ref="C12:R12"/>
    <mergeCell ref="N15:N16"/>
    <mergeCell ref="N13:N14"/>
    <mergeCell ref="A2:R2"/>
    <mergeCell ref="A3:R3"/>
    <mergeCell ref="A4:R4"/>
    <mergeCell ref="A5:R5"/>
    <mergeCell ref="C6:C8"/>
    <mergeCell ref="E6:E8"/>
    <mergeCell ref="F6:F8"/>
    <mergeCell ref="G6:G8"/>
    <mergeCell ref="I6:I8"/>
    <mergeCell ref="N6:R6"/>
    <mergeCell ref="N7:N8"/>
    <mergeCell ref="O7:R7"/>
    <mergeCell ref="C52:C53"/>
    <mergeCell ref="D6:D8"/>
    <mergeCell ref="H6:H8"/>
    <mergeCell ref="E43:E45"/>
    <mergeCell ref="F43:F45"/>
    <mergeCell ref="G43:G45"/>
    <mergeCell ref="N44:N45"/>
    <mergeCell ref="E52:E53"/>
    <mergeCell ref="H13:H15"/>
    <mergeCell ref="E50:E51"/>
    <mergeCell ref="N17:N18"/>
    <mergeCell ref="F51:I51"/>
    <mergeCell ref="N29:N31"/>
    <mergeCell ref="F52:F53"/>
    <mergeCell ref="E13:E17"/>
    <mergeCell ref="N22:N23"/>
    <mergeCell ref="T193:T194"/>
    <mergeCell ref="A36:A38"/>
    <mergeCell ref="B36:B38"/>
    <mergeCell ref="E36:E38"/>
    <mergeCell ref="N77:N78"/>
    <mergeCell ref="F79:F80"/>
    <mergeCell ref="G100:G102"/>
    <mergeCell ref="N132:N134"/>
    <mergeCell ref="N124:N125"/>
    <mergeCell ref="E92:E96"/>
    <mergeCell ref="N113:N116"/>
    <mergeCell ref="N107:N108"/>
    <mergeCell ref="B52:B53"/>
    <mergeCell ref="A56:A58"/>
    <mergeCell ref="B56:B58"/>
    <mergeCell ref="C56:C58"/>
    <mergeCell ref="E56:E58"/>
    <mergeCell ref="A52:A53"/>
    <mergeCell ref="C64:I64"/>
    <mergeCell ref="A59:A61"/>
    <mergeCell ref="H66:H70"/>
    <mergeCell ref="C65:R65"/>
    <mergeCell ref="E54:E55"/>
    <mergeCell ref="N54:N55"/>
  </mergeCells>
  <printOptions horizontalCentered="1"/>
  <pageMargins left="0.70866141732283472" right="0.11811023622047245" top="0.35433070866141736" bottom="0.35433070866141736" header="0.31496062992125984" footer="0.31496062992125984"/>
  <pageSetup paperSize="9" scale="62" orientation="portrait" r:id="rId1"/>
  <rowBreaks count="1" manualBreakCount="1">
    <brk id="8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5"/>
  <sheetViews>
    <sheetView tabSelected="1" zoomScaleNormal="100" workbookViewId="0"/>
  </sheetViews>
  <sheetFormatPr defaultColWidth="9.33203125" defaultRowHeight="14.4" x14ac:dyDescent="0.3"/>
  <cols>
    <col min="1" max="3" width="3.33203125" style="43" customWidth="1"/>
    <col min="4" max="4" width="25.33203125" style="42" customWidth="1"/>
    <col min="5" max="5" width="4" style="1138" customWidth="1"/>
    <col min="6" max="6" width="3.33203125" style="1139" hidden="1" customWidth="1"/>
    <col min="7" max="7" width="8.5546875" style="42" customWidth="1"/>
    <col min="8" max="10" width="8.33203125" style="1138" customWidth="1"/>
    <col min="11" max="11" width="25.33203125" style="42" customWidth="1"/>
    <col min="12" max="14" width="6.6640625" style="132" customWidth="1"/>
    <col min="15" max="16384" width="9.33203125" style="42"/>
  </cols>
  <sheetData>
    <row r="1" spans="1:14" s="75" customFormat="1" ht="33" customHeight="1" x14ac:dyDescent="0.3">
      <c r="A1" s="73"/>
      <c r="B1" s="73"/>
      <c r="C1" s="73"/>
      <c r="D1" s="73"/>
      <c r="E1" s="74"/>
      <c r="F1" s="88"/>
      <c r="H1" s="1146"/>
      <c r="I1" s="1146"/>
      <c r="J1" s="1146"/>
      <c r="K1" s="1668" t="s">
        <v>298</v>
      </c>
      <c r="L1" s="1668"/>
      <c r="M1" s="1668"/>
      <c r="N1" s="1668"/>
    </row>
    <row r="2" spans="1:14" s="75" customFormat="1" ht="35.4" customHeight="1" x14ac:dyDescent="0.3">
      <c r="A2" s="73"/>
      <c r="B2" s="73"/>
      <c r="C2" s="73"/>
      <c r="D2" s="73"/>
      <c r="E2" s="74"/>
      <c r="F2" s="88"/>
      <c r="H2" s="1146"/>
      <c r="I2" s="1146"/>
      <c r="J2" s="1146"/>
      <c r="K2" s="1147" t="s">
        <v>299</v>
      </c>
      <c r="L2" s="1147"/>
      <c r="M2" s="1147"/>
      <c r="N2" s="1147"/>
    </row>
    <row r="3" spans="1:14" s="40" customFormat="1" ht="16.5" customHeight="1" x14ac:dyDescent="0.3">
      <c r="A3" s="1480" t="s">
        <v>297</v>
      </c>
      <c r="B3" s="1480"/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  <c r="N3" s="1480"/>
    </row>
    <row r="4" spans="1:14" s="41" customFormat="1" ht="16.5" customHeight="1" x14ac:dyDescent="0.3">
      <c r="A4" s="1481" t="s">
        <v>0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</row>
    <row r="5" spans="1:14" s="41" customFormat="1" ht="16.5" customHeight="1" x14ac:dyDescent="0.3">
      <c r="A5" s="1482" t="s">
        <v>1</v>
      </c>
      <c r="B5" s="1482"/>
      <c r="C5" s="1482"/>
      <c r="D5" s="1482"/>
      <c r="E5" s="1482"/>
      <c r="F5" s="1482"/>
      <c r="G5" s="1482"/>
      <c r="H5" s="1482"/>
      <c r="I5" s="1482"/>
      <c r="J5" s="1482"/>
      <c r="K5" s="1482"/>
      <c r="L5" s="1482"/>
      <c r="M5" s="1482"/>
      <c r="N5" s="1482"/>
    </row>
    <row r="6" spans="1:14" s="2" customFormat="1" ht="21.75" customHeight="1" thickBot="1" x14ac:dyDescent="0.3">
      <c r="A6" s="1483" t="s">
        <v>2</v>
      </c>
      <c r="B6" s="1483"/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</row>
    <row r="7" spans="1:14" s="3" customFormat="1" ht="16.95" customHeight="1" thickBot="1" x14ac:dyDescent="0.35">
      <c r="A7" s="1484" t="s">
        <v>3</v>
      </c>
      <c r="B7" s="1487" t="s">
        <v>4</v>
      </c>
      <c r="C7" s="1393" t="s">
        <v>5</v>
      </c>
      <c r="D7" s="1396" t="s">
        <v>6</v>
      </c>
      <c r="E7" s="1399" t="s">
        <v>7</v>
      </c>
      <c r="F7" s="1402" t="s">
        <v>8</v>
      </c>
      <c r="G7" s="1405" t="s">
        <v>9</v>
      </c>
      <c r="H7" s="1706" t="s">
        <v>256</v>
      </c>
      <c r="I7" s="1474" t="s">
        <v>257</v>
      </c>
      <c r="J7" s="1477" t="s">
        <v>258</v>
      </c>
      <c r="K7" s="1699" t="s">
        <v>10</v>
      </c>
      <c r="L7" s="1700"/>
      <c r="M7" s="1700"/>
      <c r="N7" s="1701"/>
    </row>
    <row r="8" spans="1:14" s="3" customFormat="1" ht="17.25" customHeight="1" x14ac:dyDescent="0.3">
      <c r="A8" s="1485"/>
      <c r="B8" s="1488"/>
      <c r="C8" s="1394"/>
      <c r="D8" s="1397"/>
      <c r="E8" s="1400"/>
      <c r="F8" s="1403"/>
      <c r="G8" s="1406"/>
      <c r="H8" s="1707"/>
      <c r="I8" s="1475"/>
      <c r="J8" s="1478"/>
      <c r="K8" s="1702" t="s">
        <v>6</v>
      </c>
      <c r="L8" s="1703" t="s">
        <v>296</v>
      </c>
      <c r="M8" s="1704"/>
      <c r="N8" s="1705"/>
    </row>
    <row r="9" spans="1:14" s="3" customFormat="1" ht="93.75" customHeight="1" thickBot="1" x14ac:dyDescent="0.35">
      <c r="A9" s="1486"/>
      <c r="B9" s="1489"/>
      <c r="C9" s="1395"/>
      <c r="D9" s="1398"/>
      <c r="E9" s="1401"/>
      <c r="F9" s="1404"/>
      <c r="G9" s="1407"/>
      <c r="H9" s="1708"/>
      <c r="I9" s="1476"/>
      <c r="J9" s="1479"/>
      <c r="K9" s="1412"/>
      <c r="L9" s="1145" t="s">
        <v>316</v>
      </c>
      <c r="M9" s="682" t="s">
        <v>318</v>
      </c>
      <c r="N9" s="681" t="s">
        <v>317</v>
      </c>
    </row>
    <row r="10" spans="1:14" s="2" customFormat="1" ht="28.95" customHeight="1" x14ac:dyDescent="0.3">
      <c r="A10" s="1450" t="s">
        <v>11</v>
      </c>
      <c r="B10" s="1451"/>
      <c r="C10" s="1451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2"/>
    </row>
    <row r="11" spans="1:14" s="2" customFormat="1" ht="15" customHeight="1" x14ac:dyDescent="0.3">
      <c r="A11" s="1453" t="s">
        <v>12</v>
      </c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5"/>
    </row>
    <row r="12" spans="1:14" s="3" customFormat="1" ht="15" customHeight="1" x14ac:dyDescent="0.3">
      <c r="A12" s="167" t="s">
        <v>13</v>
      </c>
      <c r="B12" s="1456" t="s">
        <v>14</v>
      </c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7"/>
    </row>
    <row r="13" spans="1:14" s="3" customFormat="1" ht="28.95" customHeight="1" thickBot="1" x14ac:dyDescent="0.35">
      <c r="A13" s="1116" t="s">
        <v>13</v>
      </c>
      <c r="B13" s="166" t="s">
        <v>13</v>
      </c>
      <c r="C13" s="1458" t="s">
        <v>15</v>
      </c>
      <c r="D13" s="1459"/>
      <c r="E13" s="1459"/>
      <c r="F13" s="1459"/>
      <c r="G13" s="1459"/>
      <c r="H13" s="1460"/>
      <c r="I13" s="1460"/>
      <c r="J13" s="1460"/>
      <c r="K13" s="1459"/>
      <c r="L13" s="1459"/>
      <c r="M13" s="1459"/>
      <c r="N13" s="1461"/>
    </row>
    <row r="14" spans="1:14" s="3" customFormat="1" ht="15.6" customHeight="1" x14ac:dyDescent="0.3">
      <c r="A14" s="1115" t="s">
        <v>13</v>
      </c>
      <c r="B14" s="5" t="s">
        <v>13</v>
      </c>
      <c r="C14" s="1126" t="s">
        <v>13</v>
      </c>
      <c r="D14" s="1436" t="s">
        <v>16</v>
      </c>
      <c r="E14" s="263"/>
      <c r="F14" s="358" t="s">
        <v>17</v>
      </c>
      <c r="G14" s="1153" t="s">
        <v>20</v>
      </c>
      <c r="H14" s="382">
        <v>423.8</v>
      </c>
      <c r="I14" s="400">
        <v>423.8</v>
      </c>
      <c r="J14" s="398">
        <v>423.8</v>
      </c>
      <c r="K14" s="1526" t="s">
        <v>21</v>
      </c>
      <c r="L14" s="99">
        <v>1087</v>
      </c>
      <c r="M14" s="649">
        <v>1087</v>
      </c>
      <c r="N14" s="879">
        <v>1087</v>
      </c>
    </row>
    <row r="15" spans="1:14" s="3" customFormat="1" ht="15.6" customHeight="1" x14ac:dyDescent="0.3">
      <c r="A15" s="1307"/>
      <c r="B15" s="6"/>
      <c r="C15" s="1309"/>
      <c r="D15" s="1436"/>
      <c r="E15" s="263"/>
      <c r="F15" s="358"/>
      <c r="G15" s="1099" t="s">
        <v>289</v>
      </c>
      <c r="H15" s="27">
        <f>882.7+373.2+145.6</f>
        <v>1401.5</v>
      </c>
      <c r="I15" s="402">
        <f>1082.7+973.2+145.6</f>
        <v>2201.5</v>
      </c>
      <c r="J15" s="435">
        <f>1082.7+973.2+145.6</f>
        <v>2201.5</v>
      </c>
      <c r="K15" s="1698"/>
      <c r="L15" s="1324"/>
      <c r="M15" s="731"/>
      <c r="N15" s="770"/>
    </row>
    <row r="16" spans="1:14" s="3" customFormat="1" ht="15.6" customHeight="1" x14ac:dyDescent="0.3">
      <c r="A16" s="1307"/>
      <c r="B16" s="6"/>
      <c r="C16" s="1309"/>
      <c r="D16" s="1436"/>
      <c r="E16" s="263"/>
      <c r="F16" s="358"/>
      <c r="G16" s="100" t="s">
        <v>124</v>
      </c>
      <c r="H16" s="49">
        <f>200+595+5</f>
        <v>800</v>
      </c>
      <c r="I16" s="403"/>
      <c r="J16" s="1148"/>
      <c r="K16" s="1695" t="s">
        <v>22</v>
      </c>
      <c r="L16" s="9">
        <v>2647</v>
      </c>
      <c r="M16" s="519">
        <v>2647</v>
      </c>
      <c r="N16" s="610">
        <v>2647</v>
      </c>
    </row>
    <row r="17" spans="1:14" s="3" customFormat="1" ht="15.6" customHeight="1" x14ac:dyDescent="0.3">
      <c r="A17" s="1307"/>
      <c r="B17" s="6"/>
      <c r="C17" s="1309"/>
      <c r="D17" s="1436"/>
      <c r="E17" s="263"/>
      <c r="F17" s="358"/>
      <c r="G17" s="1154" t="s">
        <v>18</v>
      </c>
      <c r="H17" s="60">
        <v>7098.3</v>
      </c>
      <c r="I17" s="401">
        <v>6587.8</v>
      </c>
      <c r="J17" s="472">
        <v>6590.8</v>
      </c>
      <c r="K17" s="1696"/>
      <c r="L17" s="1239"/>
      <c r="M17" s="1237"/>
      <c r="N17" s="1240"/>
    </row>
    <row r="18" spans="1:14" s="3" customFormat="1" ht="15.6" customHeight="1" x14ac:dyDescent="0.3">
      <c r="A18" s="1107"/>
      <c r="B18" s="6"/>
      <c r="C18" s="1126"/>
      <c r="D18" s="1436"/>
      <c r="E18" s="120"/>
      <c r="F18" s="358"/>
      <c r="G18" s="1153" t="s">
        <v>127</v>
      </c>
      <c r="H18" s="60">
        <v>256.10000000000002</v>
      </c>
      <c r="I18" s="1314"/>
      <c r="J18" s="1322"/>
      <c r="K18" s="1697" t="s">
        <v>23</v>
      </c>
      <c r="L18" s="35">
        <v>60</v>
      </c>
      <c r="M18" s="642">
        <v>60</v>
      </c>
      <c r="N18" s="663">
        <v>60</v>
      </c>
    </row>
    <row r="19" spans="1:14" s="3" customFormat="1" ht="15.6" customHeight="1" x14ac:dyDescent="0.3">
      <c r="A19" s="1307"/>
      <c r="B19" s="6"/>
      <c r="C19" s="1309"/>
      <c r="D19" s="1436"/>
      <c r="E19" s="120"/>
      <c r="F19" s="358"/>
      <c r="G19" s="1153" t="s">
        <v>134</v>
      </c>
      <c r="H19" s="60">
        <v>74</v>
      </c>
      <c r="I19" s="731"/>
      <c r="J19" s="770"/>
      <c r="K19" s="1697"/>
      <c r="L19" s="1324"/>
      <c r="M19" s="731"/>
      <c r="N19" s="770"/>
    </row>
    <row r="20" spans="1:14" s="3" customFormat="1" ht="23.4" customHeight="1" x14ac:dyDescent="0.3">
      <c r="A20" s="1307"/>
      <c r="B20" s="6"/>
      <c r="C20" s="1309"/>
      <c r="D20" s="1436"/>
      <c r="E20" s="120"/>
      <c r="F20" s="358"/>
      <c r="G20" s="100"/>
      <c r="H20" s="49"/>
      <c r="I20" s="731"/>
      <c r="J20" s="770"/>
      <c r="K20" s="1680"/>
      <c r="L20" s="289"/>
      <c r="M20" s="643"/>
      <c r="N20" s="611"/>
    </row>
    <row r="21" spans="1:14" s="3" customFormat="1" ht="43.95" customHeight="1" x14ac:dyDescent="0.3">
      <c r="A21" s="1107"/>
      <c r="B21" s="6"/>
      <c r="C21" s="1126"/>
      <c r="D21" s="1443" t="s">
        <v>19</v>
      </c>
      <c r="E21" s="120"/>
      <c r="F21" s="358"/>
      <c r="G21" s="1157" t="s">
        <v>300</v>
      </c>
      <c r="H21" s="1149">
        <f>780+168.3</f>
        <v>948.3</v>
      </c>
      <c r="I21" s="1150">
        <f t="shared" ref="I21:J21" si="0">780+168.3</f>
        <v>948.3</v>
      </c>
      <c r="J21" s="1151">
        <f t="shared" si="0"/>
        <v>948.3</v>
      </c>
      <c r="K21" s="1266" t="s">
        <v>93</v>
      </c>
      <c r="L21" s="170">
        <v>4</v>
      </c>
      <c r="M21" s="522">
        <v>4</v>
      </c>
      <c r="N21" s="604">
        <v>4</v>
      </c>
    </row>
    <row r="22" spans="1:14" s="3" customFormat="1" ht="28.2" customHeight="1" x14ac:dyDescent="0.3">
      <c r="A22" s="1107"/>
      <c r="B22" s="6"/>
      <c r="C22" s="1126"/>
      <c r="D22" s="1444"/>
      <c r="E22" s="120"/>
      <c r="F22" s="358"/>
      <c r="G22" s="1157"/>
      <c r="H22" s="1325"/>
      <c r="I22" s="1299"/>
      <c r="J22" s="1300"/>
      <c r="K22" s="1315" t="s">
        <v>92</v>
      </c>
      <c r="L22" s="9">
        <v>185</v>
      </c>
      <c r="M22" s="519">
        <v>185</v>
      </c>
      <c r="N22" s="610">
        <v>185</v>
      </c>
    </row>
    <row r="23" spans="1:14" s="3" customFormat="1" ht="54" customHeight="1" x14ac:dyDescent="0.3">
      <c r="A23" s="1107"/>
      <c r="B23" s="6"/>
      <c r="C23" s="1126"/>
      <c r="D23" s="1444"/>
      <c r="E23" s="120"/>
      <c r="F23" s="358"/>
      <c r="G23" s="1326"/>
      <c r="H23" s="1149"/>
      <c r="I23" s="1150"/>
      <c r="J23" s="1151"/>
      <c r="K23" s="1316" t="s">
        <v>94</v>
      </c>
      <c r="L23" s="753">
        <v>75</v>
      </c>
      <c r="M23" s="708">
        <v>80</v>
      </c>
      <c r="N23" s="664">
        <v>85</v>
      </c>
    </row>
    <row r="24" spans="1:14" s="3" customFormat="1" ht="57.6" customHeight="1" x14ac:dyDescent="0.3">
      <c r="A24" s="1107"/>
      <c r="B24" s="6"/>
      <c r="C24" s="1126"/>
      <c r="D24" s="1112" t="s">
        <v>25</v>
      </c>
      <c r="E24" s="1447"/>
      <c r="F24" s="358"/>
      <c r="G24" s="1157" t="s">
        <v>300</v>
      </c>
      <c r="H24" s="1149">
        <v>2913.9</v>
      </c>
      <c r="I24" s="1150">
        <v>2913.9</v>
      </c>
      <c r="J24" s="1151">
        <v>2913.9</v>
      </c>
      <c r="K24" s="1312" t="s">
        <v>203</v>
      </c>
      <c r="L24" s="170">
        <v>518</v>
      </c>
      <c r="M24" s="522">
        <v>518</v>
      </c>
      <c r="N24" s="595">
        <v>518</v>
      </c>
    </row>
    <row r="25" spans="1:14" s="3" customFormat="1" ht="56.7" customHeight="1" x14ac:dyDescent="0.3">
      <c r="A25" s="1107"/>
      <c r="B25" s="6"/>
      <c r="C25" s="1126"/>
      <c r="D25" s="1110"/>
      <c r="E25" s="1447"/>
      <c r="F25" s="358"/>
      <c r="G25" s="1157" t="s">
        <v>300</v>
      </c>
      <c r="H25" s="1149">
        <v>329.7</v>
      </c>
      <c r="I25" s="1150">
        <v>329.7</v>
      </c>
      <c r="J25" s="1151">
        <v>329.7</v>
      </c>
      <c r="K25" s="1317" t="s">
        <v>204</v>
      </c>
      <c r="L25" s="170">
        <v>60</v>
      </c>
      <c r="M25" s="522">
        <v>60</v>
      </c>
      <c r="N25" s="595">
        <v>60</v>
      </c>
    </row>
    <row r="26" spans="1:14" s="3" customFormat="1" ht="57" customHeight="1" x14ac:dyDescent="0.3">
      <c r="A26" s="1107"/>
      <c r="B26" s="6"/>
      <c r="C26" s="1126"/>
      <c r="D26" s="1110"/>
      <c r="E26" s="1447"/>
      <c r="F26" s="358"/>
      <c r="G26" s="1157" t="s">
        <v>300</v>
      </c>
      <c r="H26" s="1149">
        <v>840.4</v>
      </c>
      <c r="I26" s="1150">
        <v>840.4</v>
      </c>
      <c r="J26" s="1151">
        <v>840.4</v>
      </c>
      <c r="K26" s="1313" t="s">
        <v>319</v>
      </c>
      <c r="L26" s="170">
        <v>125</v>
      </c>
      <c r="M26" s="522">
        <v>125</v>
      </c>
      <c r="N26" s="595">
        <v>125</v>
      </c>
    </row>
    <row r="27" spans="1:14" s="3" customFormat="1" ht="56.7" customHeight="1" x14ac:dyDescent="0.3">
      <c r="A27" s="1107"/>
      <c r="B27" s="6"/>
      <c r="C27" s="1126"/>
      <c r="D27" s="1110"/>
      <c r="E27" s="1447"/>
      <c r="F27" s="358"/>
      <c r="G27" s="1157" t="s">
        <v>300</v>
      </c>
      <c r="H27" s="1149">
        <v>197.9</v>
      </c>
      <c r="I27" s="1150">
        <v>197.9</v>
      </c>
      <c r="J27" s="1151">
        <v>197.9</v>
      </c>
      <c r="K27" s="1308" t="s">
        <v>206</v>
      </c>
      <c r="L27" s="170">
        <v>32</v>
      </c>
      <c r="M27" s="522">
        <v>32</v>
      </c>
      <c r="N27" s="595">
        <v>32</v>
      </c>
    </row>
    <row r="28" spans="1:14" s="3" customFormat="1" ht="56.7" customHeight="1" x14ac:dyDescent="0.3">
      <c r="A28" s="1107"/>
      <c r="B28" s="6"/>
      <c r="C28" s="1126"/>
      <c r="D28" s="1110"/>
      <c r="E28" s="1447"/>
      <c r="F28" s="358"/>
      <c r="G28" s="1157" t="s">
        <v>300</v>
      </c>
      <c r="H28" s="1149">
        <v>367.3</v>
      </c>
      <c r="I28" s="1150">
        <v>367.3</v>
      </c>
      <c r="J28" s="1151">
        <v>367.3</v>
      </c>
      <c r="K28" s="1317" t="s">
        <v>320</v>
      </c>
      <c r="L28" s="170">
        <v>35</v>
      </c>
      <c r="M28" s="522">
        <v>35</v>
      </c>
      <c r="N28" s="595">
        <v>35</v>
      </c>
    </row>
    <row r="29" spans="1:14" s="3" customFormat="1" ht="26.25" customHeight="1" x14ac:dyDescent="0.3">
      <c r="A29" s="1107"/>
      <c r="B29" s="6"/>
      <c r="C29" s="1126"/>
      <c r="D29" s="1110"/>
      <c r="E29" s="1447"/>
      <c r="F29" s="358"/>
      <c r="G29" s="1157" t="s">
        <v>300</v>
      </c>
      <c r="H29" s="1149">
        <v>32.9</v>
      </c>
      <c r="I29" s="1150">
        <v>32.9</v>
      </c>
      <c r="J29" s="1151">
        <v>32.9</v>
      </c>
      <c r="K29" s="1679" t="s">
        <v>208</v>
      </c>
      <c r="L29" s="35">
        <v>8</v>
      </c>
      <c r="M29" s="642">
        <v>8</v>
      </c>
      <c r="N29" s="608">
        <v>8</v>
      </c>
    </row>
    <row r="30" spans="1:14" s="3" customFormat="1" ht="43.95" customHeight="1" x14ac:dyDescent="0.3">
      <c r="A30" s="1107"/>
      <c r="B30" s="6"/>
      <c r="C30" s="1126"/>
      <c r="D30" s="1110"/>
      <c r="E30" s="1447"/>
      <c r="F30" s="358"/>
      <c r="G30" s="1157"/>
      <c r="H30" s="1149"/>
      <c r="I30" s="1150"/>
      <c r="J30" s="1151"/>
      <c r="K30" s="1697"/>
      <c r="L30" s="35"/>
      <c r="M30" s="642"/>
      <c r="N30" s="608"/>
    </row>
    <row r="31" spans="1:14" s="3" customFormat="1" ht="39.75" customHeight="1" x14ac:dyDescent="0.3">
      <c r="A31" s="1107"/>
      <c r="B31" s="6"/>
      <c r="C31" s="1126"/>
      <c r="D31" s="1113" t="s">
        <v>26</v>
      </c>
      <c r="E31" s="1328"/>
      <c r="F31" s="358"/>
      <c r="G31" s="1157" t="s">
        <v>300</v>
      </c>
      <c r="H31" s="1149">
        <v>929.6</v>
      </c>
      <c r="I31" s="1150">
        <v>926.6</v>
      </c>
      <c r="J31" s="1151">
        <v>929.6</v>
      </c>
      <c r="K31" s="1317" t="s">
        <v>27</v>
      </c>
      <c r="L31" s="170">
        <v>51</v>
      </c>
      <c r="M31" s="522">
        <v>51</v>
      </c>
      <c r="N31" s="595">
        <v>51</v>
      </c>
    </row>
    <row r="32" spans="1:14" s="3" customFormat="1" ht="27" customHeight="1" x14ac:dyDescent="0.3">
      <c r="A32" s="1107"/>
      <c r="B32" s="6"/>
      <c r="C32" s="1126"/>
      <c r="D32" s="1357" t="s">
        <v>28</v>
      </c>
      <c r="E32" s="1361"/>
      <c r="F32" s="358"/>
      <c r="G32" s="1157" t="s">
        <v>300</v>
      </c>
      <c r="H32" s="1149">
        <v>1799</v>
      </c>
      <c r="I32" s="1150">
        <v>1799</v>
      </c>
      <c r="J32" s="1151">
        <v>1799</v>
      </c>
      <c r="K32" s="1697" t="s">
        <v>29</v>
      </c>
      <c r="L32" s="35">
        <v>5293</v>
      </c>
      <c r="M32" s="642">
        <v>5293</v>
      </c>
      <c r="N32" s="609">
        <v>5293</v>
      </c>
    </row>
    <row r="33" spans="1:20" s="3" customFormat="1" ht="16.5" customHeight="1" x14ac:dyDescent="0.3">
      <c r="A33" s="1107"/>
      <c r="B33" s="6"/>
      <c r="C33" s="1126"/>
      <c r="D33" s="1357"/>
      <c r="E33" s="1439"/>
      <c r="F33" s="358"/>
      <c r="G33" s="1329"/>
      <c r="H33" s="1327"/>
      <c r="I33" s="1291"/>
      <c r="J33" s="1292"/>
      <c r="K33" s="1697"/>
      <c r="L33" s="170">
        <v>841</v>
      </c>
      <c r="M33" s="522">
        <v>841</v>
      </c>
      <c r="N33" s="623" t="s">
        <v>295</v>
      </c>
    </row>
    <row r="34" spans="1:20" s="3" customFormat="1" ht="27.6" customHeight="1" x14ac:dyDescent="0.3">
      <c r="A34" s="1354"/>
      <c r="B34" s="1355"/>
      <c r="C34" s="1119"/>
      <c r="D34" s="1356" t="s">
        <v>30</v>
      </c>
      <c r="E34" s="1440"/>
      <c r="F34" s="1125"/>
      <c r="G34" s="1326" t="s">
        <v>166</v>
      </c>
      <c r="H34" s="1149">
        <v>423.8</v>
      </c>
      <c r="I34" s="1150">
        <v>423.8</v>
      </c>
      <c r="J34" s="1151">
        <v>423.8</v>
      </c>
      <c r="K34" s="1172" t="s">
        <v>95</v>
      </c>
      <c r="L34" s="753">
        <v>5386</v>
      </c>
      <c r="M34" s="708">
        <v>5386</v>
      </c>
      <c r="N34" s="664">
        <v>5386</v>
      </c>
    </row>
    <row r="35" spans="1:20" s="3" customFormat="1" ht="27.6" customHeight="1" x14ac:dyDescent="0.3">
      <c r="A35" s="1354"/>
      <c r="B35" s="1355"/>
      <c r="C35" s="1119"/>
      <c r="D35" s="1357"/>
      <c r="E35" s="1441"/>
      <c r="F35" s="1125"/>
      <c r="G35" s="1326"/>
      <c r="H35" s="1149"/>
      <c r="I35" s="1150"/>
      <c r="J35" s="1151"/>
      <c r="K35" s="1318"/>
      <c r="L35" s="1310"/>
      <c r="M35" s="676"/>
      <c r="N35" s="622"/>
    </row>
    <row r="36" spans="1:20" s="2" customFormat="1" ht="17.25" customHeight="1" x14ac:dyDescent="0.3">
      <c r="A36" s="1354"/>
      <c r="B36" s="1355"/>
      <c r="C36" s="1119"/>
      <c r="D36" s="1368" t="s">
        <v>163</v>
      </c>
      <c r="E36" s="1421" t="s">
        <v>213</v>
      </c>
      <c r="F36" s="1422"/>
      <c r="G36" s="1326" t="s">
        <v>300</v>
      </c>
      <c r="H36" s="1217">
        <v>507.5</v>
      </c>
      <c r="I36" s="1164"/>
      <c r="J36" s="1188"/>
      <c r="K36" s="1685" t="s">
        <v>113</v>
      </c>
      <c r="L36" s="381">
        <v>108</v>
      </c>
      <c r="M36" s="644"/>
      <c r="N36" s="610"/>
    </row>
    <row r="37" spans="1:20" s="2" customFormat="1" ht="17.25" customHeight="1" x14ac:dyDescent="0.3">
      <c r="A37" s="1354"/>
      <c r="B37" s="1355"/>
      <c r="C37" s="1119"/>
      <c r="D37" s="1369"/>
      <c r="E37" s="1421"/>
      <c r="F37" s="1422"/>
      <c r="G37" s="1326" t="s">
        <v>308</v>
      </c>
      <c r="H37" s="1149">
        <v>256.10000000000002</v>
      </c>
      <c r="I37" s="1150"/>
      <c r="J37" s="1151"/>
      <c r="K37" s="1698"/>
      <c r="L37" s="757"/>
      <c r="M37" s="674"/>
      <c r="N37" s="663"/>
    </row>
    <row r="38" spans="1:20" s="2" customFormat="1" ht="17.25" customHeight="1" x14ac:dyDescent="0.3">
      <c r="A38" s="1354"/>
      <c r="B38" s="1355"/>
      <c r="C38" s="1119"/>
      <c r="D38" s="1369"/>
      <c r="E38" s="1421"/>
      <c r="F38" s="1422"/>
      <c r="G38" s="1326" t="s">
        <v>312</v>
      </c>
      <c r="H38" s="1149">
        <v>74</v>
      </c>
      <c r="I38" s="1150"/>
      <c r="J38" s="1151"/>
      <c r="K38" s="1698"/>
      <c r="L38" s="757"/>
      <c r="M38" s="674"/>
      <c r="N38" s="663"/>
      <c r="T38" s="3"/>
    </row>
    <row r="39" spans="1:20" s="2" customFormat="1" ht="17.25" customHeight="1" x14ac:dyDescent="0.3">
      <c r="A39" s="1107"/>
      <c r="B39" s="1108"/>
      <c r="C39" s="1119"/>
      <c r="D39" s="1503"/>
      <c r="E39" s="1421"/>
      <c r="F39" s="1422"/>
      <c r="G39" s="1329"/>
      <c r="H39" s="1327"/>
      <c r="I39" s="1291"/>
      <c r="J39" s="1292"/>
      <c r="K39" s="1319"/>
      <c r="L39" s="1310"/>
      <c r="M39" s="676"/>
      <c r="N39" s="666"/>
    </row>
    <row r="40" spans="1:20" s="2" customFormat="1" ht="27" customHeight="1" x14ac:dyDescent="0.3">
      <c r="A40" s="1107"/>
      <c r="B40" s="1108"/>
      <c r="C40" s="1119"/>
      <c r="D40" s="1357" t="s">
        <v>167</v>
      </c>
      <c r="E40" s="1421" t="s">
        <v>213</v>
      </c>
      <c r="F40" s="1422"/>
      <c r="G40" s="1326" t="s">
        <v>301</v>
      </c>
      <c r="H40" s="1217">
        <f>97.4+48.2</f>
        <v>145.60000000000002</v>
      </c>
      <c r="I40" s="1164">
        <f t="shared" ref="I40:J40" si="1">97.4+48.2</f>
        <v>145.60000000000002</v>
      </c>
      <c r="J40" s="1188">
        <f t="shared" si="1"/>
        <v>145.60000000000002</v>
      </c>
      <c r="K40" s="1176" t="s">
        <v>181</v>
      </c>
      <c r="L40" s="1035">
        <v>11</v>
      </c>
      <c r="M40" s="698">
        <v>11</v>
      </c>
      <c r="N40" s="599">
        <v>11</v>
      </c>
      <c r="Q40" s="3"/>
    </row>
    <row r="41" spans="1:20" s="2" customFormat="1" ht="29.4" customHeight="1" x14ac:dyDescent="0.3">
      <c r="A41" s="1107"/>
      <c r="B41" s="1108"/>
      <c r="C41" s="1119"/>
      <c r="D41" s="1357"/>
      <c r="E41" s="1421"/>
      <c r="F41" s="1422"/>
      <c r="G41" s="100"/>
      <c r="H41" s="855"/>
      <c r="I41" s="507"/>
      <c r="J41" s="857"/>
      <c r="K41" s="1172" t="s">
        <v>217</v>
      </c>
      <c r="L41" s="1033">
        <v>10</v>
      </c>
      <c r="M41" s="699">
        <v>10</v>
      </c>
      <c r="N41" s="594">
        <v>10</v>
      </c>
    </row>
    <row r="42" spans="1:20" s="2" customFormat="1" ht="67.2" customHeight="1" x14ac:dyDescent="0.3">
      <c r="A42" s="1107"/>
      <c r="B42" s="1108"/>
      <c r="C42" s="290"/>
      <c r="D42" s="127" t="s">
        <v>138</v>
      </c>
      <c r="E42" s="316"/>
      <c r="F42" s="359"/>
      <c r="G42" s="1160"/>
      <c r="H42" s="105"/>
      <c r="I42" s="413"/>
      <c r="J42" s="1323"/>
      <c r="K42" s="1320" t="s">
        <v>139</v>
      </c>
      <c r="L42" s="762">
        <v>2800</v>
      </c>
      <c r="M42" s="552">
        <v>2800</v>
      </c>
      <c r="N42" s="547">
        <v>2800</v>
      </c>
      <c r="Q42" s="3"/>
    </row>
    <row r="43" spans="1:20" s="2" customFormat="1" ht="67.95" customHeight="1" x14ac:dyDescent="0.3">
      <c r="A43" s="1107"/>
      <c r="B43" s="1108"/>
      <c r="C43" s="1119"/>
      <c r="D43" s="1131" t="s">
        <v>156</v>
      </c>
      <c r="E43" s="71"/>
      <c r="F43" s="359"/>
      <c r="G43" s="1160"/>
      <c r="H43" s="105"/>
      <c r="I43" s="413"/>
      <c r="J43" s="1323"/>
      <c r="K43" s="1176" t="s">
        <v>139</v>
      </c>
      <c r="L43" s="1159">
        <v>2800</v>
      </c>
      <c r="M43" s="553">
        <v>2800</v>
      </c>
      <c r="N43" s="837">
        <v>2800</v>
      </c>
    </row>
    <row r="44" spans="1:20" s="2" customFormat="1" ht="30.6" customHeight="1" x14ac:dyDescent="0.3">
      <c r="A44" s="1107"/>
      <c r="B44" s="1108"/>
      <c r="C44" s="1119"/>
      <c r="D44" s="1368" t="s">
        <v>246</v>
      </c>
      <c r="E44" s="71"/>
      <c r="F44" s="355"/>
      <c r="G44" s="1160"/>
      <c r="H44" s="105"/>
      <c r="I44" s="413"/>
      <c r="J44" s="1323"/>
      <c r="K44" s="1163" t="s">
        <v>249</v>
      </c>
      <c r="L44" s="761">
        <v>1</v>
      </c>
      <c r="M44" s="648"/>
      <c r="N44" s="1019"/>
    </row>
    <row r="45" spans="1:20" s="2" customFormat="1" ht="17.25" customHeight="1" thickBot="1" x14ac:dyDescent="0.35">
      <c r="A45" s="1116"/>
      <c r="B45" s="1114"/>
      <c r="C45" s="1120"/>
      <c r="D45" s="1382"/>
      <c r="E45" s="1427" t="s">
        <v>31</v>
      </c>
      <c r="F45" s="1428"/>
      <c r="G45" s="1430"/>
      <c r="H45" s="12">
        <f>SUM(H14:H19)</f>
        <v>10053.700000000001</v>
      </c>
      <c r="I45" s="12">
        <f>SUM(I14:I19)</f>
        <v>9213.1</v>
      </c>
      <c r="J45" s="184">
        <f t="shared" ref="J45" si="2">SUM(J14:J19)</f>
        <v>9216.1</v>
      </c>
      <c r="K45" s="1321"/>
      <c r="L45" s="1311"/>
      <c r="M45" s="659"/>
      <c r="N45" s="628"/>
    </row>
    <row r="46" spans="1:20" s="3" customFormat="1" ht="64.5" customHeight="1" x14ac:dyDescent="0.3">
      <c r="A46" s="1354" t="s">
        <v>13</v>
      </c>
      <c r="B46" s="1355" t="s">
        <v>13</v>
      </c>
      <c r="C46" s="1416" t="s">
        <v>32</v>
      </c>
      <c r="D46" s="1369" t="s">
        <v>33</v>
      </c>
      <c r="E46" s="1434"/>
      <c r="F46" s="1520" t="s">
        <v>17</v>
      </c>
      <c r="G46" s="119" t="s">
        <v>34</v>
      </c>
      <c r="H46" s="1077">
        <v>8714.7000000000007</v>
      </c>
      <c r="I46" s="1078">
        <v>8714.7000000000007</v>
      </c>
      <c r="J46" s="1079">
        <v>8714.7000000000007</v>
      </c>
      <c r="K46" s="121" t="s">
        <v>182</v>
      </c>
      <c r="L46" s="99">
        <v>4255</v>
      </c>
      <c r="M46" s="649">
        <v>4225</v>
      </c>
      <c r="N46" s="608">
        <v>4225</v>
      </c>
    </row>
    <row r="47" spans="1:20" s="3" customFormat="1" ht="16.5" customHeight="1" thickBot="1" x14ac:dyDescent="0.35">
      <c r="A47" s="1376"/>
      <c r="B47" s="1374"/>
      <c r="C47" s="1417"/>
      <c r="D47" s="1382"/>
      <c r="E47" s="1435"/>
      <c r="F47" s="1521"/>
      <c r="G47" s="84" t="s">
        <v>24</v>
      </c>
      <c r="H47" s="12">
        <f t="shared" ref="H47:J47" si="3">+H46</f>
        <v>8714.7000000000007</v>
      </c>
      <c r="I47" s="414">
        <f t="shared" si="3"/>
        <v>8714.7000000000007</v>
      </c>
      <c r="J47" s="396">
        <f t="shared" si="3"/>
        <v>8714.7000000000007</v>
      </c>
      <c r="K47" s="34"/>
      <c r="L47" s="723"/>
      <c r="M47" s="646"/>
      <c r="N47" s="613"/>
    </row>
    <row r="48" spans="1:20" s="3" customFormat="1" ht="18" customHeight="1" x14ac:dyDescent="0.3">
      <c r="A48" s="1115" t="s">
        <v>13</v>
      </c>
      <c r="B48" s="5" t="s">
        <v>13</v>
      </c>
      <c r="C48" s="206" t="s">
        <v>35</v>
      </c>
      <c r="D48" s="1381" t="s">
        <v>36</v>
      </c>
      <c r="E48" s="65"/>
      <c r="F48" s="36" t="s">
        <v>17</v>
      </c>
      <c r="G48" s="65" t="s">
        <v>34</v>
      </c>
      <c r="H48" s="1077">
        <v>26167.7</v>
      </c>
      <c r="I48" s="1078">
        <v>26167.7</v>
      </c>
      <c r="J48" s="1079">
        <v>26167.7</v>
      </c>
      <c r="K48" s="1391" t="s">
        <v>182</v>
      </c>
      <c r="L48" s="1303">
        <v>32400</v>
      </c>
      <c r="M48" s="1081">
        <v>32400</v>
      </c>
      <c r="N48" s="1082">
        <v>32400</v>
      </c>
    </row>
    <row r="49" spans="1:18" s="3" customFormat="1" ht="16.5" customHeight="1" thickBot="1" x14ac:dyDescent="0.35">
      <c r="A49" s="1116"/>
      <c r="B49" s="13"/>
      <c r="C49" s="1127"/>
      <c r="D49" s="1382"/>
      <c r="E49" s="14"/>
      <c r="F49" s="1135"/>
      <c r="G49" s="84" t="s">
        <v>24</v>
      </c>
      <c r="H49" s="8">
        <f t="shared" ref="H49:I49" si="4">+H48</f>
        <v>26167.7</v>
      </c>
      <c r="I49" s="407">
        <f t="shared" si="4"/>
        <v>26167.7</v>
      </c>
      <c r="J49" s="397">
        <f>+J48</f>
        <v>26167.7</v>
      </c>
      <c r="K49" s="1392"/>
      <c r="L49" s="1304"/>
      <c r="M49" s="677"/>
      <c r="N49" s="669"/>
    </row>
    <row r="50" spans="1:18" s="2" customFormat="1" ht="25.2" customHeight="1" x14ac:dyDescent="0.3">
      <c r="A50" s="1375" t="s">
        <v>13</v>
      </c>
      <c r="B50" s="1377" t="s">
        <v>13</v>
      </c>
      <c r="C50" s="1378" t="s">
        <v>37</v>
      </c>
      <c r="D50" s="1381" t="s">
        <v>129</v>
      </c>
      <c r="E50" s="65"/>
      <c r="F50" s="1141" t="s">
        <v>17</v>
      </c>
      <c r="G50" s="102" t="s">
        <v>20</v>
      </c>
      <c r="H50" s="1039">
        <v>126.4</v>
      </c>
      <c r="I50" s="1040">
        <v>1065.5</v>
      </c>
      <c r="J50" s="1041">
        <v>1065.5</v>
      </c>
      <c r="K50" s="1493" t="s">
        <v>130</v>
      </c>
      <c r="L50" s="99">
        <v>780</v>
      </c>
      <c r="M50" s="649">
        <v>780</v>
      </c>
      <c r="N50" s="615">
        <v>780</v>
      </c>
    </row>
    <row r="51" spans="1:18" s="2" customFormat="1" ht="25.2" customHeight="1" x14ac:dyDescent="0.3">
      <c r="A51" s="1354"/>
      <c r="B51" s="1355"/>
      <c r="C51" s="1379"/>
      <c r="D51" s="1369"/>
      <c r="E51" s="15"/>
      <c r="F51" s="1142"/>
      <c r="G51" s="79" t="s">
        <v>289</v>
      </c>
      <c r="H51" s="27">
        <v>859.6</v>
      </c>
      <c r="I51" s="402"/>
      <c r="J51" s="435"/>
      <c r="K51" s="1432"/>
      <c r="L51" s="35"/>
      <c r="M51" s="642"/>
      <c r="N51" s="608"/>
    </row>
    <row r="52" spans="1:18" s="3" customFormat="1" ht="16.5" customHeight="1" thickBot="1" x14ac:dyDescent="0.35">
      <c r="A52" s="1376"/>
      <c r="B52" s="1374"/>
      <c r="C52" s="1380"/>
      <c r="D52" s="1382"/>
      <c r="E52" s="14"/>
      <c r="F52" s="1135"/>
      <c r="G52" s="84" t="s">
        <v>24</v>
      </c>
      <c r="H52" s="12">
        <f>SUM(H50:H51)</f>
        <v>986</v>
      </c>
      <c r="I52" s="414">
        <f t="shared" ref="I52:J52" si="5">SUM(I50:I51)</f>
        <v>1065.5</v>
      </c>
      <c r="J52" s="1047">
        <f t="shared" si="5"/>
        <v>1065.5</v>
      </c>
      <c r="K52" s="1494"/>
      <c r="L52" s="1305"/>
      <c r="M52" s="678"/>
      <c r="N52" s="670"/>
    </row>
    <row r="53" spans="1:18" s="2" customFormat="1" ht="29.25" customHeight="1" x14ac:dyDescent="0.3">
      <c r="A53" s="1375" t="s">
        <v>13</v>
      </c>
      <c r="B53" s="1377" t="s">
        <v>13</v>
      </c>
      <c r="C53" s="1378" t="s">
        <v>38</v>
      </c>
      <c r="D53" s="1381" t="s">
        <v>151</v>
      </c>
      <c r="E53" s="65"/>
      <c r="F53" s="1141" t="s">
        <v>17</v>
      </c>
      <c r="G53" s="140" t="s">
        <v>18</v>
      </c>
      <c r="H53" s="382">
        <v>261.5</v>
      </c>
      <c r="I53" s="400">
        <v>261.5</v>
      </c>
      <c r="J53" s="398">
        <v>261.5</v>
      </c>
      <c r="K53" s="1302" t="s">
        <v>150</v>
      </c>
      <c r="L53" s="1238">
        <v>200</v>
      </c>
      <c r="M53" s="1005">
        <v>200</v>
      </c>
      <c r="N53" s="1006">
        <v>200</v>
      </c>
    </row>
    <row r="54" spans="1:18" s="2" customFormat="1" ht="26.4" customHeight="1" x14ac:dyDescent="0.3">
      <c r="A54" s="1354"/>
      <c r="B54" s="1355"/>
      <c r="C54" s="1379"/>
      <c r="D54" s="1369"/>
      <c r="E54" s="15"/>
      <c r="F54" s="1142"/>
      <c r="G54" s="141"/>
      <c r="H54" s="383"/>
      <c r="I54" s="404"/>
      <c r="J54" s="399"/>
      <c r="K54" s="1669" t="s">
        <v>292</v>
      </c>
      <c r="L54" s="1691">
        <v>50</v>
      </c>
      <c r="M54" s="1511">
        <v>50</v>
      </c>
      <c r="N54" s="1693">
        <v>50</v>
      </c>
    </row>
    <row r="55" spans="1:18" s="3" customFormat="1" ht="16.5" customHeight="1" thickBot="1" x14ac:dyDescent="0.35">
      <c r="A55" s="1376"/>
      <c r="B55" s="1374"/>
      <c r="C55" s="1380"/>
      <c r="D55" s="1382"/>
      <c r="E55" s="14"/>
      <c r="F55" s="1135"/>
      <c r="G55" s="84" t="s">
        <v>24</v>
      </c>
      <c r="H55" s="12">
        <f t="shared" ref="H55:J55" si="6">+H53+H54</f>
        <v>261.5</v>
      </c>
      <c r="I55" s="414">
        <f t="shared" si="6"/>
        <v>261.5</v>
      </c>
      <c r="J55" s="396">
        <f t="shared" si="6"/>
        <v>261.5</v>
      </c>
      <c r="K55" s="1674"/>
      <c r="L55" s="1692"/>
      <c r="M55" s="1512"/>
      <c r="N55" s="1694"/>
    </row>
    <row r="56" spans="1:18" s="2" customFormat="1" ht="29.25" customHeight="1" x14ac:dyDescent="0.3">
      <c r="A56" s="1375" t="s">
        <v>13</v>
      </c>
      <c r="B56" s="1377" t="s">
        <v>13</v>
      </c>
      <c r="C56" s="1378" t="s">
        <v>55</v>
      </c>
      <c r="D56" s="1381" t="s">
        <v>290</v>
      </c>
      <c r="E56" s="65"/>
      <c r="F56" s="1141" t="s">
        <v>17</v>
      </c>
      <c r="G56" s="140" t="s">
        <v>18</v>
      </c>
      <c r="H56" s="382">
        <v>50.4</v>
      </c>
      <c r="I56" s="400">
        <v>50.4</v>
      </c>
      <c r="J56" s="1091">
        <v>50.4</v>
      </c>
      <c r="K56" s="1678" t="s">
        <v>291</v>
      </c>
      <c r="L56" s="1238">
        <v>3</v>
      </c>
      <c r="M56" s="1005">
        <v>3</v>
      </c>
      <c r="N56" s="1006">
        <v>3</v>
      </c>
    </row>
    <row r="57" spans="1:18" s="3" customFormat="1" ht="16.5" customHeight="1" thickBot="1" x14ac:dyDescent="0.35">
      <c r="A57" s="1376"/>
      <c r="B57" s="1374"/>
      <c r="C57" s="1380"/>
      <c r="D57" s="1382"/>
      <c r="E57" s="14"/>
      <c r="F57" s="1135"/>
      <c r="G57" s="84" t="s">
        <v>24</v>
      </c>
      <c r="H57" s="12">
        <f t="shared" ref="H57:J57" si="7">+H56</f>
        <v>50.4</v>
      </c>
      <c r="I57" s="414">
        <f t="shared" si="7"/>
        <v>50.4</v>
      </c>
      <c r="J57" s="1047">
        <f t="shared" si="7"/>
        <v>50.4</v>
      </c>
      <c r="K57" s="1674"/>
      <c r="L57" s="1306"/>
      <c r="M57" s="679"/>
      <c r="N57" s="671"/>
    </row>
    <row r="58" spans="1:18" s="2" customFormat="1" ht="16.5" customHeight="1" thickBot="1" x14ac:dyDescent="0.35">
      <c r="A58" s="107" t="s">
        <v>13</v>
      </c>
      <c r="B58" s="4" t="s">
        <v>13</v>
      </c>
      <c r="C58" s="1383" t="s">
        <v>39</v>
      </c>
      <c r="D58" s="1384"/>
      <c r="E58" s="1384"/>
      <c r="F58" s="1384"/>
      <c r="G58" s="1385"/>
      <c r="H58" s="384">
        <f>H52+H49+H47+H45+H55+H57</f>
        <v>46234.000000000007</v>
      </c>
      <c r="I58" s="415">
        <f>I52+I49+I47+I45+I55+I57</f>
        <v>45472.9</v>
      </c>
      <c r="J58" s="1070">
        <f>J52+J49+J47+J45+J55+J57</f>
        <v>45475.9</v>
      </c>
      <c r="K58" s="1508"/>
      <c r="L58" s="1509"/>
      <c r="M58" s="1509"/>
      <c r="N58" s="1510"/>
      <c r="R58" s="3"/>
    </row>
    <row r="59" spans="1:18" s="2" customFormat="1" ht="16.5" customHeight="1" thickBot="1" x14ac:dyDescent="0.35">
      <c r="A59" s="108" t="s">
        <v>13</v>
      </c>
      <c r="B59" s="4" t="s">
        <v>32</v>
      </c>
      <c r="C59" s="1388" t="s">
        <v>40</v>
      </c>
      <c r="D59" s="1388"/>
      <c r="E59" s="1388"/>
      <c r="F59" s="1388"/>
      <c r="G59" s="1389"/>
      <c r="H59" s="1389"/>
      <c r="I59" s="1389"/>
      <c r="J59" s="1389"/>
      <c r="K59" s="1388"/>
      <c r="L59" s="1388"/>
      <c r="M59" s="1388"/>
      <c r="N59" s="1390"/>
    </row>
    <row r="60" spans="1:18" s="3" customFormat="1" ht="15" customHeight="1" x14ac:dyDescent="0.3">
      <c r="A60" s="1115" t="s">
        <v>13</v>
      </c>
      <c r="B60" s="1117" t="s">
        <v>32</v>
      </c>
      <c r="C60" s="1143" t="s">
        <v>13</v>
      </c>
      <c r="D60" s="1522" t="s">
        <v>41</v>
      </c>
      <c r="E60" s="1667"/>
      <c r="F60" s="317">
        <v>3</v>
      </c>
      <c r="G60" s="1193" t="s">
        <v>20</v>
      </c>
      <c r="H60" s="1205">
        <v>2775.1</v>
      </c>
      <c r="I60" s="1195">
        <v>2846</v>
      </c>
      <c r="J60" s="1184">
        <v>2867.5</v>
      </c>
      <c r="K60" s="1161"/>
      <c r="L60" s="710"/>
      <c r="M60" s="632"/>
      <c r="N60" s="593"/>
    </row>
    <row r="61" spans="1:18" s="3" customFormat="1" ht="15" customHeight="1" x14ac:dyDescent="0.3">
      <c r="A61" s="1107"/>
      <c r="B61" s="1108"/>
      <c r="C61" s="1144"/>
      <c r="D61" s="1523"/>
      <c r="E61" s="1361"/>
      <c r="F61" s="296"/>
      <c r="G61" s="125" t="s">
        <v>289</v>
      </c>
      <c r="H61" s="1206">
        <v>3050.3</v>
      </c>
      <c r="I61" s="1196">
        <v>3049.3</v>
      </c>
      <c r="J61" s="1185">
        <v>3049.3</v>
      </c>
      <c r="K61" s="1162"/>
      <c r="L61" s="711"/>
      <c r="M61" s="633"/>
      <c r="N61" s="594"/>
    </row>
    <row r="62" spans="1:18" s="3" customFormat="1" ht="15" customHeight="1" x14ac:dyDescent="0.3">
      <c r="A62" s="1107"/>
      <c r="B62" s="1108"/>
      <c r="C62" s="1144"/>
      <c r="D62" s="1523"/>
      <c r="E62" s="1361"/>
      <c r="F62" s="296"/>
      <c r="G62" s="125" t="s">
        <v>42</v>
      </c>
      <c r="H62" s="1206">
        <v>718</v>
      </c>
      <c r="I62" s="1196">
        <v>709.6</v>
      </c>
      <c r="J62" s="1185">
        <v>719.6</v>
      </c>
      <c r="K62" s="1162"/>
      <c r="L62" s="711"/>
      <c r="M62" s="633"/>
      <c r="N62" s="594"/>
    </row>
    <row r="63" spans="1:18" s="3" customFormat="1" ht="15" customHeight="1" x14ac:dyDescent="0.3">
      <c r="A63" s="1107"/>
      <c r="B63" s="1108"/>
      <c r="C63" s="1144"/>
      <c r="D63" s="1523"/>
      <c r="E63" s="1361"/>
      <c r="F63" s="296"/>
      <c r="G63" s="125" t="s">
        <v>86</v>
      </c>
      <c r="H63" s="1206">
        <v>154.30000000000001</v>
      </c>
      <c r="I63" s="1196"/>
      <c r="J63" s="1185"/>
      <c r="K63" s="1162"/>
      <c r="L63" s="711"/>
      <c r="M63" s="633"/>
      <c r="N63" s="594"/>
    </row>
    <row r="64" spans="1:18" s="3" customFormat="1" ht="15" customHeight="1" x14ac:dyDescent="0.3">
      <c r="A64" s="1107"/>
      <c r="B64" s="1108"/>
      <c r="C64" s="1144"/>
      <c r="D64" s="1523"/>
      <c r="E64" s="1361"/>
      <c r="F64" s="296"/>
      <c r="G64" s="125" t="s">
        <v>18</v>
      </c>
      <c r="H64" s="126">
        <f>92+24.7+30.4</f>
        <v>147.1</v>
      </c>
      <c r="I64" s="1196">
        <v>92</v>
      </c>
      <c r="J64" s="1185">
        <v>92</v>
      </c>
      <c r="K64" s="1162"/>
      <c r="L64" s="711"/>
      <c r="M64" s="633"/>
      <c r="N64" s="594"/>
    </row>
    <row r="65" spans="1:14" s="3" customFormat="1" ht="15" customHeight="1" x14ac:dyDescent="0.3">
      <c r="A65" s="1107"/>
      <c r="B65" s="1108"/>
      <c r="C65" s="1144"/>
      <c r="D65" s="1523"/>
      <c r="E65" s="1361"/>
      <c r="F65" s="296"/>
      <c r="G65" s="125" t="s">
        <v>127</v>
      </c>
      <c r="H65" s="1206">
        <v>90.6</v>
      </c>
      <c r="I65" s="1196"/>
      <c r="J65" s="1185"/>
      <c r="K65" s="1162"/>
      <c r="L65" s="711"/>
      <c r="M65" s="633"/>
      <c r="N65" s="594"/>
    </row>
    <row r="66" spans="1:14" s="3" customFormat="1" ht="15" customHeight="1" x14ac:dyDescent="0.3">
      <c r="A66" s="1107"/>
      <c r="B66" s="1108"/>
      <c r="C66" s="1144"/>
      <c r="D66" s="1523"/>
      <c r="E66" s="1361"/>
      <c r="F66" s="296"/>
      <c r="G66" s="1035" t="s">
        <v>128</v>
      </c>
      <c r="H66" s="1206">
        <v>6.5</v>
      </c>
      <c r="I66" s="1196"/>
      <c r="J66" s="1185"/>
      <c r="K66" s="1162"/>
      <c r="L66" s="711"/>
      <c r="M66" s="633"/>
      <c r="N66" s="594"/>
    </row>
    <row r="67" spans="1:14" s="3" customFormat="1" ht="15" customHeight="1" x14ac:dyDescent="0.3">
      <c r="A67" s="1107"/>
      <c r="B67" s="1108"/>
      <c r="C67" s="1144"/>
      <c r="D67" s="1523"/>
      <c r="E67" s="1361"/>
      <c r="F67" s="296"/>
      <c r="G67" s="125" t="s">
        <v>34</v>
      </c>
      <c r="H67" s="1206">
        <v>23</v>
      </c>
      <c r="I67" s="1196">
        <v>24</v>
      </c>
      <c r="J67" s="1185">
        <v>25</v>
      </c>
      <c r="K67" s="1162"/>
      <c r="L67" s="711"/>
      <c r="M67" s="633"/>
      <c r="N67" s="594"/>
    </row>
    <row r="68" spans="1:14" s="3" customFormat="1" ht="15" customHeight="1" x14ac:dyDescent="0.3">
      <c r="A68" s="1107"/>
      <c r="B68" s="1108"/>
      <c r="C68" s="1144"/>
      <c r="D68" s="1523"/>
      <c r="E68" s="1361"/>
      <c r="F68" s="296"/>
      <c r="G68" s="1035" t="s">
        <v>57</v>
      </c>
      <c r="H68" s="1206">
        <v>43.1</v>
      </c>
      <c r="I68" s="1196"/>
      <c r="J68" s="1185"/>
      <c r="K68" s="1162"/>
      <c r="L68" s="711"/>
      <c r="M68" s="633"/>
      <c r="N68" s="594"/>
    </row>
    <row r="69" spans="1:14" s="3" customFormat="1" ht="15" customHeight="1" x14ac:dyDescent="0.3">
      <c r="A69" s="1107"/>
      <c r="B69" s="1108"/>
      <c r="C69" s="1144"/>
      <c r="D69" s="1523"/>
      <c r="E69" s="1361"/>
      <c r="F69" s="296"/>
      <c r="G69" s="139" t="s">
        <v>43</v>
      </c>
      <c r="H69" s="1207">
        <v>6</v>
      </c>
      <c r="I69" s="1197">
        <v>6</v>
      </c>
      <c r="J69" s="1186">
        <v>7</v>
      </c>
      <c r="K69" s="1163"/>
      <c r="L69" s="711"/>
      <c r="M69" s="633"/>
      <c r="N69" s="594"/>
    </row>
    <row r="70" spans="1:14" s="3" customFormat="1" ht="18" customHeight="1" x14ac:dyDescent="0.3">
      <c r="A70" s="1107"/>
      <c r="B70" s="1108"/>
      <c r="C70" s="1119"/>
      <c r="D70" s="1443" t="s">
        <v>310</v>
      </c>
      <c r="E70" s="1361"/>
      <c r="F70" s="296"/>
      <c r="G70" s="1187" t="s">
        <v>166</v>
      </c>
      <c r="H70" s="1208">
        <v>287</v>
      </c>
      <c r="I70" s="1152">
        <v>345.8</v>
      </c>
      <c r="J70" s="1198">
        <v>345.8</v>
      </c>
      <c r="K70" s="1168" t="s">
        <v>85</v>
      </c>
      <c r="L70" s="9">
        <v>82</v>
      </c>
      <c r="M70" s="519">
        <v>82</v>
      </c>
      <c r="N70" s="606">
        <v>82</v>
      </c>
    </row>
    <row r="71" spans="1:14" s="3" customFormat="1" ht="18" customHeight="1" x14ac:dyDescent="0.3">
      <c r="A71" s="1107"/>
      <c r="B71" s="1108"/>
      <c r="C71" s="1119"/>
      <c r="D71" s="1444"/>
      <c r="E71" s="1361"/>
      <c r="F71" s="296"/>
      <c r="G71" s="1187" t="s">
        <v>302</v>
      </c>
      <c r="H71" s="1208">
        <v>405</v>
      </c>
      <c r="I71" s="1152">
        <v>405</v>
      </c>
      <c r="J71" s="1198">
        <v>415</v>
      </c>
      <c r="K71" s="1169" t="s">
        <v>243</v>
      </c>
      <c r="L71" s="170">
        <v>1</v>
      </c>
      <c r="M71" s="522"/>
      <c r="N71" s="595"/>
    </row>
    <row r="72" spans="1:14" s="3" customFormat="1" ht="15.6" customHeight="1" x14ac:dyDescent="0.3">
      <c r="A72" s="1107"/>
      <c r="B72" s="1108"/>
      <c r="C72" s="1119"/>
      <c r="D72" s="1443" t="s">
        <v>184</v>
      </c>
      <c r="E72" s="267" t="s">
        <v>213</v>
      </c>
      <c r="F72" s="296"/>
      <c r="G72" s="1187" t="s">
        <v>166</v>
      </c>
      <c r="H72" s="1208">
        <v>804.2</v>
      </c>
      <c r="I72" s="1152">
        <v>804.2</v>
      </c>
      <c r="J72" s="1198">
        <v>804.2</v>
      </c>
      <c r="K72" s="1686" t="s">
        <v>183</v>
      </c>
      <c r="L72" s="712">
        <v>160</v>
      </c>
      <c r="M72" s="634">
        <v>160</v>
      </c>
      <c r="N72" s="596">
        <v>160</v>
      </c>
    </row>
    <row r="73" spans="1:14" s="3" customFormat="1" ht="15.6" customHeight="1" x14ac:dyDescent="0.3">
      <c r="A73" s="1107"/>
      <c r="B73" s="1108"/>
      <c r="C73" s="1119"/>
      <c r="D73" s="1444"/>
      <c r="E73" s="269"/>
      <c r="F73" s="296"/>
      <c r="G73" s="1187" t="s">
        <v>301</v>
      </c>
      <c r="H73" s="1208">
        <v>393.6</v>
      </c>
      <c r="I73" s="1152">
        <v>393.6</v>
      </c>
      <c r="J73" s="1198">
        <v>393.6</v>
      </c>
      <c r="K73" s="1687"/>
      <c r="L73" s="1014"/>
      <c r="M73" s="1015"/>
      <c r="N73" s="1016"/>
    </row>
    <row r="74" spans="1:14" s="3" customFormat="1" ht="27" customHeight="1" x14ac:dyDescent="0.3">
      <c r="A74" s="1107"/>
      <c r="B74" s="1108"/>
      <c r="C74" s="1119"/>
      <c r="D74" s="1123"/>
      <c r="E74" s="267" t="s">
        <v>213</v>
      </c>
      <c r="F74" s="296"/>
      <c r="G74" s="1187" t="s">
        <v>302</v>
      </c>
      <c r="H74" s="1208">
        <v>129.9</v>
      </c>
      <c r="I74" s="1152">
        <v>129.9</v>
      </c>
      <c r="J74" s="1198">
        <v>129.9</v>
      </c>
      <c r="K74" s="1686" t="s">
        <v>187</v>
      </c>
      <c r="L74" s="713" t="s">
        <v>210</v>
      </c>
      <c r="M74" s="635" t="s">
        <v>210</v>
      </c>
      <c r="N74" s="597" t="s">
        <v>210</v>
      </c>
    </row>
    <row r="75" spans="1:14" s="3" customFormat="1" ht="27" customHeight="1" x14ac:dyDescent="0.3">
      <c r="A75" s="1107"/>
      <c r="B75" s="1108"/>
      <c r="C75" s="1119"/>
      <c r="D75" s="1123"/>
      <c r="E75" s="269"/>
      <c r="F75" s="296"/>
      <c r="G75" s="1187" t="s">
        <v>303</v>
      </c>
      <c r="H75" s="1208">
        <v>15.6</v>
      </c>
      <c r="I75" s="1152"/>
      <c r="J75" s="1198"/>
      <c r="K75" s="1687"/>
      <c r="L75" s="714"/>
      <c r="M75" s="636"/>
      <c r="N75" s="598"/>
    </row>
    <row r="76" spans="1:14" s="3" customFormat="1" ht="30" customHeight="1" x14ac:dyDescent="0.3">
      <c r="A76" s="1107"/>
      <c r="B76" s="1108"/>
      <c r="C76" s="1119"/>
      <c r="D76" s="1123"/>
      <c r="E76" s="1361"/>
      <c r="F76" s="296"/>
      <c r="G76" s="1187" t="s">
        <v>304</v>
      </c>
      <c r="H76" s="1208">
        <v>6</v>
      </c>
      <c r="I76" s="1152">
        <v>6</v>
      </c>
      <c r="J76" s="1198">
        <v>7</v>
      </c>
      <c r="K76" s="1171" t="s">
        <v>140</v>
      </c>
      <c r="L76" s="125">
        <v>250</v>
      </c>
      <c r="M76" s="521">
        <v>250</v>
      </c>
      <c r="N76" s="599">
        <v>250</v>
      </c>
    </row>
    <row r="77" spans="1:14" s="3" customFormat="1" ht="30.75" customHeight="1" x14ac:dyDescent="0.3">
      <c r="A77" s="1107"/>
      <c r="B77" s="1108"/>
      <c r="C77" s="1119"/>
      <c r="D77" s="1123"/>
      <c r="E77" s="1361"/>
      <c r="F77" s="296"/>
      <c r="G77" s="1187" t="s">
        <v>305</v>
      </c>
      <c r="H77" s="1209">
        <v>23</v>
      </c>
      <c r="I77" s="1181">
        <v>24</v>
      </c>
      <c r="J77" s="1199">
        <v>25</v>
      </c>
      <c r="K77" s="1172" t="s">
        <v>188</v>
      </c>
      <c r="L77" s="715" t="s">
        <v>250</v>
      </c>
      <c r="M77" s="638" t="s">
        <v>250</v>
      </c>
      <c r="N77" s="602" t="s">
        <v>270</v>
      </c>
    </row>
    <row r="78" spans="1:14" s="3" customFormat="1" ht="18" customHeight="1" x14ac:dyDescent="0.3">
      <c r="A78" s="1333"/>
      <c r="B78" s="1332"/>
      <c r="C78" s="1330"/>
      <c r="D78" s="1331"/>
      <c r="E78" s="1336"/>
      <c r="F78" s="296"/>
      <c r="G78" s="1187"/>
      <c r="H78" s="1209"/>
      <c r="I78" s="1181"/>
      <c r="J78" s="1199"/>
      <c r="K78" s="1170" t="s">
        <v>168</v>
      </c>
      <c r="L78" s="712"/>
      <c r="M78" s="634"/>
      <c r="N78" s="596">
        <v>1</v>
      </c>
    </row>
    <row r="79" spans="1:14" s="3" customFormat="1" ht="55.5" customHeight="1" x14ac:dyDescent="0.3">
      <c r="A79" s="1107"/>
      <c r="B79" s="1108"/>
      <c r="C79" s="1119"/>
      <c r="D79" s="305" t="s">
        <v>126</v>
      </c>
      <c r="E79" s="155"/>
      <c r="F79" s="78"/>
      <c r="G79" s="1189" t="s">
        <v>306</v>
      </c>
      <c r="H79" s="1209">
        <v>43.1</v>
      </c>
      <c r="I79" s="1152"/>
      <c r="J79" s="1198"/>
      <c r="K79" s="1171" t="s">
        <v>189</v>
      </c>
      <c r="L79" s="716">
        <v>0.5</v>
      </c>
      <c r="M79" s="637">
        <v>0.5</v>
      </c>
      <c r="N79" s="600"/>
    </row>
    <row r="80" spans="1:14" s="3" customFormat="1" ht="30.75" customHeight="1" x14ac:dyDescent="0.3">
      <c r="A80" s="1107"/>
      <c r="B80" s="1108"/>
      <c r="C80" s="1119"/>
      <c r="D80" s="1123"/>
      <c r="E80" s="155"/>
      <c r="F80" s="78"/>
      <c r="G80" s="1190"/>
      <c r="H80" s="1210"/>
      <c r="I80" s="1181"/>
      <c r="J80" s="1199"/>
      <c r="K80" s="1173" t="s">
        <v>111</v>
      </c>
      <c r="L80" s="466">
        <v>20</v>
      </c>
      <c r="M80" s="477"/>
      <c r="N80" s="471"/>
    </row>
    <row r="81" spans="1:15" s="3" customFormat="1" ht="21.6" customHeight="1" x14ac:dyDescent="0.3">
      <c r="A81" s="1107"/>
      <c r="B81" s="1108"/>
      <c r="C81" s="1119"/>
      <c r="D81" s="1443" t="s">
        <v>116</v>
      </c>
      <c r="E81" s="318" t="s">
        <v>213</v>
      </c>
      <c r="F81" s="296"/>
      <c r="G81" s="1187" t="s">
        <v>166</v>
      </c>
      <c r="H81" s="1208">
        <v>436.6</v>
      </c>
      <c r="I81" s="1152">
        <v>436.6</v>
      </c>
      <c r="J81" s="1198">
        <v>436.6</v>
      </c>
      <c r="K81" s="1688" t="s">
        <v>141</v>
      </c>
      <c r="L81" s="1017">
        <v>70</v>
      </c>
      <c r="M81" s="784">
        <v>70</v>
      </c>
      <c r="N81" s="546">
        <v>70</v>
      </c>
    </row>
    <row r="82" spans="1:15" s="3" customFormat="1" ht="21.6" customHeight="1" x14ac:dyDescent="0.3">
      <c r="A82" s="1107"/>
      <c r="B82" s="1108"/>
      <c r="C82" s="1119"/>
      <c r="D82" s="1444"/>
      <c r="E82" s="367"/>
      <c r="F82" s="296"/>
      <c r="G82" s="1187" t="s">
        <v>301</v>
      </c>
      <c r="H82" s="1208">
        <v>234</v>
      </c>
      <c r="I82" s="1152">
        <v>234</v>
      </c>
      <c r="J82" s="1198">
        <v>234</v>
      </c>
      <c r="K82" s="1689"/>
      <c r="L82" s="717"/>
      <c r="M82" s="704"/>
      <c r="N82" s="601"/>
    </row>
    <row r="83" spans="1:15" s="3" customFormat="1" ht="28.5" customHeight="1" x14ac:dyDescent="0.3">
      <c r="A83" s="1107"/>
      <c r="B83" s="1108"/>
      <c r="C83" s="1119"/>
      <c r="D83" s="62"/>
      <c r="E83" s="310"/>
      <c r="F83" s="296"/>
      <c r="G83" s="1187" t="s">
        <v>302</v>
      </c>
      <c r="H83" s="1208">
        <v>107.4</v>
      </c>
      <c r="I83" s="1152">
        <v>107.4</v>
      </c>
      <c r="J83" s="1198">
        <v>107.4</v>
      </c>
      <c r="K83" s="1174" t="s">
        <v>142</v>
      </c>
      <c r="L83" s="718">
        <v>66</v>
      </c>
      <c r="M83" s="705">
        <v>66</v>
      </c>
      <c r="N83" s="601">
        <v>66</v>
      </c>
    </row>
    <row r="84" spans="1:15" s="3" customFormat="1" ht="41.25" customHeight="1" x14ac:dyDescent="0.3">
      <c r="A84" s="1107"/>
      <c r="B84" s="1108"/>
      <c r="C84" s="1119"/>
      <c r="D84" s="62"/>
      <c r="E84" s="155"/>
      <c r="F84" s="78"/>
      <c r="G84" s="1187" t="s">
        <v>303</v>
      </c>
      <c r="H84" s="1208">
        <v>18.7</v>
      </c>
      <c r="I84" s="1152"/>
      <c r="J84" s="1198"/>
      <c r="K84" s="1175" t="s">
        <v>143</v>
      </c>
      <c r="L84" s="558">
        <v>100</v>
      </c>
      <c r="M84" s="550">
        <v>100</v>
      </c>
      <c r="N84" s="545">
        <v>100</v>
      </c>
    </row>
    <row r="85" spans="1:15" s="3" customFormat="1" ht="53.25" customHeight="1" x14ac:dyDescent="0.3">
      <c r="A85" s="1107"/>
      <c r="B85" s="1108"/>
      <c r="C85" s="1119"/>
      <c r="D85" s="1368" t="s">
        <v>44</v>
      </c>
      <c r="E85" s="155"/>
      <c r="F85" s="1125"/>
      <c r="G85" s="1187" t="s">
        <v>166</v>
      </c>
      <c r="H85" s="1211">
        <v>704.8</v>
      </c>
      <c r="I85" s="1182">
        <v>704.8</v>
      </c>
      <c r="J85" s="1200">
        <v>704.8</v>
      </c>
      <c r="K85" s="1176" t="s">
        <v>321</v>
      </c>
      <c r="L85" s="719">
        <v>24000</v>
      </c>
      <c r="M85" s="639">
        <v>24000</v>
      </c>
      <c r="N85" s="603">
        <v>24000</v>
      </c>
    </row>
    <row r="86" spans="1:15" s="3" customFormat="1" ht="17.7" customHeight="1" x14ac:dyDescent="0.3">
      <c r="A86" s="1107"/>
      <c r="B86" s="1108"/>
      <c r="C86" s="1119"/>
      <c r="D86" s="1369"/>
      <c r="E86" s="91"/>
      <c r="F86" s="1125"/>
      <c r="G86" s="1187" t="s">
        <v>301</v>
      </c>
      <c r="H86" s="1211">
        <v>284.5</v>
      </c>
      <c r="I86" s="1182">
        <v>284.5</v>
      </c>
      <c r="J86" s="1200">
        <v>284.5</v>
      </c>
      <c r="K86" s="1176" t="s">
        <v>243</v>
      </c>
      <c r="L86" s="79">
        <v>4</v>
      </c>
      <c r="M86" s="640">
        <v>6</v>
      </c>
      <c r="N86" s="603"/>
    </row>
    <row r="87" spans="1:15" s="3" customFormat="1" ht="29.25" customHeight="1" x14ac:dyDescent="0.3">
      <c r="A87" s="1107"/>
      <c r="B87" s="1108"/>
      <c r="C87" s="1119"/>
      <c r="D87" s="1369"/>
      <c r="F87" s="157"/>
      <c r="G87" s="1187" t="s">
        <v>302</v>
      </c>
      <c r="H87" s="1212">
        <v>0.8</v>
      </c>
      <c r="I87" s="1166">
        <v>0.8</v>
      </c>
      <c r="J87" s="1201">
        <v>0.8</v>
      </c>
      <c r="K87" s="1172" t="s">
        <v>144</v>
      </c>
      <c r="L87" s="9">
        <v>10</v>
      </c>
      <c r="M87" s="522">
        <v>10</v>
      </c>
      <c r="N87" s="610">
        <v>10</v>
      </c>
    </row>
    <row r="88" spans="1:15" s="3" customFormat="1" ht="42" customHeight="1" x14ac:dyDescent="0.3">
      <c r="A88" s="1107"/>
      <c r="B88" s="1108"/>
      <c r="C88" s="1119"/>
      <c r="D88" s="1131"/>
      <c r="E88" s="155"/>
      <c r="F88" s="1125"/>
      <c r="G88" s="1187" t="s">
        <v>303</v>
      </c>
      <c r="H88" s="1212">
        <v>0.5</v>
      </c>
      <c r="I88" s="1166"/>
      <c r="J88" s="1201"/>
      <c r="K88" s="1176" t="s">
        <v>169</v>
      </c>
      <c r="L88" s="170">
        <v>5</v>
      </c>
      <c r="M88" s="522">
        <v>5</v>
      </c>
      <c r="N88" s="595">
        <v>5</v>
      </c>
    </row>
    <row r="89" spans="1:15" s="3" customFormat="1" ht="41.25" customHeight="1" x14ac:dyDescent="0.3">
      <c r="A89" s="1107"/>
      <c r="B89" s="1108"/>
      <c r="C89" s="1119"/>
      <c r="D89" s="1131"/>
      <c r="E89" s="155"/>
      <c r="F89" s="1125"/>
      <c r="G89" s="1189"/>
      <c r="H89" s="1212"/>
      <c r="I89" s="1166"/>
      <c r="J89" s="1201"/>
      <c r="K89" s="1176" t="s">
        <v>190</v>
      </c>
      <c r="L89" s="720" t="s">
        <v>209</v>
      </c>
      <c r="M89" s="706" t="s">
        <v>209</v>
      </c>
      <c r="N89" s="605" t="s">
        <v>209</v>
      </c>
    </row>
    <row r="90" spans="1:15" s="3" customFormat="1" ht="28.5" customHeight="1" x14ac:dyDescent="0.3">
      <c r="A90" s="1107"/>
      <c r="B90" s="1108"/>
      <c r="C90" s="1119"/>
      <c r="D90" s="1131"/>
      <c r="E90" s="155"/>
      <c r="F90" s="1125"/>
      <c r="G90" s="1189"/>
      <c r="H90" s="1212"/>
      <c r="I90" s="1166"/>
      <c r="J90" s="1201"/>
      <c r="K90" s="1172" t="s">
        <v>158</v>
      </c>
      <c r="L90" s="35">
        <v>230</v>
      </c>
      <c r="M90" s="642">
        <v>230</v>
      </c>
      <c r="N90" s="606">
        <v>230</v>
      </c>
    </row>
    <row r="91" spans="1:15" s="2" customFormat="1" ht="21.75" customHeight="1" x14ac:dyDescent="0.3">
      <c r="A91" s="1495"/>
      <c r="B91" s="1496"/>
      <c r="C91" s="1379"/>
      <c r="D91" s="1690" t="s">
        <v>198</v>
      </c>
      <c r="E91" s="1500"/>
      <c r="F91" s="1422"/>
      <c r="G91" s="1189" t="s">
        <v>307</v>
      </c>
      <c r="H91" s="1208">
        <v>6.5</v>
      </c>
      <c r="I91" s="1152"/>
      <c r="J91" s="1198"/>
      <c r="K91" s="1178" t="s">
        <v>177</v>
      </c>
      <c r="L91" s="381">
        <v>1</v>
      </c>
      <c r="M91" s="644">
        <v>1</v>
      </c>
      <c r="N91" s="470"/>
    </row>
    <row r="92" spans="1:15" s="2" customFormat="1" ht="35.25" customHeight="1" x14ac:dyDescent="0.3">
      <c r="A92" s="1495"/>
      <c r="B92" s="1496"/>
      <c r="C92" s="1379"/>
      <c r="D92" s="1498"/>
      <c r="E92" s="1500"/>
      <c r="F92" s="1422"/>
      <c r="G92" s="1187" t="s">
        <v>308</v>
      </c>
      <c r="H92" s="1208">
        <v>90.6</v>
      </c>
      <c r="I92" s="1152"/>
      <c r="J92" s="1198"/>
      <c r="K92" s="376" t="s">
        <v>178</v>
      </c>
      <c r="L92" s="381">
        <v>6</v>
      </c>
      <c r="M92" s="644">
        <v>6</v>
      </c>
      <c r="N92" s="470"/>
    </row>
    <row r="93" spans="1:15" s="2" customFormat="1" ht="24.75" customHeight="1" x14ac:dyDescent="0.3">
      <c r="A93" s="1495"/>
      <c r="B93" s="1496"/>
      <c r="C93" s="1379"/>
      <c r="D93" s="1499"/>
      <c r="E93" s="1500"/>
      <c r="F93" s="1422"/>
      <c r="G93" s="1187"/>
      <c r="H93" s="1208"/>
      <c r="I93" s="1152"/>
      <c r="J93" s="1198"/>
      <c r="K93" s="1202"/>
      <c r="L93" s="757"/>
      <c r="M93" s="674"/>
      <c r="N93" s="663"/>
    </row>
    <row r="94" spans="1:15" s="3" customFormat="1" ht="41.25" customHeight="1" x14ac:dyDescent="0.3">
      <c r="A94" s="1107"/>
      <c r="B94" s="1108"/>
      <c r="C94" s="1119"/>
      <c r="D94" s="319" t="s">
        <v>185</v>
      </c>
      <c r="E94" s="155"/>
      <c r="F94" s="1125"/>
      <c r="G94" s="1187" t="s">
        <v>309</v>
      </c>
      <c r="H94" s="1209">
        <v>2.2999999999999998</v>
      </c>
      <c r="I94" s="1181">
        <v>2.2999999999999998</v>
      </c>
      <c r="J94" s="1199">
        <v>2.2999999999999998</v>
      </c>
      <c r="K94" s="1179"/>
      <c r="L94" s="35"/>
      <c r="M94" s="642"/>
      <c r="N94" s="608"/>
    </row>
    <row r="95" spans="1:15" s="3" customFormat="1" ht="43.5" customHeight="1" x14ac:dyDescent="0.3">
      <c r="A95" s="1107"/>
      <c r="B95" s="1108"/>
      <c r="C95" s="1119"/>
      <c r="D95" s="305" t="s">
        <v>108</v>
      </c>
      <c r="E95" s="57"/>
      <c r="F95" s="1125"/>
      <c r="G95" s="1187" t="s">
        <v>309</v>
      </c>
      <c r="H95" s="1209">
        <v>1.9</v>
      </c>
      <c r="I95" s="1181">
        <v>1.9</v>
      </c>
      <c r="J95" s="1199">
        <v>1.9</v>
      </c>
      <c r="K95" s="1180"/>
      <c r="L95" s="35"/>
      <c r="M95" s="642"/>
      <c r="N95" s="608"/>
    </row>
    <row r="96" spans="1:15" s="3" customFormat="1" ht="16.5" customHeight="1" x14ac:dyDescent="0.3">
      <c r="A96" s="1107"/>
      <c r="B96" s="1108"/>
      <c r="C96" s="1119"/>
      <c r="D96" s="1368" t="s">
        <v>117</v>
      </c>
      <c r="E96" s="155"/>
      <c r="F96" s="1125"/>
      <c r="G96" s="1187" t="s">
        <v>166</v>
      </c>
      <c r="H96" s="1208">
        <v>450.5</v>
      </c>
      <c r="I96" s="1152">
        <v>430.6</v>
      </c>
      <c r="J96" s="1198">
        <v>430.6</v>
      </c>
      <c r="K96" s="372" t="s">
        <v>85</v>
      </c>
      <c r="L96" s="753">
        <v>171</v>
      </c>
      <c r="M96" s="708">
        <v>171</v>
      </c>
      <c r="N96" s="754">
        <v>171</v>
      </c>
      <c r="O96" s="169"/>
    </row>
    <row r="97" spans="1:14" s="3" customFormat="1" ht="13.95" customHeight="1" x14ac:dyDescent="0.3">
      <c r="A97" s="1107"/>
      <c r="B97" s="1108"/>
      <c r="C97" s="1119"/>
      <c r="D97" s="1369"/>
      <c r="E97" s="155"/>
      <c r="F97" s="1125"/>
      <c r="G97" s="1187" t="s">
        <v>302</v>
      </c>
      <c r="H97" s="1208">
        <v>4.5</v>
      </c>
      <c r="I97" s="1152">
        <v>4.5</v>
      </c>
      <c r="J97" s="1198">
        <v>4.5</v>
      </c>
      <c r="K97" s="1685" t="s">
        <v>191</v>
      </c>
      <c r="L97" s="753">
        <v>23</v>
      </c>
      <c r="M97" s="708">
        <v>25</v>
      </c>
      <c r="N97" s="754">
        <v>25</v>
      </c>
    </row>
    <row r="98" spans="1:14" s="3" customFormat="1" ht="13.95" customHeight="1" x14ac:dyDescent="0.3">
      <c r="A98" s="1107"/>
      <c r="B98" s="1108"/>
      <c r="C98" s="1119"/>
      <c r="D98" s="1503"/>
      <c r="E98" s="57"/>
      <c r="F98" s="1125"/>
      <c r="G98" s="1187" t="s">
        <v>303</v>
      </c>
      <c r="H98" s="1208">
        <v>2</v>
      </c>
      <c r="I98" s="1152"/>
      <c r="J98" s="1198"/>
      <c r="K98" s="1527"/>
      <c r="L98" s="755"/>
      <c r="M98" s="650"/>
      <c r="N98" s="616"/>
    </row>
    <row r="99" spans="1:14" s="3" customFormat="1" ht="27" customHeight="1" x14ac:dyDescent="0.3">
      <c r="A99" s="1107"/>
      <c r="B99" s="1108"/>
      <c r="C99" s="1119"/>
      <c r="D99" s="1368" t="s">
        <v>119</v>
      </c>
      <c r="E99" s="240"/>
      <c r="F99" s="1125"/>
      <c r="G99" s="1187" t="s">
        <v>301</v>
      </c>
      <c r="H99" s="1208">
        <v>476.9</v>
      </c>
      <c r="I99" s="1152">
        <v>476.9</v>
      </c>
      <c r="J99" s="1198">
        <v>476.9</v>
      </c>
      <c r="K99" s="372" t="s">
        <v>114</v>
      </c>
      <c r="L99" s="9">
        <v>40</v>
      </c>
      <c r="M99" s="519">
        <v>40</v>
      </c>
      <c r="N99" s="606">
        <v>40</v>
      </c>
    </row>
    <row r="100" spans="1:14" s="3" customFormat="1" ht="17.25" customHeight="1" x14ac:dyDescent="0.3">
      <c r="A100" s="1107"/>
      <c r="B100" s="1108"/>
      <c r="C100" s="1119"/>
      <c r="D100" s="1369"/>
      <c r="E100" s="91"/>
      <c r="F100" s="1125"/>
      <c r="G100" s="1187" t="s">
        <v>166</v>
      </c>
      <c r="H100" s="1208">
        <v>65.7</v>
      </c>
      <c r="I100" s="1152">
        <v>65.7</v>
      </c>
      <c r="J100" s="1198">
        <v>65.7</v>
      </c>
      <c r="K100" s="1632" t="s">
        <v>157</v>
      </c>
      <c r="L100" s="9">
        <v>20</v>
      </c>
      <c r="M100" s="519">
        <v>20</v>
      </c>
      <c r="N100" s="606">
        <v>20</v>
      </c>
    </row>
    <row r="101" spans="1:14" s="3" customFormat="1" ht="13.95" customHeight="1" x14ac:dyDescent="0.3">
      <c r="A101" s="1107"/>
      <c r="B101" s="1108"/>
      <c r="C101" s="1119"/>
      <c r="D101" s="1369"/>
      <c r="E101" s="91"/>
      <c r="F101" s="1125"/>
      <c r="G101" s="1187" t="s">
        <v>301</v>
      </c>
      <c r="H101" s="1208">
        <v>276.5</v>
      </c>
      <c r="I101" s="1152">
        <v>276.5</v>
      </c>
      <c r="J101" s="1198">
        <v>276.5</v>
      </c>
      <c r="K101" s="1685"/>
      <c r="L101" s="35"/>
      <c r="M101" s="642"/>
      <c r="N101" s="608"/>
    </row>
    <row r="102" spans="1:14" s="3" customFormat="1" ht="16.5" customHeight="1" x14ac:dyDescent="0.3">
      <c r="A102" s="1107"/>
      <c r="B102" s="1108"/>
      <c r="C102" s="1119"/>
      <c r="D102" s="1368" t="s">
        <v>45</v>
      </c>
      <c r="E102" s="44"/>
      <c r="F102" s="1125"/>
      <c r="G102" s="1187" t="s">
        <v>166</v>
      </c>
      <c r="H102" s="1208">
        <v>26.3</v>
      </c>
      <c r="I102" s="1152">
        <v>26.3</v>
      </c>
      <c r="J102" s="1198">
        <v>26.3</v>
      </c>
      <c r="K102" s="1168" t="s">
        <v>145</v>
      </c>
      <c r="L102" s="9">
        <v>56</v>
      </c>
      <c r="M102" s="519">
        <v>56</v>
      </c>
      <c r="N102" s="606">
        <v>56</v>
      </c>
    </row>
    <row r="103" spans="1:14" s="3" customFormat="1" ht="16.5" customHeight="1" x14ac:dyDescent="0.3">
      <c r="A103" s="109"/>
      <c r="B103" s="1108"/>
      <c r="C103" s="1119"/>
      <c r="D103" s="1503"/>
      <c r="E103" s="44"/>
      <c r="F103" s="1125"/>
      <c r="G103" s="1187" t="s">
        <v>166</v>
      </c>
      <c r="H103" s="1208"/>
      <c r="I103" s="1152">
        <v>32</v>
      </c>
      <c r="J103" s="1198"/>
      <c r="K103" s="1168" t="s">
        <v>168</v>
      </c>
      <c r="L103" s="9"/>
      <c r="M103" s="519">
        <v>1</v>
      </c>
      <c r="N103" s="606"/>
    </row>
    <row r="104" spans="1:14" s="17" customFormat="1" ht="15" customHeight="1" thickBot="1" x14ac:dyDescent="0.35">
      <c r="A104" s="110"/>
      <c r="B104" s="1114"/>
      <c r="C104" s="81"/>
      <c r="D104" s="1576" t="s">
        <v>31</v>
      </c>
      <c r="E104" s="1577"/>
      <c r="F104" s="1577"/>
      <c r="G104" s="1578"/>
      <c r="H104" s="1213">
        <f>SUM(H60:H69)</f>
        <v>7014.0000000000009</v>
      </c>
      <c r="I104" s="1203">
        <f>SUM(I60:I69)</f>
        <v>6726.9000000000005</v>
      </c>
      <c r="J104" s="1204">
        <f>SUM(J60:J69)</f>
        <v>6760.4000000000005</v>
      </c>
      <c r="K104" s="1183"/>
      <c r="L104" s="723"/>
      <c r="M104" s="646"/>
      <c r="N104" s="613"/>
    </row>
    <row r="105" spans="1:14" s="18" customFormat="1" ht="25.2" customHeight="1" x14ac:dyDescent="0.3">
      <c r="A105" s="1654" t="s">
        <v>13</v>
      </c>
      <c r="B105" s="1657" t="s">
        <v>32</v>
      </c>
      <c r="C105" s="1660" t="s">
        <v>32</v>
      </c>
      <c r="D105" s="1535" t="s">
        <v>46</v>
      </c>
      <c r="E105" s="1601"/>
      <c r="F105" s="1604" t="s">
        <v>17</v>
      </c>
      <c r="G105" s="1038" t="s">
        <v>20</v>
      </c>
      <c r="H105" s="1039">
        <v>255.9</v>
      </c>
      <c r="I105" s="1040">
        <v>288.2</v>
      </c>
      <c r="J105" s="1056">
        <v>288.2</v>
      </c>
      <c r="K105" s="1363" t="s">
        <v>96</v>
      </c>
      <c r="L105" s="724">
        <v>126</v>
      </c>
      <c r="M105" s="647">
        <v>126</v>
      </c>
      <c r="N105" s="614">
        <v>126</v>
      </c>
    </row>
    <row r="106" spans="1:14" s="18" customFormat="1" ht="25.2" customHeight="1" x14ac:dyDescent="0.3">
      <c r="A106" s="1655"/>
      <c r="B106" s="1658"/>
      <c r="C106" s="1661"/>
      <c r="D106" s="1600"/>
      <c r="E106" s="1602"/>
      <c r="F106" s="1605"/>
      <c r="G106" s="1035" t="s">
        <v>289</v>
      </c>
      <c r="H106" s="27">
        <v>384.1</v>
      </c>
      <c r="I106" s="402">
        <v>381.8</v>
      </c>
      <c r="J106" s="389">
        <v>381.8</v>
      </c>
      <c r="K106" s="1364"/>
      <c r="L106" s="761"/>
      <c r="M106" s="648"/>
      <c r="N106" s="1019"/>
    </row>
    <row r="107" spans="1:14" s="19" customFormat="1" ht="21.75" customHeight="1" thickBot="1" x14ac:dyDescent="0.35">
      <c r="A107" s="1656"/>
      <c r="B107" s="1659"/>
      <c r="C107" s="1662"/>
      <c r="D107" s="1536"/>
      <c r="E107" s="1603"/>
      <c r="F107" s="1606"/>
      <c r="G107" s="143" t="s">
        <v>24</v>
      </c>
      <c r="H107" s="437">
        <f>SUM(H105:H106)</f>
        <v>640</v>
      </c>
      <c r="I107" s="452">
        <f>SUM(I105:I106)</f>
        <v>670</v>
      </c>
      <c r="J107" s="1049">
        <f t="shared" ref="J107" si="8">SUM(J105:J106)</f>
        <v>670</v>
      </c>
      <c r="K107" s="1365"/>
      <c r="L107" s="725"/>
      <c r="M107" s="726"/>
      <c r="N107" s="727"/>
    </row>
    <row r="108" spans="1:14" s="2" customFormat="1" ht="42" customHeight="1" x14ac:dyDescent="0.3">
      <c r="A108" s="111" t="s">
        <v>13</v>
      </c>
      <c r="B108" s="20" t="s">
        <v>32</v>
      </c>
      <c r="C108" s="206" t="s">
        <v>35</v>
      </c>
      <c r="D108" s="1531" t="s">
        <v>47</v>
      </c>
      <c r="E108" s="349"/>
      <c r="F108" s="36" t="s">
        <v>17</v>
      </c>
      <c r="G108" s="282" t="s">
        <v>20</v>
      </c>
      <c r="H108" s="438">
        <v>152.9</v>
      </c>
      <c r="I108" s="453">
        <v>152.9</v>
      </c>
      <c r="J108" s="1218">
        <v>221.2</v>
      </c>
      <c r="K108" s="1133"/>
      <c r="L108" s="99"/>
      <c r="M108" s="649"/>
      <c r="N108" s="615"/>
    </row>
    <row r="109" spans="1:14" s="2" customFormat="1" ht="52.5" customHeight="1" x14ac:dyDescent="0.3">
      <c r="A109" s="112"/>
      <c r="B109" s="21"/>
      <c r="C109" s="1126"/>
      <c r="D109" s="1532"/>
      <c r="E109" s="350"/>
      <c r="F109" s="23"/>
      <c r="G109" s="282" t="s">
        <v>289</v>
      </c>
      <c r="H109" s="1219">
        <v>921.3</v>
      </c>
      <c r="I109" s="1220">
        <v>1176.8</v>
      </c>
      <c r="J109" s="1221">
        <v>1197.9000000000001</v>
      </c>
      <c r="K109" s="33"/>
      <c r="L109" s="755"/>
      <c r="M109" s="650"/>
      <c r="N109" s="616"/>
    </row>
    <row r="110" spans="1:14" s="2" customFormat="1" ht="55.5" customHeight="1" x14ac:dyDescent="0.3">
      <c r="A110" s="112"/>
      <c r="B110" s="21"/>
      <c r="C110" s="1126"/>
      <c r="D110" s="1132" t="s">
        <v>89</v>
      </c>
      <c r="E110" s="1129"/>
      <c r="F110" s="23"/>
      <c r="G110" s="1189" t="s">
        <v>301</v>
      </c>
      <c r="H110" s="1217">
        <v>70</v>
      </c>
      <c r="I110" s="1164">
        <v>103</v>
      </c>
      <c r="J110" s="1188">
        <v>103</v>
      </c>
      <c r="K110" s="771" t="s">
        <v>271</v>
      </c>
      <c r="L110" s="755">
        <v>13</v>
      </c>
      <c r="M110" s="650">
        <v>13</v>
      </c>
      <c r="N110" s="616">
        <v>13</v>
      </c>
    </row>
    <row r="111" spans="1:14" s="2" customFormat="1" ht="64.2" customHeight="1" x14ac:dyDescent="0.3">
      <c r="A111" s="112"/>
      <c r="B111" s="21"/>
      <c r="C111" s="1126"/>
      <c r="D111" s="1368" t="s">
        <v>90</v>
      </c>
      <c r="E111" s="1683" t="s">
        <v>213</v>
      </c>
      <c r="F111" s="23"/>
      <c r="G111" s="1214" t="s">
        <v>166</v>
      </c>
      <c r="H111" s="1222">
        <v>72</v>
      </c>
      <c r="I111" s="1223">
        <v>72</v>
      </c>
      <c r="J111" s="1224">
        <v>72</v>
      </c>
      <c r="K111" s="772" t="s">
        <v>146</v>
      </c>
      <c r="L111" s="777">
        <v>20</v>
      </c>
      <c r="M111" s="773">
        <v>20</v>
      </c>
      <c r="N111" s="617">
        <v>20</v>
      </c>
    </row>
    <row r="112" spans="1:14" s="2" customFormat="1" ht="16.5" customHeight="1" x14ac:dyDescent="0.3">
      <c r="A112" s="112"/>
      <c r="B112" s="21"/>
      <c r="C112" s="1126"/>
      <c r="D112" s="1503"/>
      <c r="E112" s="1684"/>
      <c r="F112" s="23"/>
      <c r="G112" s="1214"/>
      <c r="H112" s="1222"/>
      <c r="I112" s="1223"/>
      <c r="J112" s="1224"/>
      <c r="K112" s="742"/>
      <c r="L112" s="717"/>
      <c r="M112" s="704"/>
      <c r="N112" s="743"/>
    </row>
    <row r="113" spans="1:18" s="2" customFormat="1" ht="42.75" customHeight="1" x14ac:dyDescent="0.3">
      <c r="A113" s="112"/>
      <c r="B113" s="21"/>
      <c r="C113" s="1126"/>
      <c r="D113" s="1368" t="s">
        <v>322</v>
      </c>
      <c r="E113" s="267" t="s">
        <v>213</v>
      </c>
      <c r="F113" s="23"/>
      <c r="G113" s="1189" t="s">
        <v>166</v>
      </c>
      <c r="H113" s="1217">
        <v>80.900000000000006</v>
      </c>
      <c r="I113" s="1164">
        <v>80.900000000000006</v>
      </c>
      <c r="J113" s="1188">
        <v>149.19999999999999</v>
      </c>
      <c r="K113" s="324" t="s">
        <v>220</v>
      </c>
      <c r="L113" s="778">
        <v>80</v>
      </c>
      <c r="M113" s="651">
        <v>80</v>
      </c>
      <c r="N113" s="618">
        <v>80</v>
      </c>
    </row>
    <row r="114" spans="1:18" s="2" customFormat="1" ht="42.75" customHeight="1" x14ac:dyDescent="0.3">
      <c r="A114" s="112"/>
      <c r="B114" s="21"/>
      <c r="C114" s="1126"/>
      <c r="D114" s="1369"/>
      <c r="E114" s="269"/>
      <c r="F114" s="23"/>
      <c r="G114" s="1189" t="s">
        <v>301</v>
      </c>
      <c r="H114" s="1217">
        <v>322.5</v>
      </c>
      <c r="I114" s="1164">
        <v>322.5</v>
      </c>
      <c r="J114" s="1188">
        <v>254.2</v>
      </c>
      <c r="K114" s="325" t="s">
        <v>244</v>
      </c>
      <c r="L114" s="778">
        <v>20</v>
      </c>
      <c r="M114" s="651">
        <v>20</v>
      </c>
      <c r="N114" s="619">
        <v>20</v>
      </c>
    </row>
    <row r="115" spans="1:18" s="2" customFormat="1" ht="34.950000000000003" customHeight="1" x14ac:dyDescent="0.3">
      <c r="A115" s="112"/>
      <c r="B115" s="21"/>
      <c r="C115" s="1126"/>
      <c r="D115" s="1368" t="s">
        <v>91</v>
      </c>
      <c r="E115" s="1683" t="s">
        <v>213</v>
      </c>
      <c r="F115" s="23"/>
      <c r="G115" s="1189" t="s">
        <v>301</v>
      </c>
      <c r="H115" s="1217">
        <v>422</v>
      </c>
      <c r="I115" s="1164">
        <v>584</v>
      </c>
      <c r="J115" s="1188">
        <v>584</v>
      </c>
      <c r="K115" s="1501" t="s">
        <v>147</v>
      </c>
      <c r="L115" s="964">
        <v>200</v>
      </c>
      <c r="M115" s="965">
        <v>200</v>
      </c>
      <c r="N115" s="966">
        <v>200</v>
      </c>
    </row>
    <row r="116" spans="1:18" s="2" customFormat="1" ht="21.6" customHeight="1" x14ac:dyDescent="0.3">
      <c r="A116" s="112"/>
      <c r="B116" s="21"/>
      <c r="C116" s="1126"/>
      <c r="D116" s="1503"/>
      <c r="E116" s="1684"/>
      <c r="F116" s="23"/>
      <c r="G116" s="1189"/>
      <c r="H116" s="1225"/>
      <c r="I116" s="1194"/>
      <c r="J116" s="1191"/>
      <c r="K116" s="1502"/>
      <c r="L116" s="969"/>
      <c r="M116" s="970"/>
      <c r="N116" s="971"/>
    </row>
    <row r="117" spans="1:18" s="2" customFormat="1" ht="80.400000000000006" customHeight="1" x14ac:dyDescent="0.3">
      <c r="A117" s="112"/>
      <c r="B117" s="21"/>
      <c r="C117" s="1126"/>
      <c r="D117" s="1132" t="s">
        <v>100</v>
      </c>
      <c r="E117" s="799"/>
      <c r="F117" s="23"/>
      <c r="G117" s="1189" t="s">
        <v>301</v>
      </c>
      <c r="H117" s="1217">
        <v>26</v>
      </c>
      <c r="I117" s="1164">
        <v>67.900000000000006</v>
      </c>
      <c r="J117" s="1188">
        <v>67.900000000000006</v>
      </c>
      <c r="K117" s="869" t="s">
        <v>148</v>
      </c>
      <c r="L117" s="972">
        <v>150</v>
      </c>
      <c r="M117" s="973">
        <v>150</v>
      </c>
      <c r="N117" s="974">
        <v>150</v>
      </c>
    </row>
    <row r="118" spans="1:18" s="2" customFormat="1" ht="57" customHeight="1" x14ac:dyDescent="0.3">
      <c r="A118" s="1107"/>
      <c r="B118" s="1108"/>
      <c r="C118" s="1119"/>
      <c r="D118" s="801" t="s">
        <v>48</v>
      </c>
      <c r="E118" s="1128"/>
      <c r="F118" s="1111"/>
      <c r="G118" s="1189" t="s">
        <v>301</v>
      </c>
      <c r="H118" s="1217">
        <v>21.2</v>
      </c>
      <c r="I118" s="1164">
        <v>39.799999999999997</v>
      </c>
      <c r="J118" s="1188">
        <v>39.799999999999997</v>
      </c>
      <c r="K118" s="871" t="s">
        <v>149</v>
      </c>
      <c r="L118" s="557">
        <v>20</v>
      </c>
      <c r="M118" s="512">
        <v>20</v>
      </c>
      <c r="N118" s="544">
        <v>20</v>
      </c>
      <c r="R118" s="3"/>
    </row>
    <row r="119" spans="1:18" s="2" customFormat="1" ht="18.600000000000001" customHeight="1" x14ac:dyDescent="0.3">
      <c r="A119" s="1107"/>
      <c r="B119" s="1108"/>
      <c r="C119" s="1119"/>
      <c r="D119" s="1594" t="s">
        <v>277</v>
      </c>
      <c r="E119" s="1128"/>
      <c r="F119" s="1111"/>
      <c r="G119" s="1226" t="s">
        <v>301</v>
      </c>
      <c r="H119" s="1215">
        <v>59.6</v>
      </c>
      <c r="I119" s="1165">
        <v>59.6</v>
      </c>
      <c r="J119" s="1216">
        <v>149</v>
      </c>
      <c r="K119" s="1501" t="s">
        <v>278</v>
      </c>
      <c r="L119" s="559">
        <v>8</v>
      </c>
      <c r="M119" s="551">
        <v>8</v>
      </c>
      <c r="N119" s="546">
        <v>20</v>
      </c>
    </row>
    <row r="120" spans="1:18" s="2" customFormat="1" ht="16.2" customHeight="1" thickBot="1" x14ac:dyDescent="0.35">
      <c r="A120" s="1116"/>
      <c r="B120" s="1114"/>
      <c r="C120" s="1120"/>
      <c r="D120" s="1595"/>
      <c r="E120" s="352"/>
      <c r="F120" s="1137"/>
      <c r="G120" s="84" t="s">
        <v>24</v>
      </c>
      <c r="H120" s="437">
        <f>SUM(H108:H109)</f>
        <v>1074.2</v>
      </c>
      <c r="I120" s="437">
        <f>SUM(I108:I109)</f>
        <v>1329.7</v>
      </c>
      <c r="J120" s="437">
        <f t="shared" ref="J120" si="9">SUM(J108:J109)</f>
        <v>1419.1000000000001</v>
      </c>
      <c r="K120" s="1507"/>
      <c r="L120" s="779"/>
      <c r="M120" s="652"/>
      <c r="N120" s="620"/>
    </row>
    <row r="121" spans="1:18" s="2" customFormat="1" ht="15.75" customHeight="1" x14ac:dyDescent="0.3">
      <c r="A121" s="111" t="s">
        <v>13</v>
      </c>
      <c r="B121" s="20" t="s">
        <v>32</v>
      </c>
      <c r="C121" s="206" t="s">
        <v>37</v>
      </c>
      <c r="D121" s="1531" t="s">
        <v>49</v>
      </c>
      <c r="E121" s="169"/>
      <c r="F121" s="1230" t="s">
        <v>17</v>
      </c>
      <c r="G121" s="99" t="s">
        <v>20</v>
      </c>
      <c r="H121" s="881">
        <f>+H124+H126</f>
        <v>43.2</v>
      </c>
      <c r="I121" s="882">
        <f>+I124+I126</f>
        <v>43.2</v>
      </c>
      <c r="J121" s="883">
        <f t="shared" ref="J121" si="10">+J124+J126</f>
        <v>43.2</v>
      </c>
      <c r="K121" s="327"/>
      <c r="L121" s="685"/>
      <c r="M121" s="653"/>
      <c r="N121" s="621"/>
    </row>
    <row r="122" spans="1:18" s="2" customFormat="1" ht="15.75" customHeight="1" x14ac:dyDescent="0.3">
      <c r="A122" s="112"/>
      <c r="B122" s="21"/>
      <c r="C122" s="1126"/>
      <c r="D122" s="1538"/>
      <c r="E122" s="169"/>
      <c r="F122" s="1104"/>
      <c r="G122" s="170" t="s">
        <v>289</v>
      </c>
      <c r="H122" s="1231">
        <f>+H125+H127</f>
        <v>54.599999999999994</v>
      </c>
      <c r="I122" s="1229">
        <f t="shared" ref="I122:J122" si="11">+I125+I127</f>
        <v>54.599999999999994</v>
      </c>
      <c r="J122" s="1232">
        <f t="shared" si="11"/>
        <v>54.599999999999994</v>
      </c>
      <c r="K122" s="328"/>
      <c r="L122" s="119"/>
      <c r="M122" s="654"/>
      <c r="N122" s="622"/>
    </row>
    <row r="123" spans="1:18" s="2" customFormat="1" ht="15.75" customHeight="1" x14ac:dyDescent="0.3">
      <c r="A123" s="112"/>
      <c r="B123" s="21"/>
      <c r="C123" s="1126"/>
      <c r="D123" s="1538"/>
      <c r="E123" s="316"/>
      <c r="F123" s="1104"/>
      <c r="G123" s="271" t="s">
        <v>34</v>
      </c>
      <c r="H123" s="1233">
        <v>263.7</v>
      </c>
      <c r="I123" s="450">
        <v>263.7</v>
      </c>
      <c r="J123" s="1095">
        <v>263.7</v>
      </c>
      <c r="K123" s="328"/>
      <c r="L123" s="119"/>
      <c r="M123" s="654"/>
      <c r="N123" s="622"/>
    </row>
    <row r="124" spans="1:18" s="2" customFormat="1" ht="27.6" customHeight="1" x14ac:dyDescent="0.3">
      <c r="A124" s="112"/>
      <c r="B124" s="21"/>
      <c r="C124" s="1126"/>
      <c r="D124" s="1130" t="s">
        <v>50</v>
      </c>
      <c r="E124" s="285" t="s">
        <v>213</v>
      </c>
      <c r="F124" s="1104"/>
      <c r="G124" s="1189" t="s">
        <v>166</v>
      </c>
      <c r="H124" s="1234">
        <v>23.2</v>
      </c>
      <c r="I124" s="1167">
        <v>23.2</v>
      </c>
      <c r="J124" s="1192">
        <v>23.2</v>
      </c>
      <c r="K124" s="1679" t="s">
        <v>193</v>
      </c>
      <c r="L124" s="9">
        <v>20</v>
      </c>
      <c r="M124" s="519">
        <v>20</v>
      </c>
      <c r="N124" s="610">
        <v>20</v>
      </c>
      <c r="Q124" s="3"/>
      <c r="R124" s="3"/>
    </row>
    <row r="125" spans="1:18" s="2" customFormat="1" ht="27.6" customHeight="1" x14ac:dyDescent="0.3">
      <c r="A125" s="112"/>
      <c r="B125" s="21"/>
      <c r="C125" s="1126"/>
      <c r="D125" s="1131"/>
      <c r="E125" s="310"/>
      <c r="F125" s="1104"/>
      <c r="G125" s="1189" t="s">
        <v>301</v>
      </c>
      <c r="H125" s="1234">
        <v>21.8</v>
      </c>
      <c r="I125" s="1167">
        <v>21.8</v>
      </c>
      <c r="J125" s="1192">
        <v>21.8</v>
      </c>
      <c r="K125" s="1680"/>
      <c r="L125" s="35"/>
      <c r="M125" s="642"/>
      <c r="N125" s="663"/>
      <c r="Q125" s="3"/>
    </row>
    <row r="126" spans="1:18" s="2" customFormat="1" ht="15" customHeight="1" x14ac:dyDescent="0.3">
      <c r="A126" s="1354"/>
      <c r="B126" s="1355"/>
      <c r="C126" s="1119"/>
      <c r="D126" s="1561" t="s">
        <v>51</v>
      </c>
      <c r="E126" s="1591"/>
      <c r="F126" s="1227"/>
      <c r="G126" s="1189" t="s">
        <v>166</v>
      </c>
      <c r="H126" s="1217">
        <v>20</v>
      </c>
      <c r="I126" s="1164">
        <v>20</v>
      </c>
      <c r="J126" s="1188">
        <v>20</v>
      </c>
      <c r="K126" s="1681" t="s">
        <v>202</v>
      </c>
      <c r="L126" s="559">
        <v>12</v>
      </c>
      <c r="M126" s="551">
        <v>12</v>
      </c>
      <c r="N126" s="1094" t="s">
        <v>74</v>
      </c>
    </row>
    <row r="127" spans="1:18" s="2" customFormat="1" ht="15" customHeight="1" x14ac:dyDescent="0.3">
      <c r="A127" s="1354"/>
      <c r="B127" s="1355"/>
      <c r="C127" s="1119"/>
      <c r="D127" s="1554"/>
      <c r="E127" s="1592"/>
      <c r="F127" s="1227"/>
      <c r="G127" s="1189" t="s">
        <v>301</v>
      </c>
      <c r="H127" s="1217">
        <v>32.799999999999997</v>
      </c>
      <c r="I127" s="1164">
        <v>32.799999999999997</v>
      </c>
      <c r="J127" s="1188">
        <v>32.799999999999997</v>
      </c>
      <c r="K127" s="1682"/>
      <c r="L127" s="557"/>
      <c r="M127" s="512"/>
      <c r="N127" s="623"/>
    </row>
    <row r="128" spans="1:18" s="2" customFormat="1" ht="15" customHeight="1" thickBot="1" x14ac:dyDescent="0.35">
      <c r="A128" s="1116"/>
      <c r="B128" s="1114"/>
      <c r="C128" s="1120"/>
      <c r="D128" s="1555"/>
      <c r="E128" s="1593"/>
      <c r="F128" s="1228"/>
      <c r="G128" s="143" t="s">
        <v>24</v>
      </c>
      <c r="H128" s="437">
        <f>SUM(H121:H123)</f>
        <v>361.5</v>
      </c>
      <c r="I128" s="452">
        <f>SUM(I121:I123)</f>
        <v>361.5</v>
      </c>
      <c r="J128" s="421">
        <f t="shared" ref="J128" si="12">SUM(J121:J123)</f>
        <v>361.5</v>
      </c>
      <c r="K128" s="329"/>
      <c r="L128" s="1235"/>
      <c r="M128" s="656"/>
      <c r="N128" s="625"/>
    </row>
    <row r="129" spans="1:20" s="2" customFormat="1" ht="15.6" customHeight="1" x14ac:dyDescent="0.3">
      <c r="A129" s="1115" t="s">
        <v>13</v>
      </c>
      <c r="B129" s="264" t="s">
        <v>32</v>
      </c>
      <c r="C129" s="242" t="s">
        <v>38</v>
      </c>
      <c r="D129" s="204" t="s">
        <v>52</v>
      </c>
      <c r="E129" s="133"/>
      <c r="F129" s="136" t="s">
        <v>53</v>
      </c>
      <c r="G129" s="35" t="s">
        <v>20</v>
      </c>
      <c r="H129" s="103">
        <v>16.7</v>
      </c>
      <c r="I129" s="457">
        <v>16.7</v>
      </c>
      <c r="J129" s="428">
        <v>16.7</v>
      </c>
      <c r="K129" s="1678" t="s">
        <v>54</v>
      </c>
      <c r="L129" s="1238">
        <v>17</v>
      </c>
      <c r="M129" s="1005">
        <v>21</v>
      </c>
      <c r="N129" s="1006">
        <v>20</v>
      </c>
    </row>
    <row r="130" spans="1:20" s="2" customFormat="1" ht="15.6" customHeight="1" x14ac:dyDescent="0.3">
      <c r="A130" s="1107"/>
      <c r="B130" s="266"/>
      <c r="C130" s="244"/>
      <c r="D130" s="1131"/>
      <c r="E130" s="291"/>
      <c r="F130" s="137"/>
      <c r="G130" s="170" t="s">
        <v>124</v>
      </c>
      <c r="H130" s="46">
        <v>1.3</v>
      </c>
      <c r="I130" s="408"/>
      <c r="J130" s="431"/>
      <c r="K130" s="1673"/>
      <c r="L130" s="557"/>
      <c r="M130" s="512"/>
      <c r="N130" s="544"/>
    </row>
    <row r="131" spans="1:20" s="2" customFormat="1" ht="15.6" customHeight="1" x14ac:dyDescent="0.3">
      <c r="A131" s="1107"/>
      <c r="B131" s="266"/>
      <c r="C131" s="244"/>
      <c r="D131" s="1131"/>
      <c r="E131" s="291"/>
      <c r="F131" s="137"/>
      <c r="G131" s="35" t="s">
        <v>289</v>
      </c>
      <c r="H131" s="1030">
        <v>63.3</v>
      </c>
      <c r="I131" s="1031">
        <v>63.3</v>
      </c>
      <c r="J131" s="1032">
        <v>63.3</v>
      </c>
      <c r="K131" s="1669" t="s">
        <v>165</v>
      </c>
      <c r="L131" s="559">
        <v>5</v>
      </c>
      <c r="M131" s="551">
        <v>5</v>
      </c>
      <c r="N131" s="546">
        <v>5</v>
      </c>
    </row>
    <row r="132" spans="1:20" s="2" customFormat="1" ht="15.6" customHeight="1" x14ac:dyDescent="0.3">
      <c r="A132" s="203"/>
      <c r="B132" s="265"/>
      <c r="C132" s="244"/>
      <c r="D132" s="1131"/>
      <c r="E132" s="291"/>
      <c r="F132" s="137"/>
      <c r="G132" s="253" t="s">
        <v>34</v>
      </c>
      <c r="H132" s="11">
        <v>106.3</v>
      </c>
      <c r="I132" s="409">
        <v>110</v>
      </c>
      <c r="J132" s="798">
        <v>110</v>
      </c>
      <c r="K132" s="1670"/>
      <c r="L132" s="1239"/>
      <c r="M132" s="1237"/>
      <c r="N132" s="1240"/>
      <c r="P132" s="3"/>
    </row>
    <row r="133" spans="1:20" s="2" customFormat="1" ht="42.75" customHeight="1" x14ac:dyDescent="0.3">
      <c r="A133" s="203"/>
      <c r="B133" s="265"/>
      <c r="C133" s="244"/>
      <c r="D133" s="1131"/>
      <c r="E133" s="291"/>
      <c r="F133" s="137"/>
      <c r="G133" s="159"/>
      <c r="H133" s="1236"/>
      <c r="I133" s="458"/>
      <c r="J133" s="429"/>
      <c r="K133" s="326" t="s">
        <v>97</v>
      </c>
      <c r="L133" s="1106">
        <v>10</v>
      </c>
      <c r="M133" s="805">
        <v>10</v>
      </c>
      <c r="N133" s="601">
        <v>10</v>
      </c>
      <c r="R133" s="3"/>
      <c r="T133" s="3"/>
    </row>
    <row r="134" spans="1:20" s="2" customFormat="1" ht="15" customHeight="1" x14ac:dyDescent="0.3">
      <c r="A134" s="203"/>
      <c r="B134" s="265"/>
      <c r="C134" s="244"/>
      <c r="D134" s="1131"/>
      <c r="E134" s="291"/>
      <c r="F134" s="137"/>
      <c r="G134" s="159"/>
      <c r="H134" s="442"/>
      <c r="I134" s="458"/>
      <c r="J134" s="429"/>
      <c r="K134" s="1594" t="s">
        <v>112</v>
      </c>
      <c r="L134" s="559">
        <v>36</v>
      </c>
      <c r="M134" s="551">
        <v>36</v>
      </c>
      <c r="N134" s="546">
        <v>36</v>
      </c>
    </row>
    <row r="135" spans="1:20" s="2" customFormat="1" ht="16.5" customHeight="1" thickBot="1" x14ac:dyDescent="0.35">
      <c r="A135" s="1107"/>
      <c r="B135" s="266"/>
      <c r="C135" s="244"/>
      <c r="D135" s="205"/>
      <c r="E135" s="291"/>
      <c r="F135" s="137"/>
      <c r="G135" s="146" t="s">
        <v>24</v>
      </c>
      <c r="H135" s="12">
        <f>SUM(H129:H134)</f>
        <v>187.6</v>
      </c>
      <c r="I135" s="414">
        <f>SUM(I129:I134)</f>
        <v>190</v>
      </c>
      <c r="J135" s="396">
        <f>SUM(J129:J134)</f>
        <v>190</v>
      </c>
      <c r="K135" s="1595"/>
      <c r="L135" s="1241"/>
      <c r="M135" s="657"/>
      <c r="N135" s="626"/>
      <c r="O135" s="3"/>
    </row>
    <row r="136" spans="1:20" s="2" customFormat="1" ht="19.95" customHeight="1" x14ac:dyDescent="0.3">
      <c r="A136" s="1115" t="s">
        <v>13</v>
      </c>
      <c r="B136" s="1117" t="s">
        <v>32</v>
      </c>
      <c r="C136" s="1118" t="s">
        <v>55</v>
      </c>
      <c r="D136" s="1535" t="s">
        <v>101</v>
      </c>
      <c r="E136" s="16"/>
      <c r="F136" s="1663">
        <v>3</v>
      </c>
      <c r="G136" s="144" t="s">
        <v>20</v>
      </c>
      <c r="H136" s="443">
        <v>5.2</v>
      </c>
      <c r="I136" s="459">
        <v>5.2</v>
      </c>
      <c r="J136" s="430">
        <v>5.2</v>
      </c>
      <c r="K136" s="1529" t="s">
        <v>174</v>
      </c>
      <c r="L136" s="65">
        <v>2</v>
      </c>
      <c r="M136" s="658">
        <v>2</v>
      </c>
      <c r="N136" s="627">
        <v>2</v>
      </c>
    </row>
    <row r="137" spans="1:20" s="2" customFormat="1" ht="16.5" customHeight="1" thickBot="1" x14ac:dyDescent="0.35">
      <c r="A137" s="1116"/>
      <c r="B137" s="1114"/>
      <c r="C137" s="1120"/>
      <c r="D137" s="1536"/>
      <c r="E137" s="160"/>
      <c r="F137" s="1664"/>
      <c r="G137" s="143" t="s">
        <v>24</v>
      </c>
      <c r="H137" s="12">
        <f>H136</f>
        <v>5.2</v>
      </c>
      <c r="I137" s="414">
        <f>I136</f>
        <v>5.2</v>
      </c>
      <c r="J137" s="396">
        <f>J136</f>
        <v>5.2</v>
      </c>
      <c r="K137" s="1530"/>
      <c r="L137" s="1122"/>
      <c r="M137" s="659"/>
      <c r="N137" s="628"/>
    </row>
    <row r="138" spans="1:20" s="2" customFormat="1" ht="15" customHeight="1" x14ac:dyDescent="0.3">
      <c r="A138" s="1563" t="s">
        <v>13</v>
      </c>
      <c r="B138" s="1565" t="s">
        <v>32</v>
      </c>
      <c r="C138" s="1378" t="s">
        <v>56</v>
      </c>
      <c r="D138" s="1570" t="s">
        <v>106</v>
      </c>
      <c r="E138" s="1573"/>
      <c r="F138" s="1587">
        <v>3</v>
      </c>
      <c r="G138" s="102" t="s">
        <v>18</v>
      </c>
      <c r="H138" s="103">
        <v>88.9</v>
      </c>
      <c r="I138" s="457">
        <v>9.5</v>
      </c>
      <c r="J138" s="428"/>
      <c r="K138" s="327" t="s">
        <v>105</v>
      </c>
      <c r="L138" s="685">
        <v>350</v>
      </c>
      <c r="M138" s="653">
        <v>20</v>
      </c>
      <c r="N138" s="621"/>
    </row>
    <row r="139" spans="1:20" s="2" customFormat="1" ht="15" customHeight="1" x14ac:dyDescent="0.3">
      <c r="A139" s="1495"/>
      <c r="B139" s="1496"/>
      <c r="C139" s="1379"/>
      <c r="D139" s="1571"/>
      <c r="E139" s="1574"/>
      <c r="F139" s="1362"/>
      <c r="G139" s="79" t="s">
        <v>197</v>
      </c>
      <c r="H139" s="46">
        <v>0.5</v>
      </c>
      <c r="I139" s="408"/>
      <c r="J139" s="431"/>
      <c r="K139" s="328"/>
      <c r="L139" s="119"/>
      <c r="M139" s="654"/>
      <c r="N139" s="622"/>
    </row>
    <row r="140" spans="1:20" s="2" customFormat="1" ht="15" customHeight="1" x14ac:dyDescent="0.3">
      <c r="A140" s="1495"/>
      <c r="B140" s="1496"/>
      <c r="C140" s="1379"/>
      <c r="D140" s="1571"/>
      <c r="E140" s="1574"/>
      <c r="F140" s="1362"/>
      <c r="G140" s="79" t="s">
        <v>127</v>
      </c>
      <c r="H140" s="46">
        <v>404.9</v>
      </c>
      <c r="I140" s="408">
        <v>42.4</v>
      </c>
      <c r="J140" s="431"/>
      <c r="K140" s="328"/>
      <c r="L140" s="119"/>
      <c r="M140" s="654"/>
      <c r="N140" s="622"/>
    </row>
    <row r="141" spans="1:20" s="2" customFormat="1" ht="15" customHeight="1" x14ac:dyDescent="0.3">
      <c r="A141" s="1495"/>
      <c r="B141" s="1496"/>
      <c r="C141" s="1379"/>
      <c r="D141" s="1571"/>
      <c r="E141" s="1574"/>
      <c r="F141" s="1362"/>
      <c r="G141" s="79" t="s">
        <v>134</v>
      </c>
      <c r="H141" s="1101">
        <v>38</v>
      </c>
      <c r="I141" s="460"/>
      <c r="J141" s="432"/>
      <c r="K141" s="328"/>
      <c r="L141" s="119"/>
      <c r="M141" s="654"/>
      <c r="N141" s="622"/>
    </row>
    <row r="142" spans="1:20" s="2" customFormat="1" ht="15" customHeight="1" thickBot="1" x14ac:dyDescent="0.35">
      <c r="A142" s="1564"/>
      <c r="B142" s="1566"/>
      <c r="C142" s="1380"/>
      <c r="D142" s="1572"/>
      <c r="E142" s="1575"/>
      <c r="F142" s="1588"/>
      <c r="G142" s="84" t="s">
        <v>24</v>
      </c>
      <c r="H142" s="12">
        <f>SUM(H138:H141)</f>
        <v>532.29999999999995</v>
      </c>
      <c r="I142" s="414">
        <f>SUM(I138:I141)</f>
        <v>51.9</v>
      </c>
      <c r="J142" s="396">
        <f t="shared" ref="J142" si="13">SUM(J138:J141)</f>
        <v>0</v>
      </c>
      <c r="K142" s="330"/>
      <c r="L142" s="1242"/>
      <c r="M142" s="660"/>
      <c r="N142" s="629"/>
    </row>
    <row r="143" spans="1:20" s="2" customFormat="1" ht="18.75" customHeight="1" x14ac:dyDescent="0.3">
      <c r="A143" s="1563" t="s">
        <v>13</v>
      </c>
      <c r="B143" s="1565" t="s">
        <v>32</v>
      </c>
      <c r="C143" s="1378" t="s">
        <v>87</v>
      </c>
      <c r="D143" s="1653" t="s">
        <v>131</v>
      </c>
      <c r="E143" s="1573"/>
      <c r="F143" s="1587">
        <v>3</v>
      </c>
      <c r="G143" s="1057" t="s">
        <v>20</v>
      </c>
      <c r="H143" s="11">
        <v>63.8</v>
      </c>
      <c r="I143" s="409"/>
      <c r="J143" s="798"/>
      <c r="K143" s="1526" t="s">
        <v>152</v>
      </c>
      <c r="L143" s="99">
        <v>1</v>
      </c>
      <c r="M143" s="649"/>
      <c r="N143" s="615"/>
    </row>
    <row r="144" spans="1:20" s="2" customFormat="1" ht="41.25" customHeight="1" x14ac:dyDescent="0.3">
      <c r="A144" s="1495"/>
      <c r="B144" s="1496"/>
      <c r="C144" s="1379"/>
      <c r="D144" s="1436"/>
      <c r="E144" s="1574"/>
      <c r="F144" s="1362"/>
      <c r="G144" s="7" t="s">
        <v>127</v>
      </c>
      <c r="H144" s="1101">
        <v>361.6</v>
      </c>
      <c r="I144" s="460"/>
      <c r="J144" s="432"/>
      <c r="K144" s="1527"/>
      <c r="L144" s="289"/>
      <c r="M144" s="643"/>
      <c r="N144" s="609"/>
    </row>
    <row r="145" spans="1:14" s="2" customFormat="1" ht="45.6" customHeight="1" x14ac:dyDescent="0.3">
      <c r="A145" s="1495"/>
      <c r="B145" s="1496"/>
      <c r="C145" s="1379"/>
      <c r="D145" s="1436"/>
      <c r="E145" s="1574"/>
      <c r="F145" s="1362"/>
      <c r="G145" s="354" t="s">
        <v>134</v>
      </c>
      <c r="H145" s="46">
        <v>0.8</v>
      </c>
      <c r="I145" s="408"/>
      <c r="J145" s="431"/>
      <c r="K145" s="1109" t="s">
        <v>159</v>
      </c>
      <c r="L145" s="9">
        <v>340</v>
      </c>
      <c r="M145" s="519"/>
      <c r="N145" s="606"/>
    </row>
    <row r="146" spans="1:14" s="2" customFormat="1" ht="15.75" customHeight="1" thickBot="1" x14ac:dyDescent="0.35">
      <c r="A146" s="1495"/>
      <c r="B146" s="1496"/>
      <c r="C146" s="1379"/>
      <c r="D146" s="1571"/>
      <c r="E146" s="1574"/>
      <c r="F146" s="1588"/>
      <c r="G146" s="84" t="s">
        <v>24</v>
      </c>
      <c r="H146" s="445">
        <f>SUM(H143:H145)</f>
        <v>426.20000000000005</v>
      </c>
      <c r="I146" s="462">
        <f>SUM(I143:I145)</f>
        <v>0</v>
      </c>
      <c r="J146" s="434">
        <f>SUM(J143:J145)</f>
        <v>0</v>
      </c>
      <c r="K146" s="508" t="s">
        <v>262</v>
      </c>
      <c r="L146" s="1243">
        <v>1</v>
      </c>
      <c r="M146" s="661"/>
      <c r="N146" s="630"/>
    </row>
    <row r="147" spans="1:14" s="2" customFormat="1" ht="16.5" customHeight="1" thickBot="1" x14ac:dyDescent="0.35">
      <c r="A147" s="107" t="s">
        <v>13</v>
      </c>
      <c r="B147" s="4" t="s">
        <v>32</v>
      </c>
      <c r="C147" s="1550" t="s">
        <v>39</v>
      </c>
      <c r="D147" s="1550"/>
      <c r="E147" s="1550"/>
      <c r="F147" s="1550"/>
      <c r="G147" s="1550"/>
      <c r="H147" s="446">
        <f>+H146+H142+H137+H135+H128+H120+H107+H104</f>
        <v>10241</v>
      </c>
      <c r="I147" s="463">
        <f>+I146+I142+I137+I135+I128+I120+I107+I104</f>
        <v>9335.2000000000007</v>
      </c>
      <c r="J147" s="1244">
        <f>+J146+J142+J137+J135+J128+J120+J107+J104</f>
        <v>9406.2000000000007</v>
      </c>
      <c r="K147" s="1508"/>
      <c r="L147" s="1509"/>
      <c r="M147" s="1509"/>
      <c r="N147" s="1510"/>
    </row>
    <row r="148" spans="1:14" s="2" customFormat="1" ht="30" customHeight="1" thickBot="1" x14ac:dyDescent="0.35">
      <c r="A148" s="108" t="s">
        <v>13</v>
      </c>
      <c r="B148" s="4" t="s">
        <v>35</v>
      </c>
      <c r="C148" s="1675" t="s">
        <v>228</v>
      </c>
      <c r="D148" s="1676"/>
      <c r="E148" s="1676"/>
      <c r="F148" s="1676"/>
      <c r="G148" s="1676"/>
      <c r="H148" s="1676"/>
      <c r="I148" s="1676"/>
      <c r="J148" s="1676"/>
      <c r="K148" s="1676"/>
      <c r="L148" s="1676"/>
      <c r="M148" s="1676"/>
      <c r="N148" s="1677"/>
    </row>
    <row r="149" spans="1:14" s="3" customFormat="1" ht="16.95" customHeight="1" x14ac:dyDescent="0.3">
      <c r="A149" s="1115" t="s">
        <v>13</v>
      </c>
      <c r="B149" s="1117" t="s">
        <v>35</v>
      </c>
      <c r="C149" s="222" t="s">
        <v>13</v>
      </c>
      <c r="D149" s="1671" t="s">
        <v>58</v>
      </c>
      <c r="E149" s="525"/>
      <c r="F149" s="258"/>
      <c r="G149" s="1270" t="s">
        <v>20</v>
      </c>
      <c r="H149" s="103">
        <v>121.8</v>
      </c>
      <c r="I149" s="457">
        <v>339.9</v>
      </c>
      <c r="J149" s="428">
        <v>1268.0999999999999</v>
      </c>
      <c r="K149" s="1268"/>
      <c r="L149" s="64"/>
      <c r="M149" s="548"/>
      <c r="N149" s="540"/>
    </row>
    <row r="150" spans="1:14" s="3" customFormat="1" ht="16.95" customHeight="1" x14ac:dyDescent="0.3">
      <c r="A150" s="1107"/>
      <c r="B150" s="1108"/>
      <c r="C150" s="122"/>
      <c r="D150" s="1672"/>
      <c r="E150" s="1245"/>
      <c r="F150" s="78"/>
      <c r="G150" s="1136" t="s">
        <v>124</v>
      </c>
      <c r="H150" s="46">
        <v>56.2</v>
      </c>
      <c r="I150" s="408"/>
      <c r="J150" s="431"/>
      <c r="K150" s="1269"/>
      <c r="L150" s="1247"/>
      <c r="M150" s="1248"/>
      <c r="N150" s="1249"/>
    </row>
    <row r="151" spans="1:14" s="3" customFormat="1" ht="16.95" customHeight="1" x14ac:dyDescent="0.3">
      <c r="A151" s="1107"/>
      <c r="B151" s="1108"/>
      <c r="C151" s="122"/>
      <c r="D151" s="1672"/>
      <c r="E151" s="1245"/>
      <c r="F151" s="78"/>
      <c r="G151" s="1136" t="s">
        <v>289</v>
      </c>
      <c r="H151" s="1030">
        <v>160.5</v>
      </c>
      <c r="I151" s="1031"/>
      <c r="J151" s="1032"/>
      <c r="K151" s="1269"/>
      <c r="L151" s="1247"/>
      <c r="M151" s="1248"/>
      <c r="N151" s="1249"/>
    </row>
    <row r="152" spans="1:14" s="3" customFormat="1" ht="16.95" customHeight="1" x14ac:dyDescent="0.3">
      <c r="A152" s="1107"/>
      <c r="B152" s="1108"/>
      <c r="C152" s="122"/>
      <c r="D152" s="1672"/>
      <c r="E152" s="1245"/>
      <c r="F152" s="78"/>
      <c r="G152" s="1271" t="s">
        <v>127</v>
      </c>
      <c r="H152" s="46">
        <v>278.60000000000002</v>
      </c>
      <c r="I152" s="408">
        <v>334.9</v>
      </c>
      <c r="J152" s="431"/>
      <c r="K152" s="1269"/>
      <c r="L152" s="1247"/>
      <c r="M152" s="1248"/>
      <c r="N152" s="1249"/>
    </row>
    <row r="153" spans="1:14" s="3" customFormat="1" ht="16.95" customHeight="1" x14ac:dyDescent="0.3">
      <c r="A153" s="1107"/>
      <c r="B153" s="1108"/>
      <c r="C153" s="122"/>
      <c r="D153" s="1672"/>
      <c r="E153" s="1245"/>
      <c r="F153" s="78"/>
      <c r="G153" s="1271" t="s">
        <v>134</v>
      </c>
      <c r="H153" s="1276">
        <v>18.399999999999999</v>
      </c>
      <c r="I153" s="1277"/>
      <c r="J153" s="1278"/>
      <c r="K153" s="1269"/>
      <c r="L153" s="1247"/>
      <c r="M153" s="1248"/>
      <c r="N153" s="1249"/>
    </row>
    <row r="154" spans="1:14" s="3" customFormat="1" ht="16.95" customHeight="1" x14ac:dyDescent="0.3">
      <c r="A154" s="1107"/>
      <c r="B154" s="1108"/>
      <c r="C154" s="122"/>
      <c r="D154" s="1250"/>
      <c r="E154" s="1245"/>
      <c r="F154" s="78"/>
      <c r="G154" s="1272" t="s">
        <v>57</v>
      </c>
      <c r="H154" s="1030">
        <v>10</v>
      </c>
      <c r="I154" s="1031">
        <v>66.2</v>
      </c>
      <c r="J154" s="1032"/>
      <c r="K154" s="1269"/>
      <c r="L154" s="1247"/>
      <c r="M154" s="1248"/>
      <c r="N154" s="1249"/>
    </row>
    <row r="155" spans="1:14" s="3" customFormat="1" ht="15.6" customHeight="1" x14ac:dyDescent="0.3">
      <c r="A155" s="1107"/>
      <c r="B155" s="1108"/>
      <c r="C155" s="69"/>
      <c r="D155" s="1537" t="s">
        <v>280</v>
      </c>
      <c r="E155" s="807" t="s">
        <v>59</v>
      </c>
      <c r="F155" s="808">
        <v>5</v>
      </c>
      <c r="G155" s="1255" t="s">
        <v>311</v>
      </c>
      <c r="H155" s="1149">
        <v>10.5</v>
      </c>
      <c r="I155" s="1150"/>
      <c r="J155" s="1151"/>
      <c r="K155" s="1259" t="s">
        <v>121</v>
      </c>
      <c r="L155" s="559">
        <v>100</v>
      </c>
      <c r="M155" s="1134"/>
      <c r="N155" s="470"/>
    </row>
    <row r="156" spans="1:14" s="3" customFormat="1" ht="15.6" customHeight="1" x14ac:dyDescent="0.3">
      <c r="A156" s="1107"/>
      <c r="B156" s="1108"/>
      <c r="C156" s="69"/>
      <c r="D156" s="1538"/>
      <c r="E156" s="809"/>
      <c r="F156" s="810"/>
      <c r="G156" s="1255" t="s">
        <v>301</v>
      </c>
      <c r="H156" s="1149">
        <f>126.2-5.7</f>
        <v>120.5</v>
      </c>
      <c r="I156" s="1150"/>
      <c r="J156" s="1151"/>
      <c r="K156" s="1260" t="s">
        <v>263</v>
      </c>
      <c r="L156" s="559">
        <v>100</v>
      </c>
      <c r="M156" s="1134"/>
      <c r="N156" s="470"/>
    </row>
    <row r="157" spans="1:14" s="3" customFormat="1" ht="15.6" customHeight="1" x14ac:dyDescent="0.3">
      <c r="A157" s="1107"/>
      <c r="B157" s="1108"/>
      <c r="C157" s="69"/>
      <c r="D157" s="1538"/>
      <c r="E157" s="809"/>
      <c r="F157" s="810"/>
      <c r="G157" s="1273" t="s">
        <v>308</v>
      </c>
      <c r="H157" s="1149">
        <f>120.6+95.2+53.9-18.4</f>
        <v>251.29999999999998</v>
      </c>
      <c r="I157" s="1150"/>
      <c r="J157" s="1151"/>
      <c r="K157" s="1261"/>
      <c r="L157" s="557"/>
      <c r="M157" s="510"/>
      <c r="N157" s="543"/>
    </row>
    <row r="158" spans="1:14" s="3" customFormat="1" ht="15.6" customHeight="1" x14ac:dyDescent="0.3">
      <c r="A158" s="1107"/>
      <c r="B158" s="1108"/>
      <c r="C158" s="69"/>
      <c r="D158" s="1538"/>
      <c r="E158" s="809"/>
      <c r="F158" s="810"/>
      <c r="G158" s="1273" t="s">
        <v>312</v>
      </c>
      <c r="H158" s="1149">
        <v>18.399999999999999</v>
      </c>
      <c r="I158" s="1150"/>
      <c r="J158" s="1151"/>
      <c r="K158" s="1261"/>
      <c r="L158" s="557"/>
      <c r="M158" s="510"/>
      <c r="N158" s="543"/>
    </row>
    <row r="159" spans="1:14" s="1" customFormat="1" ht="17.25" customHeight="1" x14ac:dyDescent="0.25">
      <c r="A159" s="1107"/>
      <c r="B159" s="1108"/>
      <c r="C159" s="1119"/>
      <c r="D159" s="1368" t="s">
        <v>215</v>
      </c>
      <c r="E159" s="807" t="s">
        <v>59</v>
      </c>
      <c r="F159" s="286">
        <v>5</v>
      </c>
      <c r="G159" s="1255" t="s">
        <v>308</v>
      </c>
      <c r="H159" s="1252">
        <v>27.3</v>
      </c>
      <c r="I159" s="1253">
        <v>334.9</v>
      </c>
      <c r="J159" s="1254"/>
      <c r="K159" s="1168" t="s">
        <v>267</v>
      </c>
      <c r="L159" s="381">
        <v>1</v>
      </c>
      <c r="M159" s="550"/>
      <c r="N159" s="545"/>
    </row>
    <row r="160" spans="1:14" s="1" customFormat="1" ht="17.25" customHeight="1" x14ac:dyDescent="0.25">
      <c r="A160" s="1107"/>
      <c r="B160" s="1108"/>
      <c r="C160" s="1119"/>
      <c r="D160" s="1369"/>
      <c r="E160" s="1342"/>
      <c r="F160" s="286"/>
      <c r="G160" s="1255"/>
      <c r="H160" s="1252"/>
      <c r="I160" s="1253"/>
      <c r="J160" s="1254"/>
      <c r="K160" s="1175" t="s">
        <v>136</v>
      </c>
      <c r="L160" s="558"/>
      <c r="M160" s="550">
        <v>100</v>
      </c>
      <c r="N160" s="546"/>
    </row>
    <row r="161" spans="1:14" s="1" customFormat="1" ht="55.95" customHeight="1" x14ac:dyDescent="0.25">
      <c r="A161" s="1107"/>
      <c r="B161" s="1108"/>
      <c r="C161" s="1119"/>
      <c r="D161" s="1503"/>
      <c r="E161" s="809"/>
      <c r="F161" s="286"/>
      <c r="G161" s="1255"/>
      <c r="H161" s="1252"/>
      <c r="I161" s="1253"/>
      <c r="J161" s="1254"/>
      <c r="K161" s="1261" t="s">
        <v>264</v>
      </c>
      <c r="L161" s="557"/>
      <c r="M161" s="512">
        <v>100</v>
      </c>
      <c r="N161" s="546"/>
    </row>
    <row r="162" spans="1:14" s="19" customFormat="1" ht="30.6" customHeight="1" x14ac:dyDescent="0.3">
      <c r="A162" s="113"/>
      <c r="B162" s="50"/>
      <c r="C162" s="51"/>
      <c r="D162" s="1443" t="s">
        <v>286</v>
      </c>
      <c r="E162" s="526" t="s">
        <v>59</v>
      </c>
      <c r="F162" s="268">
        <v>1</v>
      </c>
      <c r="G162" s="1255" t="s">
        <v>166</v>
      </c>
      <c r="H162" s="1217"/>
      <c r="I162" s="1164">
        <f>60.6+24.2</f>
        <v>84.8</v>
      </c>
      <c r="J162" s="1188"/>
      <c r="K162" s="1262" t="s">
        <v>214</v>
      </c>
      <c r="L162" s="554">
        <v>20</v>
      </c>
      <c r="M162" s="523">
        <v>100</v>
      </c>
      <c r="N162" s="541"/>
    </row>
    <row r="163" spans="1:14" s="19" customFormat="1" ht="31.95" customHeight="1" x14ac:dyDescent="0.3">
      <c r="A163" s="113"/>
      <c r="B163" s="50"/>
      <c r="C163" s="51"/>
      <c r="D163" s="1445"/>
      <c r="E163" s="863"/>
      <c r="F163" s="856"/>
      <c r="G163" s="1255"/>
      <c r="H163" s="1217"/>
      <c r="I163" s="1164"/>
      <c r="J163" s="1188"/>
      <c r="K163" s="1263" t="s">
        <v>284</v>
      </c>
      <c r="L163" s="860"/>
      <c r="M163" s="861">
        <v>100</v>
      </c>
      <c r="N163" s="862"/>
    </row>
    <row r="164" spans="1:14" s="19" customFormat="1" ht="31.2" customHeight="1" x14ac:dyDescent="0.3">
      <c r="A164" s="113"/>
      <c r="B164" s="50"/>
      <c r="C164" s="51"/>
      <c r="D164" s="1123" t="s">
        <v>287</v>
      </c>
      <c r="E164" s="312"/>
      <c r="F164" s="856"/>
      <c r="G164" s="1255" t="s">
        <v>301</v>
      </c>
      <c r="H164" s="1217">
        <v>40</v>
      </c>
      <c r="I164" s="1164"/>
      <c r="J164" s="1188"/>
      <c r="K164" s="1264" t="s">
        <v>266</v>
      </c>
      <c r="L164" s="981">
        <v>100</v>
      </c>
      <c r="M164" s="982"/>
      <c r="N164" s="983"/>
    </row>
    <row r="165" spans="1:14" s="3" customFormat="1" ht="18.600000000000001" customHeight="1" x14ac:dyDescent="0.3">
      <c r="A165" s="1107"/>
      <c r="B165" s="1108"/>
      <c r="C165" s="122"/>
      <c r="D165" s="1443" t="s">
        <v>229</v>
      </c>
      <c r="E165" s="829"/>
      <c r="F165" s="268">
        <v>6</v>
      </c>
      <c r="G165" s="1255" t="s">
        <v>166</v>
      </c>
      <c r="H165" s="1217">
        <v>121.8</v>
      </c>
      <c r="I165" s="1164">
        <v>138.1</v>
      </c>
      <c r="J165" s="1188">
        <v>138.1</v>
      </c>
      <c r="K165" s="1265" t="s">
        <v>109</v>
      </c>
      <c r="L165" s="832">
        <v>9</v>
      </c>
      <c r="M165" s="552">
        <v>9</v>
      </c>
      <c r="N165" s="547">
        <v>9</v>
      </c>
    </row>
    <row r="166" spans="1:14" s="3" customFormat="1" ht="30.75" customHeight="1" x14ac:dyDescent="0.3">
      <c r="A166" s="1107"/>
      <c r="B166" s="1108"/>
      <c r="C166" s="122"/>
      <c r="D166" s="1444"/>
      <c r="E166" s="833"/>
      <c r="F166" s="296"/>
      <c r="G166" s="1255" t="s">
        <v>311</v>
      </c>
      <c r="H166" s="1217">
        <v>16.3</v>
      </c>
      <c r="I166" s="1164"/>
      <c r="J166" s="1188"/>
      <c r="K166" s="1266" t="s">
        <v>230</v>
      </c>
      <c r="L166" s="836">
        <v>5</v>
      </c>
      <c r="M166" s="553">
        <v>5</v>
      </c>
      <c r="N166" s="837">
        <v>5</v>
      </c>
    </row>
    <row r="167" spans="1:14" s="3" customFormat="1" ht="45" customHeight="1" x14ac:dyDescent="0.3">
      <c r="A167" s="1107"/>
      <c r="B167" s="1108"/>
      <c r="C167" s="122"/>
      <c r="D167" s="1124"/>
      <c r="E167" s="838"/>
      <c r="F167" s="839"/>
      <c r="G167" s="1255"/>
      <c r="H167" s="1217"/>
      <c r="I167" s="1164"/>
      <c r="J167" s="1188"/>
      <c r="K167" s="1267" t="s">
        <v>231</v>
      </c>
      <c r="L167" s="836">
        <v>3</v>
      </c>
      <c r="M167" s="553">
        <v>3</v>
      </c>
      <c r="N167" s="837">
        <v>3</v>
      </c>
    </row>
    <row r="168" spans="1:14" s="1" customFormat="1" ht="19.95" customHeight="1" x14ac:dyDescent="0.25">
      <c r="A168" s="1107"/>
      <c r="B168" s="1108"/>
      <c r="C168" s="1119"/>
      <c r="D168" s="1537" t="s">
        <v>281</v>
      </c>
      <c r="E168" s="1339" t="s">
        <v>213</v>
      </c>
      <c r="F168" s="286"/>
      <c r="G168" s="1273" t="s">
        <v>166</v>
      </c>
      <c r="H168" s="1256"/>
      <c r="I168" s="1253">
        <v>117</v>
      </c>
      <c r="J168" s="1258">
        <f>1100</f>
        <v>1100</v>
      </c>
      <c r="K168" s="1168" t="s">
        <v>267</v>
      </c>
      <c r="L168" s="381"/>
      <c r="M168" s="640">
        <v>1</v>
      </c>
      <c r="N168" s="545"/>
    </row>
    <row r="169" spans="1:14" s="1" customFormat="1" ht="18" customHeight="1" x14ac:dyDescent="0.25">
      <c r="A169" s="1107"/>
      <c r="B169" s="1108"/>
      <c r="C169" s="1119"/>
      <c r="D169" s="1538"/>
      <c r="E169" s="1342" t="s">
        <v>59</v>
      </c>
      <c r="F169" s="286"/>
      <c r="G169" s="1273"/>
      <c r="H169" s="1256"/>
      <c r="I169" s="1257"/>
      <c r="J169" s="1258"/>
      <c r="K169" s="1168" t="s">
        <v>136</v>
      </c>
      <c r="L169" s="79"/>
      <c r="M169" s="640"/>
      <c r="N169" s="545">
        <v>30</v>
      </c>
    </row>
    <row r="170" spans="1:14" s="1" customFormat="1" ht="43.2" customHeight="1" x14ac:dyDescent="0.25">
      <c r="A170" s="1107"/>
      <c r="B170" s="1108"/>
      <c r="C170" s="1119"/>
      <c r="D170" s="1532"/>
      <c r="E170" s="1351"/>
      <c r="F170" s="286"/>
      <c r="G170" s="1273"/>
      <c r="H170" s="1256"/>
      <c r="I170" s="1257"/>
      <c r="J170" s="1258"/>
      <c r="K170" s="1140" t="s">
        <v>293</v>
      </c>
      <c r="L170" s="79"/>
      <c r="M170" s="640"/>
      <c r="N170" s="545">
        <v>80</v>
      </c>
    </row>
    <row r="171" spans="1:14" s="1" customFormat="1" ht="28.95" customHeight="1" x14ac:dyDescent="0.25">
      <c r="A171" s="1107"/>
      <c r="B171" s="1108"/>
      <c r="C171" s="1119"/>
      <c r="D171" s="1368" t="s">
        <v>268</v>
      </c>
      <c r="E171" s="267" t="s">
        <v>59</v>
      </c>
      <c r="F171" s="286"/>
      <c r="G171" s="1273" t="s">
        <v>166</v>
      </c>
      <c r="H171" s="1256"/>
      <c r="I171" s="1257"/>
      <c r="J171" s="1258">
        <v>30</v>
      </c>
      <c r="K171" s="1177" t="s">
        <v>267</v>
      </c>
      <c r="L171" s="554"/>
      <c r="M171" s="523"/>
      <c r="N171" s="546">
        <v>1</v>
      </c>
    </row>
    <row r="172" spans="1:14" s="1" customFormat="1" ht="28.95" customHeight="1" x14ac:dyDescent="0.25">
      <c r="A172" s="1107"/>
      <c r="B172" s="1108"/>
      <c r="C172" s="1119"/>
      <c r="D172" s="1369"/>
      <c r="E172" s="312" t="s">
        <v>213</v>
      </c>
      <c r="F172" s="287"/>
      <c r="G172" s="1274"/>
      <c r="H172" s="514"/>
      <c r="I172" s="515"/>
      <c r="J172" s="516"/>
      <c r="K172" s="1174"/>
      <c r="L172" s="1106"/>
      <c r="M172" s="805"/>
      <c r="N172" s="601"/>
    </row>
    <row r="173" spans="1:14" s="2" customFormat="1" ht="16.5" customHeight="1" thickBot="1" x14ac:dyDescent="0.35">
      <c r="A173" s="1116"/>
      <c r="B173" s="1114"/>
      <c r="C173" s="70"/>
      <c r="D173" s="1427" t="s">
        <v>31</v>
      </c>
      <c r="E173" s="1428"/>
      <c r="F173" s="1428"/>
      <c r="G173" s="1429"/>
      <c r="H173" s="153">
        <f>SUM(H149:H154)</f>
        <v>645.5</v>
      </c>
      <c r="I173" s="500">
        <f>SUM(I149:I154)</f>
        <v>741</v>
      </c>
      <c r="J173" s="865">
        <f t="shared" ref="J173" si="14">SUM(J149:J154)</f>
        <v>1268.0999999999999</v>
      </c>
      <c r="K173" s="1547"/>
      <c r="L173" s="1547"/>
      <c r="M173" s="1547"/>
      <c r="N173" s="1548"/>
    </row>
    <row r="174" spans="1:14" s="2" customFormat="1" ht="16.5" customHeight="1" thickBot="1" x14ac:dyDescent="0.35">
      <c r="A174" s="107" t="s">
        <v>13</v>
      </c>
      <c r="B174" s="28" t="s">
        <v>35</v>
      </c>
      <c r="C174" s="1549" t="s">
        <v>39</v>
      </c>
      <c r="D174" s="1550"/>
      <c r="E174" s="1550"/>
      <c r="F174" s="1550"/>
      <c r="G174" s="1550"/>
      <c r="H174" s="446">
        <f>H173</f>
        <v>645.5</v>
      </c>
      <c r="I174" s="463">
        <f t="shared" ref="I174:J174" si="15">I173</f>
        <v>741</v>
      </c>
      <c r="J174" s="436">
        <f t="shared" si="15"/>
        <v>1268.0999999999999</v>
      </c>
      <c r="K174" s="1509"/>
      <c r="L174" s="1509"/>
      <c r="M174" s="1509"/>
      <c r="N174" s="1510"/>
    </row>
    <row r="175" spans="1:14" s="1" customFormat="1" ht="16.5" customHeight="1" thickBot="1" x14ac:dyDescent="0.3">
      <c r="A175" s="107" t="s">
        <v>13</v>
      </c>
      <c r="B175" s="28" t="s">
        <v>37</v>
      </c>
      <c r="C175" s="1558" t="s">
        <v>60</v>
      </c>
      <c r="D175" s="1388"/>
      <c r="E175" s="1388"/>
      <c r="F175" s="1388"/>
      <c r="G175" s="1388"/>
      <c r="H175" s="1388"/>
      <c r="I175" s="1388"/>
      <c r="J175" s="1388"/>
      <c r="K175" s="1388"/>
      <c r="L175" s="1388"/>
      <c r="M175" s="1388"/>
      <c r="N175" s="1390"/>
    </row>
    <row r="176" spans="1:14" s="1" customFormat="1" ht="18" customHeight="1" x14ac:dyDescent="0.25">
      <c r="A176" s="1115" t="s">
        <v>13</v>
      </c>
      <c r="B176" s="1117" t="s">
        <v>37</v>
      </c>
      <c r="C176" s="1118" t="s">
        <v>13</v>
      </c>
      <c r="D176" s="29" t="s">
        <v>61</v>
      </c>
      <c r="E176" s="1346"/>
      <c r="F176" s="1343"/>
      <c r="G176" s="1295" t="s">
        <v>175</v>
      </c>
      <c r="H176" s="480">
        <v>250</v>
      </c>
      <c r="I176" s="457">
        <v>84.6</v>
      </c>
      <c r="J176" s="480">
        <v>948.3</v>
      </c>
      <c r="K176" s="63"/>
      <c r="L176" s="685"/>
      <c r="M176" s="653"/>
      <c r="N176" s="621"/>
    </row>
    <row r="177" spans="1:19" s="1" customFormat="1" ht="18" customHeight="1" x14ac:dyDescent="0.25">
      <c r="A177" s="1107"/>
      <c r="B177" s="1108"/>
      <c r="C177" s="1119"/>
      <c r="D177" s="1286"/>
      <c r="E177" s="1347"/>
      <c r="F177" s="1344"/>
      <c r="G177" s="1282" t="s">
        <v>180</v>
      </c>
      <c r="H177" s="46">
        <v>27</v>
      </c>
      <c r="I177" s="408"/>
      <c r="J177" s="431"/>
      <c r="K177" s="1246"/>
      <c r="L177" s="119"/>
      <c r="M177" s="654"/>
      <c r="N177" s="622"/>
    </row>
    <row r="178" spans="1:19" s="1" customFormat="1" ht="18" customHeight="1" x14ac:dyDescent="0.25">
      <c r="A178" s="1107"/>
      <c r="B178" s="1108"/>
      <c r="C178" s="1119"/>
      <c r="D178" s="1286"/>
      <c r="E178" s="1347"/>
      <c r="F178" s="1344"/>
      <c r="G178" s="1136" t="s">
        <v>134</v>
      </c>
      <c r="H178" s="1279">
        <v>328</v>
      </c>
      <c r="I178" s="460"/>
      <c r="J178" s="432"/>
      <c r="K178" s="1246"/>
      <c r="L178" s="119"/>
      <c r="M178" s="654"/>
      <c r="N178" s="622"/>
    </row>
    <row r="179" spans="1:19" s="1" customFormat="1" ht="17.25" customHeight="1" x14ac:dyDescent="0.25">
      <c r="A179" s="1107"/>
      <c r="B179" s="1108"/>
      <c r="C179" s="1119"/>
      <c r="D179" s="1368" t="s">
        <v>323</v>
      </c>
      <c r="E179" s="1348" t="s">
        <v>213</v>
      </c>
      <c r="F179" s="1345">
        <v>5</v>
      </c>
      <c r="G179" s="1287" t="s">
        <v>313</v>
      </c>
      <c r="H179" s="1288">
        <f>30+8.7</f>
        <v>38.700000000000003</v>
      </c>
      <c r="I179" s="1253">
        <f>70-8.7+23.3</f>
        <v>84.6</v>
      </c>
      <c r="J179" s="1275">
        <v>948.3</v>
      </c>
      <c r="K179" s="797" t="s">
        <v>212</v>
      </c>
      <c r="L179" s="559">
        <v>0.5</v>
      </c>
      <c r="M179" s="551">
        <v>1</v>
      </c>
      <c r="N179" s="546"/>
    </row>
    <row r="180" spans="1:19" s="1" customFormat="1" ht="19.2" customHeight="1" x14ac:dyDescent="0.25">
      <c r="A180" s="1107"/>
      <c r="B180" s="1108"/>
      <c r="C180" s="1119"/>
      <c r="D180" s="1369"/>
      <c r="E180" s="1348" t="s">
        <v>59</v>
      </c>
      <c r="F180" s="344"/>
      <c r="G180" s="1255"/>
      <c r="H180" s="1275"/>
      <c r="I180" s="1253"/>
      <c r="J180" s="1275"/>
      <c r="K180" s="811" t="s">
        <v>294</v>
      </c>
      <c r="L180" s="559"/>
      <c r="M180" s="551"/>
      <c r="N180" s="546">
        <v>30</v>
      </c>
      <c r="P180" s="25"/>
    </row>
    <row r="181" spans="1:19" s="1" customFormat="1" ht="17.25" customHeight="1" x14ac:dyDescent="0.25">
      <c r="A181" s="1107"/>
      <c r="B181" s="1108"/>
      <c r="C181" s="1119"/>
      <c r="D181" s="1369"/>
      <c r="E181" s="1349"/>
      <c r="F181" s="344"/>
      <c r="G181" s="1289"/>
      <c r="H181" s="1290"/>
      <c r="I181" s="1291"/>
      <c r="J181" s="1292"/>
      <c r="K181" s="848"/>
      <c r="L181" s="686"/>
      <c r="M181" s="693"/>
      <c r="N181" s="689"/>
    </row>
    <row r="182" spans="1:19" s="1" customFormat="1" ht="17.25" customHeight="1" x14ac:dyDescent="0.25">
      <c r="A182" s="1107"/>
      <c r="B182" s="1108"/>
      <c r="C182" s="1119"/>
      <c r="D182" s="1368" t="s">
        <v>115</v>
      </c>
      <c r="E182" s="1348" t="s">
        <v>213</v>
      </c>
      <c r="F182" s="344">
        <v>5</v>
      </c>
      <c r="G182" s="1287" t="s">
        <v>314</v>
      </c>
      <c r="H182" s="1275">
        <v>27</v>
      </c>
      <c r="I182" s="1253"/>
      <c r="J182" s="1254"/>
      <c r="K182" s="298" t="s">
        <v>62</v>
      </c>
      <c r="L182" s="558">
        <v>100</v>
      </c>
      <c r="M182" s="550"/>
      <c r="N182" s="545"/>
    </row>
    <row r="183" spans="1:19" s="1" customFormat="1" ht="18.600000000000001" customHeight="1" x14ac:dyDescent="0.25">
      <c r="A183" s="1107"/>
      <c r="B183" s="1108"/>
      <c r="C183" s="1119"/>
      <c r="D183" s="1369"/>
      <c r="E183" s="1348" t="s">
        <v>59</v>
      </c>
      <c r="F183" s="344"/>
      <c r="G183" s="1287" t="s">
        <v>313</v>
      </c>
      <c r="H183" s="1275">
        <v>211.3</v>
      </c>
      <c r="I183" s="1253"/>
      <c r="J183" s="1254"/>
      <c r="K183" s="1669" t="s">
        <v>224</v>
      </c>
      <c r="L183" s="559" t="s">
        <v>218</v>
      </c>
      <c r="M183" s="551"/>
      <c r="N183" s="546"/>
    </row>
    <row r="184" spans="1:19" s="1" customFormat="1" ht="11.4" customHeight="1" x14ac:dyDescent="0.25">
      <c r="A184" s="1107"/>
      <c r="B184" s="1108"/>
      <c r="C184" s="1119"/>
      <c r="D184" s="1369"/>
      <c r="E184" s="1349"/>
      <c r="F184" s="344"/>
      <c r="G184" s="1255" t="s">
        <v>312</v>
      </c>
      <c r="H184" s="1293">
        <v>328</v>
      </c>
      <c r="I184" s="1253"/>
      <c r="J184" s="1275"/>
      <c r="K184" s="1673"/>
      <c r="L184" s="556"/>
      <c r="M184" s="510"/>
      <c r="N184" s="543"/>
    </row>
    <row r="185" spans="1:19" s="1" customFormat="1" ht="15.6" customHeight="1" thickBot="1" x14ac:dyDescent="0.3">
      <c r="A185" s="1116"/>
      <c r="B185" s="1114"/>
      <c r="C185" s="1120"/>
      <c r="D185" s="1382"/>
      <c r="E185" s="1350"/>
      <c r="F185" s="1296"/>
      <c r="G185" s="1297" t="s">
        <v>24</v>
      </c>
      <c r="H185" s="1047">
        <f>SUM(H176:H178)</f>
        <v>605</v>
      </c>
      <c r="I185" s="414">
        <f>SUM(I176:I178)</f>
        <v>84.6</v>
      </c>
      <c r="J185" s="1047">
        <f>SUM(J176:J178)</f>
        <v>948.3</v>
      </c>
      <c r="K185" s="1674"/>
      <c r="L185" s="687"/>
      <c r="M185" s="694"/>
      <c r="N185" s="690"/>
    </row>
    <row r="186" spans="1:19" s="1" customFormat="1" ht="18" customHeight="1" x14ac:dyDescent="0.25">
      <c r="A186" s="1107" t="s">
        <v>13</v>
      </c>
      <c r="B186" s="1108" t="s">
        <v>37</v>
      </c>
      <c r="C186" s="69" t="s">
        <v>32</v>
      </c>
      <c r="D186" s="1579" t="s">
        <v>63</v>
      </c>
      <c r="E186" s="1581"/>
      <c r="F186" s="1111" t="s">
        <v>17</v>
      </c>
      <c r="G186" s="1155" t="s">
        <v>86</v>
      </c>
      <c r="H186" s="1251">
        <v>234.5</v>
      </c>
      <c r="I186" s="501"/>
      <c r="J186" s="1294"/>
      <c r="K186" s="1121"/>
      <c r="L186" s="119"/>
      <c r="M186" s="654"/>
      <c r="N186" s="622"/>
      <c r="S186" s="25"/>
    </row>
    <row r="187" spans="1:19" s="1" customFormat="1" ht="18" customHeight="1" x14ac:dyDescent="0.25">
      <c r="A187" s="1107"/>
      <c r="B187" s="1108"/>
      <c r="C187" s="69"/>
      <c r="D187" s="1579"/>
      <c r="E187" s="1581"/>
      <c r="F187" s="1111"/>
      <c r="G187" s="1158" t="s">
        <v>42</v>
      </c>
      <c r="H187" s="391">
        <v>1019.3</v>
      </c>
      <c r="I187" s="408">
        <v>980</v>
      </c>
      <c r="J187" s="431">
        <v>990</v>
      </c>
      <c r="K187" s="1121"/>
      <c r="L187" s="119"/>
      <c r="M187" s="654"/>
      <c r="N187" s="622"/>
    </row>
    <row r="188" spans="1:19" s="1" customFormat="1" ht="18" customHeight="1" x14ac:dyDescent="0.25">
      <c r="A188" s="1107"/>
      <c r="B188" s="1108"/>
      <c r="C188" s="69"/>
      <c r="D188" s="1579"/>
      <c r="E188" s="1581"/>
      <c r="F188" s="1111"/>
      <c r="G188" s="1156" t="s">
        <v>34</v>
      </c>
      <c r="H188" s="1281">
        <v>6.6</v>
      </c>
      <c r="I188" s="461">
        <v>6.6</v>
      </c>
      <c r="J188" s="433">
        <v>6.6</v>
      </c>
      <c r="K188" s="1121"/>
      <c r="L188" s="119"/>
      <c r="M188" s="654"/>
      <c r="N188" s="622"/>
      <c r="P188" s="25"/>
    </row>
    <row r="189" spans="1:19" s="1" customFormat="1" ht="21" customHeight="1" x14ac:dyDescent="0.25">
      <c r="A189" s="1107"/>
      <c r="B189" s="1108"/>
      <c r="C189" s="69"/>
      <c r="D189" s="1561" t="s">
        <v>64</v>
      </c>
      <c r="E189" s="1581"/>
      <c r="F189" s="1111"/>
      <c r="G189" s="1157" t="s">
        <v>302</v>
      </c>
      <c r="H189" s="1298">
        <v>462.3</v>
      </c>
      <c r="I189" s="1299">
        <v>400</v>
      </c>
      <c r="J189" s="1300">
        <v>400</v>
      </c>
      <c r="K189" s="781" t="s">
        <v>173</v>
      </c>
      <c r="L189" s="1017">
        <v>30</v>
      </c>
      <c r="M189" s="784">
        <v>30</v>
      </c>
      <c r="N189" s="741">
        <v>30</v>
      </c>
    </row>
    <row r="190" spans="1:19" s="1" customFormat="1" ht="21" customHeight="1" x14ac:dyDescent="0.25">
      <c r="A190" s="1107"/>
      <c r="B190" s="1108"/>
      <c r="C190" s="69"/>
      <c r="D190" s="1562"/>
      <c r="E190" s="151"/>
      <c r="F190" s="1111"/>
      <c r="G190" s="1157"/>
      <c r="H190" s="1298"/>
      <c r="I190" s="1299"/>
      <c r="J190" s="1300"/>
      <c r="K190" s="152"/>
      <c r="L190" s="1284"/>
      <c r="M190" s="695"/>
      <c r="N190" s="691"/>
    </row>
    <row r="191" spans="1:19" s="1" customFormat="1" ht="33.75" customHeight="1" x14ac:dyDescent="0.25">
      <c r="A191" s="1107"/>
      <c r="B191" s="1108"/>
      <c r="C191" s="69"/>
      <c r="D191" s="1561" t="s">
        <v>65</v>
      </c>
      <c r="E191" s="82"/>
      <c r="F191" s="1111"/>
      <c r="G191" s="1157" t="s">
        <v>302</v>
      </c>
      <c r="H191" s="1298">
        <v>131</v>
      </c>
      <c r="I191" s="1299">
        <v>150</v>
      </c>
      <c r="J191" s="1300">
        <v>160</v>
      </c>
      <c r="K191" s="1551" t="s">
        <v>98</v>
      </c>
      <c r="L191" s="1017">
        <v>250</v>
      </c>
      <c r="M191" s="784">
        <v>260</v>
      </c>
      <c r="N191" s="741">
        <v>270</v>
      </c>
      <c r="R191" s="25"/>
    </row>
    <row r="192" spans="1:19" s="1" customFormat="1" ht="33.75" customHeight="1" x14ac:dyDescent="0.25">
      <c r="A192" s="1107"/>
      <c r="B192" s="1108"/>
      <c r="C192" s="69"/>
      <c r="D192" s="1562"/>
      <c r="E192" s="55"/>
      <c r="F192" s="1111"/>
      <c r="G192" s="1157"/>
      <c r="H192" s="1298"/>
      <c r="I192" s="1299"/>
      <c r="J192" s="1300"/>
      <c r="K192" s="1556"/>
      <c r="L192" s="1284"/>
      <c r="M192" s="695"/>
      <c r="N192" s="691"/>
    </row>
    <row r="193" spans="1:14" s="1" customFormat="1" ht="28.5" customHeight="1" x14ac:dyDescent="0.25">
      <c r="A193" s="1107"/>
      <c r="B193" s="1108"/>
      <c r="C193" s="69"/>
      <c r="D193" s="1561" t="s">
        <v>66</v>
      </c>
      <c r="E193" s="55"/>
      <c r="F193" s="1111"/>
      <c r="G193" s="1157" t="s">
        <v>302</v>
      </c>
      <c r="H193" s="1298">
        <v>32</v>
      </c>
      <c r="I193" s="1299">
        <v>30</v>
      </c>
      <c r="J193" s="1300">
        <v>30</v>
      </c>
      <c r="K193" s="1551" t="s">
        <v>99</v>
      </c>
      <c r="L193" s="1017">
        <v>35</v>
      </c>
      <c r="M193" s="784">
        <v>35</v>
      </c>
      <c r="N193" s="741">
        <v>35</v>
      </c>
    </row>
    <row r="194" spans="1:14" s="1" customFormat="1" ht="28.5" customHeight="1" x14ac:dyDescent="0.25">
      <c r="A194" s="1107"/>
      <c r="B194" s="1108"/>
      <c r="C194" s="69"/>
      <c r="D194" s="1562"/>
      <c r="E194" s="55"/>
      <c r="F194" s="1111"/>
      <c r="G194" s="1157"/>
      <c r="H194" s="1298"/>
      <c r="I194" s="1299"/>
      <c r="J194" s="1300"/>
      <c r="K194" s="1552"/>
      <c r="L194" s="1284"/>
      <c r="M194" s="695"/>
      <c r="N194" s="691"/>
    </row>
    <row r="195" spans="1:14" s="1" customFormat="1" ht="15" customHeight="1" x14ac:dyDescent="0.25">
      <c r="A195" s="1107"/>
      <c r="B195" s="1108"/>
      <c r="C195" s="69"/>
      <c r="D195" s="1561" t="s">
        <v>67</v>
      </c>
      <c r="E195" s="55"/>
      <c r="F195" s="1111"/>
      <c r="G195" s="1157" t="s">
        <v>302</v>
      </c>
      <c r="H195" s="1298">
        <v>237</v>
      </c>
      <c r="I195" s="1299">
        <v>240</v>
      </c>
      <c r="J195" s="1300">
        <v>240</v>
      </c>
      <c r="K195" s="1551" t="s">
        <v>68</v>
      </c>
      <c r="L195" s="1017">
        <v>95</v>
      </c>
      <c r="M195" s="784">
        <v>95</v>
      </c>
      <c r="N195" s="741">
        <v>95</v>
      </c>
    </row>
    <row r="196" spans="1:14" s="1" customFormat="1" ht="31.5" customHeight="1" x14ac:dyDescent="0.25">
      <c r="A196" s="1107"/>
      <c r="B196" s="1108"/>
      <c r="C196" s="69"/>
      <c r="D196" s="1562"/>
      <c r="E196" s="55"/>
      <c r="F196" s="1111"/>
      <c r="G196" s="1157"/>
      <c r="H196" s="1298"/>
      <c r="I196" s="1299"/>
      <c r="J196" s="1300"/>
      <c r="K196" s="1552"/>
      <c r="L196" s="1284"/>
      <c r="M196" s="695"/>
      <c r="N196" s="691"/>
    </row>
    <row r="197" spans="1:14" s="1" customFormat="1" ht="40.5" customHeight="1" x14ac:dyDescent="0.25">
      <c r="A197" s="1107"/>
      <c r="B197" s="1108"/>
      <c r="C197" s="69"/>
      <c r="D197" s="307" t="s">
        <v>69</v>
      </c>
      <c r="E197" s="82"/>
      <c r="F197" s="1111"/>
      <c r="G197" s="1157" t="s">
        <v>305</v>
      </c>
      <c r="H197" s="1298">
        <v>6.6</v>
      </c>
      <c r="I197" s="1299">
        <v>6.6</v>
      </c>
      <c r="J197" s="1300">
        <v>6.6</v>
      </c>
      <c r="K197" s="127" t="s">
        <v>154</v>
      </c>
      <c r="L197" s="170">
        <v>12</v>
      </c>
      <c r="M197" s="522">
        <v>12</v>
      </c>
      <c r="N197" s="595">
        <v>12</v>
      </c>
    </row>
    <row r="198" spans="1:14" s="1" customFormat="1" ht="22.5" customHeight="1" x14ac:dyDescent="0.25">
      <c r="A198" s="1107"/>
      <c r="B198" s="1108"/>
      <c r="C198" s="69"/>
      <c r="D198" s="1554" t="s">
        <v>70</v>
      </c>
      <c r="E198" s="55"/>
      <c r="F198" s="1111"/>
      <c r="G198" s="1157" t="s">
        <v>302</v>
      </c>
      <c r="H198" s="1298">
        <v>157</v>
      </c>
      <c r="I198" s="1299">
        <v>160</v>
      </c>
      <c r="J198" s="1300">
        <v>160</v>
      </c>
      <c r="K198" s="1556" t="s">
        <v>71</v>
      </c>
      <c r="L198" s="1284">
        <v>100</v>
      </c>
      <c r="M198" s="695">
        <v>100</v>
      </c>
      <c r="N198" s="691">
        <v>100</v>
      </c>
    </row>
    <row r="199" spans="1:14" s="1" customFormat="1" ht="22.5" customHeight="1" x14ac:dyDescent="0.25">
      <c r="A199" s="109"/>
      <c r="B199" s="1108"/>
      <c r="C199" s="69"/>
      <c r="D199" s="1554"/>
      <c r="E199" s="55"/>
      <c r="F199" s="1111"/>
      <c r="G199" s="1155"/>
      <c r="H199" s="1280"/>
      <c r="I199" s="502"/>
      <c r="J199" s="486"/>
      <c r="K199" s="1556"/>
      <c r="L199" s="1284"/>
      <c r="M199" s="695"/>
      <c r="N199" s="691"/>
    </row>
    <row r="200" spans="1:14" s="1" customFormat="1" ht="13.5" customHeight="1" thickBot="1" x14ac:dyDescent="0.3">
      <c r="A200" s="110" t="s">
        <v>107</v>
      </c>
      <c r="B200" s="1114"/>
      <c r="C200" s="70"/>
      <c r="D200" s="1555"/>
      <c r="E200" s="56"/>
      <c r="F200" s="1137"/>
      <c r="G200" s="1283" t="s">
        <v>24</v>
      </c>
      <c r="H200" s="1047">
        <f>SUM(H186:H188)</f>
        <v>1260.3999999999999</v>
      </c>
      <c r="I200" s="414">
        <f>SUM(I186:I188)</f>
        <v>986.6</v>
      </c>
      <c r="J200" s="1047">
        <f t="shared" ref="J200" si="16">SUM(J186:J188)</f>
        <v>996.6</v>
      </c>
      <c r="K200" s="1557"/>
      <c r="L200" s="1285"/>
      <c r="M200" s="791"/>
      <c r="N200" s="792"/>
    </row>
    <row r="201" spans="1:14" s="1" customFormat="1" ht="52.5" customHeight="1" x14ac:dyDescent="0.25">
      <c r="A201" s="1115" t="s">
        <v>13</v>
      </c>
      <c r="B201" s="1117" t="s">
        <v>37</v>
      </c>
      <c r="C201" s="1118" t="s">
        <v>35</v>
      </c>
      <c r="D201" s="29" t="s">
        <v>72</v>
      </c>
      <c r="E201" s="54"/>
      <c r="F201" s="30"/>
      <c r="G201" s="64"/>
      <c r="H201" s="491"/>
      <c r="I201" s="501"/>
      <c r="J201" s="485"/>
      <c r="K201" s="63"/>
      <c r="L201" s="685"/>
      <c r="M201" s="653"/>
      <c r="N201" s="621"/>
    </row>
    <row r="202" spans="1:14" s="1" customFormat="1" ht="27.75" customHeight="1" x14ac:dyDescent="0.25">
      <c r="A202" s="1107"/>
      <c r="B202" s="1108"/>
      <c r="C202" s="1119"/>
      <c r="D202" s="1443" t="s">
        <v>123</v>
      </c>
      <c r="E202" s="82"/>
      <c r="F202" s="30">
        <v>1</v>
      </c>
      <c r="G202" s="85" t="s">
        <v>34</v>
      </c>
      <c r="H202" s="27">
        <v>50</v>
      </c>
      <c r="I202" s="402">
        <v>50</v>
      </c>
      <c r="J202" s="435"/>
      <c r="K202" s="1109" t="s">
        <v>161</v>
      </c>
      <c r="L202" s="271">
        <v>1</v>
      </c>
      <c r="M202" s="696">
        <v>1</v>
      </c>
      <c r="N202" s="692"/>
    </row>
    <row r="203" spans="1:14" s="1" customFormat="1" ht="15" customHeight="1" thickBot="1" x14ac:dyDescent="0.3">
      <c r="A203" s="1107"/>
      <c r="B203" s="1108"/>
      <c r="C203" s="1119"/>
      <c r="D203" s="1444"/>
      <c r="E203" s="53"/>
      <c r="F203" s="39"/>
      <c r="G203" s="86" t="s">
        <v>24</v>
      </c>
      <c r="H203" s="8">
        <f t="shared" ref="H203:J203" si="17">SUM(H202:H202)</f>
        <v>50</v>
      </c>
      <c r="I203" s="407">
        <f t="shared" si="17"/>
        <v>50</v>
      </c>
      <c r="J203" s="397">
        <f t="shared" si="17"/>
        <v>0</v>
      </c>
      <c r="K203" s="295"/>
      <c r="L203" s="687"/>
      <c r="M203" s="694"/>
      <c r="N203" s="690"/>
    </row>
    <row r="204" spans="1:14" s="2" customFormat="1" ht="16.5" customHeight="1" thickBot="1" x14ac:dyDescent="0.35">
      <c r="A204" s="107" t="s">
        <v>13</v>
      </c>
      <c r="B204" s="4" t="s">
        <v>37</v>
      </c>
      <c r="C204" s="1550" t="s">
        <v>39</v>
      </c>
      <c r="D204" s="1550"/>
      <c r="E204" s="1550"/>
      <c r="F204" s="1550"/>
      <c r="G204" s="1550"/>
      <c r="H204" s="494">
        <f>+H203+H200+H181+H185</f>
        <v>1915.3999999999999</v>
      </c>
      <c r="I204" s="504">
        <f>+I203+I200+I185</f>
        <v>1121.1999999999998</v>
      </c>
      <c r="J204" s="1301">
        <f>+J203+J200+J181+J185</f>
        <v>1944.9</v>
      </c>
      <c r="K204" s="1508"/>
      <c r="L204" s="1509"/>
      <c r="M204" s="1509"/>
      <c r="N204" s="1510"/>
    </row>
    <row r="205" spans="1:14" s="1" customFormat="1" ht="16.5" customHeight="1" thickBot="1" x14ac:dyDescent="0.3">
      <c r="A205" s="1116" t="s">
        <v>13</v>
      </c>
      <c r="B205" s="114"/>
      <c r="C205" s="1553" t="s">
        <v>73</v>
      </c>
      <c r="D205" s="1553"/>
      <c r="E205" s="1553"/>
      <c r="F205" s="1553"/>
      <c r="G205" s="1553"/>
      <c r="H205" s="495">
        <f>H204+H174+H147+H58</f>
        <v>59035.900000000009</v>
      </c>
      <c r="I205" s="505">
        <f>I204+I174+I147+I58</f>
        <v>56670.3</v>
      </c>
      <c r="J205" s="489">
        <f>J204+J174+J147+J58</f>
        <v>58095.100000000006</v>
      </c>
      <c r="K205" s="1539"/>
      <c r="L205" s="1540"/>
      <c r="M205" s="1540"/>
      <c r="N205" s="1541"/>
    </row>
    <row r="206" spans="1:14" s="2" customFormat="1" ht="16.5" customHeight="1" thickBot="1" x14ac:dyDescent="0.35">
      <c r="A206" s="115" t="s">
        <v>74</v>
      </c>
      <c r="B206" s="1559" t="s">
        <v>75</v>
      </c>
      <c r="C206" s="1560"/>
      <c r="D206" s="1560"/>
      <c r="E206" s="1560"/>
      <c r="F206" s="1560"/>
      <c r="G206" s="1560"/>
      <c r="H206" s="496">
        <f t="shared" ref="H206:J206" si="18">H205</f>
        <v>59035.900000000009</v>
      </c>
      <c r="I206" s="506">
        <f t="shared" si="18"/>
        <v>56670.3</v>
      </c>
      <c r="J206" s="490">
        <f t="shared" si="18"/>
        <v>58095.100000000006</v>
      </c>
      <c r="K206" s="1621"/>
      <c r="L206" s="1622"/>
      <c r="M206" s="1622"/>
      <c r="N206" s="1623"/>
    </row>
    <row r="207" spans="1:14" s="25" customFormat="1" ht="21.75" customHeight="1" thickBot="1" x14ac:dyDescent="0.3">
      <c r="A207" s="1630" t="s">
        <v>76</v>
      </c>
      <c r="B207" s="1630"/>
      <c r="C207" s="1630"/>
      <c r="D207" s="1630"/>
      <c r="E207" s="1630"/>
      <c r="F207" s="1630"/>
      <c r="G207" s="1630"/>
      <c r="H207" s="1630"/>
      <c r="I207" s="1630"/>
      <c r="J207" s="1630"/>
      <c r="K207" s="31"/>
      <c r="L207" s="58"/>
      <c r="M207" s="58"/>
      <c r="N207" s="58"/>
    </row>
    <row r="208" spans="1:14" s="18" customFormat="1" ht="52.5" customHeight="1" thickBot="1" x14ac:dyDescent="0.35">
      <c r="A208" s="1624" t="s">
        <v>77</v>
      </c>
      <c r="B208" s="1625"/>
      <c r="C208" s="1625"/>
      <c r="D208" s="1625"/>
      <c r="E208" s="1625"/>
      <c r="F208" s="1625"/>
      <c r="G208" s="1626"/>
      <c r="H208" s="1020" t="s">
        <v>256</v>
      </c>
      <c r="I208" s="1022" t="s">
        <v>257</v>
      </c>
      <c r="J208" s="1021" t="s">
        <v>258</v>
      </c>
      <c r="K208" s="303"/>
      <c r="L208" s="303"/>
      <c r="M208" s="303"/>
      <c r="N208" s="303"/>
    </row>
    <row r="209" spans="1:14" s="2" customFormat="1" ht="15.75" customHeight="1" x14ac:dyDescent="0.3">
      <c r="A209" s="1627" t="s">
        <v>78</v>
      </c>
      <c r="B209" s="1628"/>
      <c r="C209" s="1628"/>
      <c r="D209" s="1628"/>
      <c r="E209" s="1628"/>
      <c r="F209" s="1628"/>
      <c r="G209" s="1629"/>
      <c r="H209" s="886">
        <f>+H210+H218+H219+H220+H221+H222</f>
        <v>23644.799999999999</v>
      </c>
      <c r="I209" s="902">
        <f>+I210+I218+I219+I220+I221+I222</f>
        <v>21261.4</v>
      </c>
      <c r="J209" s="894">
        <f>+J210+J218+J219+J220+J221+J222</f>
        <v>22800.399999999998</v>
      </c>
      <c r="K209" s="299"/>
      <c r="L209" s="299"/>
      <c r="M209" s="299"/>
      <c r="N209" s="299"/>
    </row>
    <row r="210" spans="1:14" s="2" customFormat="1" ht="15.75" customHeight="1" x14ac:dyDescent="0.3">
      <c r="A210" s="1567" t="s">
        <v>196</v>
      </c>
      <c r="B210" s="1568"/>
      <c r="C210" s="1568"/>
      <c r="D210" s="1568"/>
      <c r="E210" s="1568"/>
      <c r="F210" s="1568"/>
      <c r="G210" s="1568"/>
      <c r="H210" s="887">
        <f>SUM(H211:H217)</f>
        <v>21911.8</v>
      </c>
      <c r="I210" s="903">
        <f>SUM(I211:I217)</f>
        <v>21261.4</v>
      </c>
      <c r="J210" s="895">
        <f>SUM(J211:J217)</f>
        <v>22800.399999999998</v>
      </c>
      <c r="K210" s="299"/>
      <c r="L210" s="299"/>
      <c r="M210" s="299"/>
      <c r="N210" s="299"/>
    </row>
    <row r="211" spans="1:14" s="2" customFormat="1" ht="15.75" customHeight="1" x14ac:dyDescent="0.3">
      <c r="A211" s="1528" t="s">
        <v>79</v>
      </c>
      <c r="B211" s="1617"/>
      <c r="C211" s="1617"/>
      <c r="D211" s="1617"/>
      <c r="E211" s="1617"/>
      <c r="F211" s="1617"/>
      <c r="G211" s="1618"/>
      <c r="H211" s="855">
        <f>SUMIF(G14:G202,"sb",H14:H202)</f>
        <v>3984.8</v>
      </c>
      <c r="I211" s="507">
        <f>SUMIF(G14:G202,"sb",I14:I202)</f>
        <v>5181.3999999999987</v>
      </c>
      <c r="J211" s="857">
        <f>SUMIF(G14:G202,"sb",J14:J202)</f>
        <v>6199.4</v>
      </c>
      <c r="K211" s="302"/>
      <c r="L211" s="302"/>
      <c r="M211" s="302"/>
      <c r="N211" s="302"/>
    </row>
    <row r="212" spans="1:14" s="2" customFormat="1" ht="28.2" customHeight="1" x14ac:dyDescent="0.3">
      <c r="A212" s="1370" t="s">
        <v>288</v>
      </c>
      <c r="B212" s="1632"/>
      <c r="C212" s="1632"/>
      <c r="D212" s="1632"/>
      <c r="E212" s="1632"/>
      <c r="F212" s="1632"/>
      <c r="G212" s="1633"/>
      <c r="H212" s="370">
        <f>SUMIF(G14:G202,"sb(S)",H14:H202)</f>
        <v>6895.2000000000007</v>
      </c>
      <c r="I212" s="449">
        <f>SUMIF(G14:G202,"sb(S)",I14:I202)</f>
        <v>6927.3000000000011</v>
      </c>
      <c r="J212" s="426">
        <f>SUMIF(G14:G202,"sb(S)",J14:J202)</f>
        <v>6948.4000000000005</v>
      </c>
      <c r="K212" s="302"/>
      <c r="L212" s="302"/>
      <c r="M212" s="302"/>
      <c r="N212" s="302"/>
    </row>
    <row r="213" spans="1:14" s="2" customFormat="1" ht="28.2" customHeight="1" x14ac:dyDescent="0.3">
      <c r="A213" s="1619" t="s">
        <v>176</v>
      </c>
      <c r="B213" s="1620"/>
      <c r="C213" s="1620"/>
      <c r="D213" s="1620"/>
      <c r="E213" s="1620"/>
      <c r="F213" s="1620"/>
      <c r="G213" s="1620"/>
      <c r="H213" s="733">
        <f>SUMIF(G14:G202,"sb(f)",H14:H202)</f>
        <v>250</v>
      </c>
      <c r="I213" s="734">
        <f>SUMIF(G14:G202,"sb(f)",I14:I202)</f>
        <v>84.6</v>
      </c>
      <c r="J213" s="732">
        <f>SUMIF(G14:G202,"sb(f)",J14:J202)</f>
        <v>948.3</v>
      </c>
      <c r="K213" s="302"/>
      <c r="L213" s="302"/>
      <c r="M213" s="302"/>
      <c r="N213" s="302"/>
    </row>
    <row r="214" spans="1:14" s="2" customFormat="1" ht="28.2" customHeight="1" x14ac:dyDescent="0.3">
      <c r="A214" s="1619" t="s">
        <v>162</v>
      </c>
      <c r="B214" s="1620"/>
      <c r="C214" s="1620"/>
      <c r="D214" s="1620"/>
      <c r="E214" s="1620"/>
      <c r="F214" s="1620"/>
      <c r="G214" s="1620"/>
      <c r="H214" s="733">
        <f>SUMIF(G14:G202,"sb(es)",H14:H202)</f>
        <v>1391.8000000000002</v>
      </c>
      <c r="I214" s="734">
        <f>SUMIF(G14:G202,"sb(es)",I14:I202)</f>
        <v>377.29999999999995</v>
      </c>
      <c r="J214" s="732">
        <f>SUMIF(G14:G202,"sb(es)",J14:J202)</f>
        <v>0</v>
      </c>
      <c r="K214" s="302"/>
      <c r="L214" s="301"/>
      <c r="M214" s="301"/>
      <c r="N214" s="301"/>
    </row>
    <row r="215" spans="1:14" s="2" customFormat="1" ht="29.4" customHeight="1" x14ac:dyDescent="0.3">
      <c r="A215" s="1619" t="s">
        <v>155</v>
      </c>
      <c r="B215" s="1620"/>
      <c r="C215" s="1620"/>
      <c r="D215" s="1620"/>
      <c r="E215" s="1620"/>
      <c r="F215" s="1620"/>
      <c r="G215" s="1620"/>
      <c r="H215" s="733">
        <f>SUMIF(G16:G202,"SB(esa)",H16:H202)</f>
        <v>6.5</v>
      </c>
      <c r="I215" s="734">
        <f>SUMIF(G14:G202,"SB(esa)",I14:I202)</f>
        <v>0</v>
      </c>
      <c r="J215" s="732">
        <f>SUMIF(G14:G202,"SB(esa)",J14:J202)</f>
        <v>0</v>
      </c>
      <c r="K215" s="301"/>
      <c r="L215" s="301"/>
      <c r="M215" s="301"/>
      <c r="N215" s="301"/>
    </row>
    <row r="216" spans="1:14" s="2" customFormat="1" ht="15.75" customHeight="1" x14ac:dyDescent="0.3">
      <c r="A216" s="1648" t="s">
        <v>80</v>
      </c>
      <c r="B216" s="1649"/>
      <c r="C216" s="1649"/>
      <c r="D216" s="1649"/>
      <c r="E216" s="1649"/>
      <c r="F216" s="1649"/>
      <c r="G216" s="1650"/>
      <c r="H216" s="735">
        <f>SUMIF(G14:G202,"sb(sp)",H14:H202)</f>
        <v>1737.3</v>
      </c>
      <c r="I216" s="736">
        <f>SUMIF(G14:G202,"sb(sp)",I14:I202)</f>
        <v>1689.6</v>
      </c>
      <c r="J216" s="737">
        <f>SUMIF(G15:G202,"sb(sp)",J15:J202)</f>
        <v>1709.6</v>
      </c>
      <c r="K216" s="302"/>
      <c r="L216" s="301"/>
      <c r="M216" s="301"/>
      <c r="N216" s="301"/>
    </row>
    <row r="217" spans="1:14" s="2" customFormat="1" ht="27.6" customHeight="1" x14ac:dyDescent="0.3">
      <c r="A217" s="1648" t="s">
        <v>81</v>
      </c>
      <c r="B217" s="1649"/>
      <c r="C217" s="1649"/>
      <c r="D217" s="1649"/>
      <c r="E217" s="1649"/>
      <c r="F217" s="1649"/>
      <c r="G217" s="1650"/>
      <c r="H217" s="733">
        <f>SUMIF(G14:G202,"sb(vb)",H14:H202)</f>
        <v>7646.2</v>
      </c>
      <c r="I217" s="734">
        <f>SUMIF(G14:G202,"sb(vb)",I14:I202)</f>
        <v>7001.2</v>
      </c>
      <c r="J217" s="732">
        <f>SUMIF(G14:G202,"sb(vb)",J14:J202)</f>
        <v>6994.7</v>
      </c>
      <c r="K217" s="302"/>
      <c r="L217" s="301"/>
      <c r="M217" s="301"/>
      <c r="N217" s="301"/>
    </row>
    <row r="218" spans="1:14" s="2" customFormat="1" ht="15.75" customHeight="1" x14ac:dyDescent="0.3">
      <c r="A218" s="1637" t="s">
        <v>125</v>
      </c>
      <c r="B218" s="1638"/>
      <c r="C218" s="1638"/>
      <c r="D218" s="1638"/>
      <c r="E218" s="1638"/>
      <c r="F218" s="1638"/>
      <c r="G218" s="1639"/>
      <c r="H218" s="888">
        <f>SUMIF(G14:G202,"sb(l)",H14:H202)</f>
        <v>857.5</v>
      </c>
      <c r="I218" s="904">
        <f>SUMIF(G15:G202,"sb(l)",I15:I202)</f>
        <v>0</v>
      </c>
      <c r="J218" s="896">
        <f>SUMIF(G15:G202,"sb(l)",J15:J202)</f>
        <v>0</v>
      </c>
      <c r="K218" s="302"/>
      <c r="L218" s="302"/>
      <c r="M218" s="302"/>
      <c r="N218" s="302"/>
    </row>
    <row r="219" spans="1:14" s="2" customFormat="1" ht="15.75" customHeight="1" x14ac:dyDescent="0.3">
      <c r="A219" s="1640" t="s">
        <v>232</v>
      </c>
      <c r="B219" s="1641"/>
      <c r="C219" s="1641"/>
      <c r="D219" s="1641"/>
      <c r="E219" s="1641"/>
      <c r="F219" s="1641"/>
      <c r="G219" s="1641"/>
      <c r="H219" s="888">
        <f>SUMIF(G14:G202,"sb(spl)",H14:H202)</f>
        <v>388.8</v>
      </c>
      <c r="I219" s="904">
        <f>SUMIF(G15:G202,"sb(spl)",I15:I202)</f>
        <v>0</v>
      </c>
      <c r="J219" s="896">
        <f>SUMIF(G15:G202,"sb(spl)",J15:J202)</f>
        <v>0</v>
      </c>
      <c r="K219" s="302"/>
      <c r="L219" s="302"/>
      <c r="M219" s="302"/>
      <c r="N219" s="302"/>
    </row>
    <row r="220" spans="1:14" s="2" customFormat="1" ht="15.75" customHeight="1" x14ac:dyDescent="0.3">
      <c r="A220" s="1637" t="s">
        <v>194</v>
      </c>
      <c r="B220" s="1638"/>
      <c r="C220" s="1638"/>
      <c r="D220" s="1638"/>
      <c r="E220" s="1638"/>
      <c r="F220" s="1638"/>
      <c r="G220" s="1639"/>
      <c r="H220" s="888">
        <f>SUMIF(G14:G202,"sb(vbl)",H14:H202)</f>
        <v>0.5</v>
      </c>
      <c r="I220" s="904">
        <f>SUMIF(G15:G202,"sb(vbl)",I15:I202)</f>
        <v>0</v>
      </c>
      <c r="J220" s="896">
        <f>SUMIF(G15:G202,"sb(vbl)",J15:J202)</f>
        <v>0</v>
      </c>
      <c r="K220" s="301"/>
      <c r="L220" s="301"/>
      <c r="M220" s="301"/>
      <c r="N220" s="301"/>
    </row>
    <row r="221" spans="1:14" s="2" customFormat="1" ht="26.4" customHeight="1" x14ac:dyDescent="0.3">
      <c r="A221" s="1640" t="s">
        <v>186</v>
      </c>
      <c r="B221" s="1641"/>
      <c r="C221" s="1641"/>
      <c r="D221" s="1641"/>
      <c r="E221" s="1641"/>
      <c r="F221" s="1641"/>
      <c r="G221" s="1641"/>
      <c r="H221" s="888">
        <f>SUMIF(G14:G202,"sb(fl)",H14:H202)</f>
        <v>27</v>
      </c>
      <c r="I221" s="904">
        <f>SUMIF(G15:G202,"sb(fl)",I15:I202)</f>
        <v>0</v>
      </c>
      <c r="J221" s="896">
        <f>SUMIF(G15:G202,"sb(fl)",J15:J202)</f>
        <v>0</v>
      </c>
      <c r="K221" s="302"/>
      <c r="L221" s="302"/>
      <c r="M221" s="302"/>
      <c r="N221" s="302"/>
    </row>
    <row r="222" spans="1:14" s="2" customFormat="1" ht="29.4" customHeight="1" thickBot="1" x14ac:dyDescent="0.35">
      <c r="A222" s="1642" t="s">
        <v>195</v>
      </c>
      <c r="B222" s="1643"/>
      <c r="C222" s="1643"/>
      <c r="D222" s="1643"/>
      <c r="E222" s="1643"/>
      <c r="F222" s="1643"/>
      <c r="G222" s="1644"/>
      <c r="H222" s="889">
        <f>SUMIF(G14:G202,"sb(esl)",H14:H202)</f>
        <v>459.2</v>
      </c>
      <c r="I222" s="905">
        <f>SUMIF(G15:G202,"sb(esl)",I15:I202)</f>
        <v>0</v>
      </c>
      <c r="J222" s="897">
        <f>SUMIF(G15:G202,"sb(esl)",J15:J202)</f>
        <v>0</v>
      </c>
      <c r="K222" s="301"/>
      <c r="L222" s="301"/>
      <c r="M222" s="301"/>
      <c r="N222" s="301"/>
    </row>
    <row r="223" spans="1:14" s="2" customFormat="1" ht="15.75" customHeight="1" thickBot="1" x14ac:dyDescent="0.35">
      <c r="A223" s="1645" t="s">
        <v>82</v>
      </c>
      <c r="B223" s="1646"/>
      <c r="C223" s="1646"/>
      <c r="D223" s="1646"/>
      <c r="E223" s="1646"/>
      <c r="F223" s="1646"/>
      <c r="G223" s="1647"/>
      <c r="H223" s="890">
        <f>SUM(H224:H226)</f>
        <v>35391.1</v>
      </c>
      <c r="I223" s="906">
        <f t="shared" ref="I223:J223" si="19">SUM(I224:I226)</f>
        <v>35408.899999999994</v>
      </c>
      <c r="J223" s="898">
        <f t="shared" si="19"/>
        <v>35294.699999999997</v>
      </c>
      <c r="K223" s="301"/>
      <c r="L223" s="301"/>
      <c r="M223" s="301"/>
      <c r="N223" s="301"/>
    </row>
    <row r="224" spans="1:14" s="2" customFormat="1" ht="15.75" customHeight="1" x14ac:dyDescent="0.3">
      <c r="A224" s="1648" t="s">
        <v>110</v>
      </c>
      <c r="B224" s="1649"/>
      <c r="C224" s="1649"/>
      <c r="D224" s="1649"/>
      <c r="E224" s="1649"/>
      <c r="F224" s="1649"/>
      <c r="G224" s="1650"/>
      <c r="H224" s="891">
        <f>SUMIF(G14:G202,"es",H14:H202)</f>
        <v>53.1</v>
      </c>
      <c r="I224" s="907">
        <f>SUMIF(G14:G202,"es",I14:I202)</f>
        <v>66.2</v>
      </c>
      <c r="J224" s="899">
        <f>SUMIF(G14:G202,"es",J14:J202)</f>
        <v>0</v>
      </c>
      <c r="K224" s="48"/>
      <c r="L224" s="299"/>
      <c r="M224" s="299"/>
      <c r="N224" s="299"/>
    </row>
    <row r="225" spans="1:14" s="2" customFormat="1" ht="15.75" customHeight="1" x14ac:dyDescent="0.3">
      <c r="A225" s="1634" t="s">
        <v>83</v>
      </c>
      <c r="B225" s="1635"/>
      <c r="C225" s="1635"/>
      <c r="D225" s="1635"/>
      <c r="E225" s="1635"/>
      <c r="F225" s="1635"/>
      <c r="G225" s="1636"/>
      <c r="H225" s="735">
        <f>SUMIF(G14:G202,"lrvb",H14:H202)</f>
        <v>35332</v>
      </c>
      <c r="I225" s="736">
        <f>SUMIF(G14:G202,"lrvb",I14:I202)</f>
        <v>35336.699999999997</v>
      </c>
      <c r="J225" s="737">
        <f>SUMIF(G14:G202,"lrvb",J14:J202)</f>
        <v>35287.699999999997</v>
      </c>
      <c r="K225" s="32"/>
      <c r="L225" s="301"/>
      <c r="M225" s="301"/>
      <c r="N225" s="301"/>
    </row>
    <row r="226" spans="1:14" s="2" customFormat="1" ht="15.75" customHeight="1" thickBot="1" x14ac:dyDescent="0.35">
      <c r="A226" s="1611" t="s">
        <v>227</v>
      </c>
      <c r="B226" s="1612"/>
      <c r="C226" s="1612"/>
      <c r="D226" s="1612"/>
      <c r="E226" s="1612"/>
      <c r="F226" s="1612"/>
      <c r="G226" s="1613"/>
      <c r="H226" s="892">
        <f>SUMIF(G14:G202,"kt",H14:H202)</f>
        <v>6</v>
      </c>
      <c r="I226" s="908">
        <f>SUMIF(G14:G202,"kt",I14:I202)</f>
        <v>6</v>
      </c>
      <c r="J226" s="900">
        <f>SUMIF(G14:G202,"kt",J14:J202)</f>
        <v>7</v>
      </c>
      <c r="K226" s="32"/>
      <c r="L226" s="301"/>
      <c r="M226" s="301"/>
      <c r="N226" s="301"/>
    </row>
    <row r="227" spans="1:14" s="2" customFormat="1" ht="15.75" customHeight="1" thickBot="1" x14ac:dyDescent="0.35">
      <c r="A227" s="1614" t="s">
        <v>84</v>
      </c>
      <c r="B227" s="1615"/>
      <c r="C227" s="1615"/>
      <c r="D227" s="1615"/>
      <c r="E227" s="1615"/>
      <c r="F227" s="1615"/>
      <c r="G227" s="1616"/>
      <c r="H227" s="893">
        <f>H209+H223</f>
        <v>59035.899999999994</v>
      </c>
      <c r="I227" s="909">
        <f>I209+I223</f>
        <v>56670.299999999996</v>
      </c>
      <c r="J227" s="901">
        <f>J209+J223</f>
        <v>58095.099999999991</v>
      </c>
      <c r="K227" s="47"/>
      <c r="L227" s="299"/>
      <c r="M227" s="299"/>
      <c r="N227" s="299"/>
    </row>
    <row r="228" spans="1:14" x14ac:dyDescent="0.3">
      <c r="F228" s="1609" t="s">
        <v>164</v>
      </c>
      <c r="G228" s="1610"/>
      <c r="H228" s="1610"/>
      <c r="I228" s="1610"/>
      <c r="J228" s="1610"/>
    </row>
    <row r="229" spans="1:14" x14ac:dyDescent="0.3">
      <c r="H229" s="1338">
        <f>+H206-H227</f>
        <v>0</v>
      </c>
      <c r="I229" s="1338">
        <f>+I206-I227</f>
        <v>0</v>
      </c>
      <c r="J229" s="1338">
        <f>+J206-J227</f>
        <v>0</v>
      </c>
      <c r="K229" s="276"/>
    </row>
    <row r="230" spans="1:14" x14ac:dyDescent="0.3">
      <c r="H230" s="346"/>
      <c r="I230" s="346"/>
      <c r="J230" s="346"/>
      <c r="K230" s="276"/>
    </row>
    <row r="231" spans="1:14" x14ac:dyDescent="0.3">
      <c r="G231" s="277"/>
      <c r="H231" s="106"/>
      <c r="I231" s="106"/>
      <c r="J231" s="106"/>
      <c r="K231" s="300"/>
    </row>
    <row r="232" spans="1:14" x14ac:dyDescent="0.3">
      <c r="H232" s="346"/>
      <c r="I232" s="346"/>
      <c r="J232" s="346"/>
      <c r="K232" s="276"/>
    </row>
    <row r="233" spans="1:14" x14ac:dyDescent="0.3">
      <c r="H233" s="346"/>
      <c r="I233" s="346"/>
      <c r="J233" s="346"/>
      <c r="K233" s="276" t="s">
        <v>225</v>
      </c>
    </row>
    <row r="235" spans="1:14" x14ac:dyDescent="0.3">
      <c r="H235" s="347"/>
      <c r="I235" s="347"/>
      <c r="J235" s="347"/>
    </row>
  </sheetData>
  <mergeCells count="199">
    <mergeCell ref="D104:G104"/>
    <mergeCell ref="A3:N3"/>
    <mergeCell ref="A4:N4"/>
    <mergeCell ref="A5:N5"/>
    <mergeCell ref="A6:N6"/>
    <mergeCell ref="A7:A9"/>
    <mergeCell ref="B7:B9"/>
    <mergeCell ref="C7:C9"/>
    <mergeCell ref="D7:D9"/>
    <mergeCell ref="A11:N11"/>
    <mergeCell ref="B12:N12"/>
    <mergeCell ref="C13:N13"/>
    <mergeCell ref="D14:D20"/>
    <mergeCell ref="I7:I9"/>
    <mergeCell ref="J7:J9"/>
    <mergeCell ref="K7:N7"/>
    <mergeCell ref="K8:K9"/>
    <mergeCell ref="L8:N8"/>
    <mergeCell ref="A10:N10"/>
    <mergeCell ref="H7:H9"/>
    <mergeCell ref="E7:E9"/>
    <mergeCell ref="F7:F9"/>
    <mergeCell ref="G7:G9"/>
    <mergeCell ref="K14:K15"/>
    <mergeCell ref="K16:K17"/>
    <mergeCell ref="K18:K20"/>
    <mergeCell ref="K36:K38"/>
    <mergeCell ref="D32:D33"/>
    <mergeCell ref="E32:E33"/>
    <mergeCell ref="K32:K33"/>
    <mergeCell ref="A34:A35"/>
    <mergeCell ref="B34:B35"/>
    <mergeCell ref="D34:D35"/>
    <mergeCell ref="E34:E35"/>
    <mergeCell ref="D21:D23"/>
    <mergeCell ref="E24:E30"/>
    <mergeCell ref="K29:K30"/>
    <mergeCell ref="E36:E37"/>
    <mergeCell ref="E38:E39"/>
    <mergeCell ref="D40:D41"/>
    <mergeCell ref="E40:E41"/>
    <mergeCell ref="F40:F41"/>
    <mergeCell ref="E45:G45"/>
    <mergeCell ref="A36:A38"/>
    <mergeCell ref="B36:B38"/>
    <mergeCell ref="D36:D39"/>
    <mergeCell ref="F36:F39"/>
    <mergeCell ref="D44:D45"/>
    <mergeCell ref="D48:D49"/>
    <mergeCell ref="K48:K49"/>
    <mergeCell ref="A50:A52"/>
    <mergeCell ref="B50:B52"/>
    <mergeCell ref="C50:C52"/>
    <mergeCell ref="D50:D52"/>
    <mergeCell ref="K50:K52"/>
    <mergeCell ref="A46:A47"/>
    <mergeCell ref="B46:B47"/>
    <mergeCell ref="C46:C47"/>
    <mergeCell ref="D46:D47"/>
    <mergeCell ref="E46:E47"/>
    <mergeCell ref="F46:F47"/>
    <mergeCell ref="L54:L55"/>
    <mergeCell ref="M54:M55"/>
    <mergeCell ref="N54:N55"/>
    <mergeCell ref="A56:A57"/>
    <mergeCell ref="B56:B57"/>
    <mergeCell ref="C56:C57"/>
    <mergeCell ref="D56:D57"/>
    <mergeCell ref="K56:K57"/>
    <mergeCell ref="A53:A55"/>
    <mergeCell ref="B53:B55"/>
    <mergeCell ref="C53:C55"/>
    <mergeCell ref="D53:D55"/>
    <mergeCell ref="K54:K55"/>
    <mergeCell ref="A91:A93"/>
    <mergeCell ref="B91:B93"/>
    <mergeCell ref="C91:C93"/>
    <mergeCell ref="D91:D93"/>
    <mergeCell ref="E91:E93"/>
    <mergeCell ref="C58:G58"/>
    <mergeCell ref="K58:N58"/>
    <mergeCell ref="C59:N59"/>
    <mergeCell ref="D60:D69"/>
    <mergeCell ref="E60:E71"/>
    <mergeCell ref="D70:D71"/>
    <mergeCell ref="D72:D73"/>
    <mergeCell ref="K72:K73"/>
    <mergeCell ref="F91:F93"/>
    <mergeCell ref="D96:D98"/>
    <mergeCell ref="K97:K98"/>
    <mergeCell ref="D99:D101"/>
    <mergeCell ref="K100:K101"/>
    <mergeCell ref="D102:D103"/>
    <mergeCell ref="K74:K75"/>
    <mergeCell ref="E76:E77"/>
    <mergeCell ref="D81:D82"/>
    <mergeCell ref="K81:K82"/>
    <mergeCell ref="D85:D87"/>
    <mergeCell ref="D108:D109"/>
    <mergeCell ref="D111:D112"/>
    <mergeCell ref="D113:D114"/>
    <mergeCell ref="D115:D116"/>
    <mergeCell ref="K115:K116"/>
    <mergeCell ref="D119:D120"/>
    <mergeCell ref="K119:K120"/>
    <mergeCell ref="A105:A107"/>
    <mergeCell ref="B105:B107"/>
    <mergeCell ref="C105:C107"/>
    <mergeCell ref="D105:D107"/>
    <mergeCell ref="E105:E107"/>
    <mergeCell ref="F105:F107"/>
    <mergeCell ref="K105:K107"/>
    <mergeCell ref="E111:E112"/>
    <mergeCell ref="E115:E116"/>
    <mergeCell ref="K129:K130"/>
    <mergeCell ref="D136:D137"/>
    <mergeCell ref="F136:F137"/>
    <mergeCell ref="K136:K137"/>
    <mergeCell ref="D121:D123"/>
    <mergeCell ref="K124:K125"/>
    <mergeCell ref="A126:A127"/>
    <mergeCell ref="B126:B127"/>
    <mergeCell ref="E126:E128"/>
    <mergeCell ref="K126:K127"/>
    <mergeCell ref="K143:K144"/>
    <mergeCell ref="A143:A146"/>
    <mergeCell ref="B143:B146"/>
    <mergeCell ref="C143:C146"/>
    <mergeCell ref="D143:D146"/>
    <mergeCell ref="E143:E146"/>
    <mergeCell ref="F143:F146"/>
    <mergeCell ref="A138:A142"/>
    <mergeCell ref="B138:B142"/>
    <mergeCell ref="C138:C142"/>
    <mergeCell ref="D138:D142"/>
    <mergeCell ref="E138:E142"/>
    <mergeCell ref="F138:F142"/>
    <mergeCell ref="D171:D172"/>
    <mergeCell ref="D162:D163"/>
    <mergeCell ref="D165:D166"/>
    <mergeCell ref="D168:D170"/>
    <mergeCell ref="C147:G147"/>
    <mergeCell ref="K147:N147"/>
    <mergeCell ref="D155:D158"/>
    <mergeCell ref="D159:D161"/>
    <mergeCell ref="C148:N148"/>
    <mergeCell ref="D182:D185"/>
    <mergeCell ref="K183:K185"/>
    <mergeCell ref="D173:G173"/>
    <mergeCell ref="K173:N173"/>
    <mergeCell ref="C174:G174"/>
    <mergeCell ref="K174:N174"/>
    <mergeCell ref="C175:N175"/>
    <mergeCell ref="D179:D181"/>
    <mergeCell ref="K206:N206"/>
    <mergeCell ref="K191:K192"/>
    <mergeCell ref="D193:D194"/>
    <mergeCell ref="K193:K194"/>
    <mergeCell ref="D195:D196"/>
    <mergeCell ref="K195:K196"/>
    <mergeCell ref="D198:D200"/>
    <mergeCell ref="K198:K200"/>
    <mergeCell ref="D186:D188"/>
    <mergeCell ref="E186:E189"/>
    <mergeCell ref="D189:D190"/>
    <mergeCell ref="D191:D192"/>
    <mergeCell ref="A226:G226"/>
    <mergeCell ref="A227:G227"/>
    <mergeCell ref="F228:J228"/>
    <mergeCell ref="A217:G217"/>
    <mergeCell ref="A218:G218"/>
    <mergeCell ref="A219:G219"/>
    <mergeCell ref="A220:G220"/>
    <mergeCell ref="A221:G221"/>
    <mergeCell ref="A222:G222"/>
    <mergeCell ref="K1:N1"/>
    <mergeCell ref="D126:D128"/>
    <mergeCell ref="K131:K132"/>
    <mergeCell ref="K134:K135"/>
    <mergeCell ref="D149:D153"/>
    <mergeCell ref="A223:G223"/>
    <mergeCell ref="A224:G224"/>
    <mergeCell ref="A225:G225"/>
    <mergeCell ref="A212:G212"/>
    <mergeCell ref="A213:G213"/>
    <mergeCell ref="A214:G214"/>
    <mergeCell ref="A215:G215"/>
    <mergeCell ref="A216:G216"/>
    <mergeCell ref="A207:J207"/>
    <mergeCell ref="A208:G208"/>
    <mergeCell ref="A209:G209"/>
    <mergeCell ref="A210:G210"/>
    <mergeCell ref="A211:G211"/>
    <mergeCell ref="D202:D203"/>
    <mergeCell ref="C204:G204"/>
    <mergeCell ref="K204:N204"/>
    <mergeCell ref="C205:G205"/>
    <mergeCell ref="K205:N205"/>
    <mergeCell ref="B206:G206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7" orientation="portrait" r:id="rId1"/>
  <rowBreaks count="1" manualBreakCount="1">
    <brk id="206" max="1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Aiškinamoji lentelė</vt:lpstr>
      <vt:lpstr>12 programa</vt:lpstr>
      <vt:lpstr>'12 programa'!Print_Area</vt:lpstr>
      <vt:lpstr>'Aiškinamoji lentelė'!Print_Area</vt:lpstr>
      <vt:lpstr>'12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2021-02-02T07:05:37Z</cp:lastPrinted>
  <dcterms:created xsi:type="dcterms:W3CDTF">2015-11-25T08:56:30Z</dcterms:created>
  <dcterms:modified xsi:type="dcterms:W3CDTF">2021-02-23T09:12:42Z</dcterms:modified>
</cp:coreProperties>
</file>