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zeikaite\Desktop\T1-209\"/>
    </mc:Choice>
  </mc:AlternateContent>
  <bookViews>
    <workbookView xWindow="390" yWindow="-225" windowWidth="19440" windowHeight="10740" activeTab="2"/>
  </bookViews>
  <sheets>
    <sheet name="1 pr. pajamos " sheetId="11" r:id="rId1"/>
    <sheet name="1 pr. asignavimai" sheetId="10" r:id="rId2"/>
    <sheet name="2 pr." sheetId="12" r:id="rId3"/>
    <sheet name="3 pr." sheetId="13" r:id="rId4"/>
    <sheet name="5 pr. " sheetId="15" r:id="rId5"/>
  </sheets>
  <definedNames>
    <definedName name="_xlnm._FilterDatabase" localSheetId="1" hidden="1">'1 pr. asignavimai'!$B$2:$B$110</definedName>
    <definedName name="_xlnm._FilterDatabase" localSheetId="3" hidden="1">'3 pr.'!$B$1:$B$78</definedName>
    <definedName name="_xlnm.Print_Titles" localSheetId="1">'1 pr. asignavimai'!$2:$6</definedName>
    <definedName name="_xlnm.Print_Titles" localSheetId="0">'1 pr. pajamos '!$8:$9</definedName>
    <definedName name="_xlnm.Print_Titles" localSheetId="3">'3 pr.'!$5:$9</definedName>
    <definedName name="_xlnm.Print_Titles" localSheetId="4">'5 pr. '!$6:$8</definedName>
  </definedNames>
  <calcPr calcId="162913" fullPrecision="0"/>
</workbook>
</file>

<file path=xl/calcChain.xml><?xml version="1.0" encoding="utf-8"?>
<calcChain xmlns="http://schemas.openxmlformats.org/spreadsheetml/2006/main">
  <c r="E123" i="10" l="1"/>
  <c r="L112" i="10" l="1"/>
  <c r="L117" i="10"/>
  <c r="L74" i="10"/>
  <c r="L80" i="10"/>
  <c r="H21" i="10" l="1"/>
  <c r="H42" i="10"/>
  <c r="H107" i="10"/>
  <c r="H106" i="10"/>
  <c r="F131" i="10" l="1"/>
  <c r="L67" i="10"/>
  <c r="J67" i="10"/>
  <c r="I67" i="10"/>
  <c r="G50" i="13" l="1"/>
  <c r="L55" i="13"/>
  <c r="J55" i="13"/>
  <c r="I55" i="13"/>
  <c r="L46" i="13"/>
  <c r="J46" i="13"/>
  <c r="I46" i="13"/>
  <c r="H46" i="13"/>
  <c r="L44" i="13"/>
  <c r="K44" i="13"/>
  <c r="J44" i="13"/>
  <c r="I44" i="13"/>
  <c r="H44" i="13"/>
  <c r="G44" i="13"/>
  <c r="L40" i="13"/>
  <c r="J40" i="13"/>
  <c r="I40" i="13"/>
  <c r="H40" i="13"/>
  <c r="G40" i="13"/>
  <c r="L38" i="13"/>
  <c r="K38" i="13"/>
  <c r="J38" i="13"/>
  <c r="I38" i="13"/>
  <c r="H38" i="13"/>
  <c r="G38" i="13"/>
  <c r="L36" i="13"/>
  <c r="K36" i="13"/>
  <c r="J36" i="13"/>
  <c r="I36" i="13"/>
  <c r="H36" i="13"/>
  <c r="G36" i="13"/>
  <c r="L33" i="13"/>
  <c r="K33" i="13"/>
  <c r="J33" i="13"/>
  <c r="I33" i="13"/>
  <c r="L28" i="13"/>
  <c r="K28" i="13"/>
  <c r="J28" i="13"/>
  <c r="I28" i="13"/>
  <c r="H28" i="13"/>
  <c r="G28" i="13"/>
  <c r="L12" i="13"/>
  <c r="L10" i="13" s="1"/>
  <c r="J12" i="13"/>
  <c r="J10" i="13" s="1"/>
  <c r="K73" i="13" l="1"/>
  <c r="H22" i="13"/>
  <c r="G22" i="13"/>
  <c r="G21" i="13"/>
  <c r="G73" i="13"/>
  <c r="I54" i="13"/>
  <c r="G54" i="13"/>
  <c r="G69" i="13" l="1"/>
  <c r="G18" i="13"/>
  <c r="I18" i="13"/>
  <c r="I12" i="13" s="1"/>
  <c r="I10" i="13" s="1"/>
  <c r="K18" i="13"/>
  <c r="H19" i="13"/>
  <c r="G19" i="13"/>
  <c r="K69" i="13"/>
  <c r="K50" i="13"/>
  <c r="H23" i="13" l="1"/>
  <c r="H12" i="13" s="1"/>
  <c r="H10" i="13" s="1"/>
  <c r="G23" i="13"/>
  <c r="K75" i="13"/>
  <c r="H75" i="13"/>
  <c r="H55" i="13" s="1"/>
  <c r="G75" i="13"/>
  <c r="G66" i="13"/>
  <c r="G16" i="13"/>
  <c r="K16" i="13"/>
  <c r="K12" i="13" s="1"/>
  <c r="K10" i="13" s="1"/>
  <c r="K66" i="13"/>
  <c r="K49" i="13"/>
  <c r="K46" i="13" s="1"/>
  <c r="G49" i="13"/>
  <c r="G46" i="13" s="1"/>
  <c r="G14" i="13"/>
  <c r="H34" i="13"/>
  <c r="H33" i="13" s="1"/>
  <c r="G34" i="13"/>
  <c r="G33" i="13" s="1"/>
  <c r="G62" i="13"/>
  <c r="G20" i="13"/>
  <c r="K71" i="13"/>
  <c r="G72" i="13"/>
  <c r="G71" i="13"/>
  <c r="K52" i="13"/>
  <c r="G15" i="10" l="1"/>
  <c r="K61" i="13"/>
  <c r="G61" i="13"/>
  <c r="L30" i="13" l="1"/>
  <c r="K30" i="13"/>
  <c r="J30" i="13"/>
  <c r="I30" i="13"/>
  <c r="H30" i="13"/>
  <c r="L26" i="13"/>
  <c r="K26" i="13"/>
  <c r="J26" i="13"/>
  <c r="I26" i="13"/>
  <c r="H26" i="13"/>
  <c r="G31" i="13"/>
  <c r="G30" i="13" s="1"/>
  <c r="G27" i="13"/>
  <c r="G26" i="13" s="1"/>
  <c r="G13" i="13"/>
  <c r="G12" i="13" s="1"/>
  <c r="G10" i="13" s="1"/>
  <c r="G59" i="13"/>
  <c r="I24" i="13" l="1"/>
  <c r="I76" i="13" s="1"/>
  <c r="G24" i="13"/>
  <c r="J24" i="13"/>
  <c r="J76" i="13" s="1"/>
  <c r="H24" i="13"/>
  <c r="H76" i="13" s="1"/>
  <c r="L24" i="13"/>
  <c r="L76" i="13" s="1"/>
  <c r="C48" i="13"/>
  <c r="G57" i="13"/>
  <c r="K57" i="13"/>
  <c r="K55" i="13" s="1"/>
  <c r="D41" i="13"/>
  <c r="K41" i="13"/>
  <c r="K40" i="13" s="1"/>
  <c r="K24" i="13" s="1"/>
  <c r="C42" i="13"/>
  <c r="C11" i="13"/>
  <c r="D11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1" i="13"/>
  <c r="D21" i="13"/>
  <c r="C22" i="13"/>
  <c r="D22" i="13"/>
  <c r="C23" i="13"/>
  <c r="D23" i="13"/>
  <c r="C25" i="13"/>
  <c r="D25" i="13"/>
  <c r="C27" i="13"/>
  <c r="C26" i="13" s="1"/>
  <c r="D27" i="13"/>
  <c r="C29" i="13"/>
  <c r="C28" i="13" s="1"/>
  <c r="D29" i="13"/>
  <c r="D28" i="13" s="1"/>
  <c r="C31" i="13"/>
  <c r="C30" i="13" s="1"/>
  <c r="D31" i="13"/>
  <c r="C32" i="13"/>
  <c r="D32" i="13"/>
  <c r="C34" i="13"/>
  <c r="C33" i="13" s="1"/>
  <c r="D34" i="13"/>
  <c r="D33" i="13" s="1"/>
  <c r="C35" i="13"/>
  <c r="D35" i="13"/>
  <c r="C37" i="13"/>
  <c r="C36" i="13" s="1"/>
  <c r="D37" i="13"/>
  <c r="C39" i="13"/>
  <c r="C38" i="13" s="1"/>
  <c r="D39" i="13"/>
  <c r="D38" i="13" s="1"/>
  <c r="C41" i="13"/>
  <c r="D42" i="13"/>
  <c r="F42" i="13" s="1"/>
  <c r="C43" i="13"/>
  <c r="D43" i="13"/>
  <c r="C45" i="13"/>
  <c r="C44" i="13" s="1"/>
  <c r="D45" i="13"/>
  <c r="D44" i="13" s="1"/>
  <c r="C47" i="13"/>
  <c r="D47" i="13"/>
  <c r="D48" i="13"/>
  <c r="C49" i="13"/>
  <c r="D49" i="13"/>
  <c r="C50" i="13"/>
  <c r="D50" i="13"/>
  <c r="C51" i="13"/>
  <c r="D51" i="13"/>
  <c r="C52" i="13"/>
  <c r="D52" i="13"/>
  <c r="C53" i="13"/>
  <c r="D53" i="13"/>
  <c r="C54" i="13"/>
  <c r="D54" i="13"/>
  <c r="C56" i="13"/>
  <c r="D56" i="13"/>
  <c r="C58" i="13"/>
  <c r="D58" i="13"/>
  <c r="C59" i="13"/>
  <c r="D59" i="13"/>
  <c r="C60" i="13"/>
  <c r="D60" i="13"/>
  <c r="C61" i="13"/>
  <c r="D61" i="13"/>
  <c r="C62" i="13"/>
  <c r="D62" i="13"/>
  <c r="C63" i="13"/>
  <c r="D63" i="13"/>
  <c r="C64" i="13"/>
  <c r="D64" i="13"/>
  <c r="C65" i="13"/>
  <c r="D65" i="13"/>
  <c r="C66" i="13"/>
  <c r="D66" i="13"/>
  <c r="C67" i="13"/>
  <c r="D67" i="13"/>
  <c r="C68" i="13"/>
  <c r="D68" i="13"/>
  <c r="C69" i="13"/>
  <c r="D69" i="13"/>
  <c r="C70" i="13"/>
  <c r="C71" i="13"/>
  <c r="D71" i="13"/>
  <c r="C72" i="13"/>
  <c r="D72" i="13"/>
  <c r="C73" i="13"/>
  <c r="D73" i="13"/>
  <c r="C74" i="13"/>
  <c r="D74" i="13"/>
  <c r="C75" i="13"/>
  <c r="D75" i="13"/>
  <c r="F59" i="13" l="1"/>
  <c r="F56" i="13"/>
  <c r="F15" i="13"/>
  <c r="C40" i="13"/>
  <c r="K76" i="13"/>
  <c r="C46" i="13"/>
  <c r="F38" i="13"/>
  <c r="F32" i="13"/>
  <c r="F28" i="13"/>
  <c r="F74" i="13"/>
  <c r="F75" i="13"/>
  <c r="F44" i="13"/>
  <c r="F33" i="13"/>
  <c r="C57" i="13"/>
  <c r="G55" i="13"/>
  <c r="G76" i="13" s="1"/>
  <c r="F60" i="13"/>
  <c r="F58" i="13"/>
  <c r="C12" i="13"/>
  <c r="C10" i="13" s="1"/>
  <c r="F68" i="13"/>
  <c r="D36" i="13"/>
  <c r="F36" i="13" s="1"/>
  <c r="F37" i="13"/>
  <c r="D30" i="13"/>
  <c r="F30" i="13" s="1"/>
  <c r="F31" i="13"/>
  <c r="F48" i="13"/>
  <c r="D46" i="13"/>
  <c r="F47" i="13"/>
  <c r="D40" i="13"/>
  <c r="F40" i="13" s="1"/>
  <c r="F41" i="13"/>
  <c r="D12" i="13"/>
  <c r="F13" i="13"/>
  <c r="C24" i="13"/>
  <c r="F22" i="13"/>
  <c r="F21" i="13"/>
  <c r="F45" i="13"/>
  <c r="F73" i="13"/>
  <c r="F54" i="13"/>
  <c r="F53" i="13"/>
  <c r="F18" i="13"/>
  <c r="F19" i="13"/>
  <c r="F69" i="13"/>
  <c r="F70" i="13"/>
  <c r="F50" i="13"/>
  <c r="F23" i="13"/>
  <c r="F29" i="13"/>
  <c r="F16" i="13"/>
  <c r="F17" i="13"/>
  <c r="F39" i="13"/>
  <c r="F66" i="13"/>
  <c r="F67" i="13"/>
  <c r="F49" i="13"/>
  <c r="F14" i="13"/>
  <c r="F64" i="13"/>
  <c r="F65" i="13"/>
  <c r="F35" i="13"/>
  <c r="F34" i="13"/>
  <c r="F43" i="13"/>
  <c r="F63" i="13"/>
  <c r="F62" i="13"/>
  <c r="F20" i="13"/>
  <c r="F72" i="13"/>
  <c r="F71" i="13"/>
  <c r="F52" i="13"/>
  <c r="F51" i="13"/>
  <c r="F61" i="13"/>
  <c r="F27" i="13"/>
  <c r="D26" i="13"/>
  <c r="E71" i="13"/>
  <c r="E69" i="13"/>
  <c r="E67" i="13"/>
  <c r="E65" i="13"/>
  <c r="E53" i="13"/>
  <c r="E43" i="13"/>
  <c r="E35" i="13"/>
  <c r="E31" i="13"/>
  <c r="E30" i="13" s="1"/>
  <c r="E63" i="13"/>
  <c r="E61" i="13"/>
  <c r="E51" i="13"/>
  <c r="E49" i="13"/>
  <c r="E75" i="13"/>
  <c r="E73" i="13"/>
  <c r="E59" i="13"/>
  <c r="E47" i="13"/>
  <c r="E45" i="13"/>
  <c r="E44" i="13" s="1"/>
  <c r="E39" i="13"/>
  <c r="E38" i="13" s="1"/>
  <c r="E37" i="13"/>
  <c r="E36" i="13" s="1"/>
  <c r="D57" i="13"/>
  <c r="E41" i="13"/>
  <c r="E27" i="13"/>
  <c r="E26" i="13" s="1"/>
  <c r="E22" i="13"/>
  <c r="E20" i="13"/>
  <c r="E18" i="13"/>
  <c r="E16" i="13"/>
  <c r="E14" i="13"/>
  <c r="E74" i="13"/>
  <c r="E70" i="13"/>
  <c r="E66" i="13"/>
  <c r="E62" i="13"/>
  <c r="E58" i="13"/>
  <c r="E54" i="13"/>
  <c r="E50" i="13"/>
  <c r="E42" i="13"/>
  <c r="E34" i="13"/>
  <c r="E33" i="13" s="1"/>
  <c r="E25" i="13"/>
  <c r="E19" i="13"/>
  <c r="E15" i="13"/>
  <c r="E11" i="13"/>
  <c r="E29" i="13"/>
  <c r="E28" i="13" s="1"/>
  <c r="E23" i="13"/>
  <c r="E21" i="13"/>
  <c r="E17" i="13"/>
  <c r="E13" i="13"/>
  <c r="E72" i="13"/>
  <c r="E68" i="13"/>
  <c r="E64" i="13"/>
  <c r="E60" i="13"/>
  <c r="E56" i="13"/>
  <c r="E52" i="13"/>
  <c r="E48" i="13"/>
  <c r="E32" i="13"/>
  <c r="N16" i="15"/>
  <c r="K16" i="15"/>
  <c r="H16" i="15"/>
  <c r="D16" i="15"/>
  <c r="C16" i="15"/>
  <c r="N15" i="15"/>
  <c r="K15" i="15"/>
  <c r="H15" i="15"/>
  <c r="D15" i="15"/>
  <c r="C15" i="15"/>
  <c r="N14" i="15"/>
  <c r="K14" i="15"/>
  <c r="H14" i="15"/>
  <c r="D14" i="15"/>
  <c r="C14" i="15"/>
  <c r="N13" i="15"/>
  <c r="K13" i="15"/>
  <c r="H13" i="15"/>
  <c r="D13" i="15"/>
  <c r="C13" i="15"/>
  <c r="N12" i="15"/>
  <c r="K12" i="15"/>
  <c r="H12" i="15"/>
  <c r="D12" i="15"/>
  <c r="C12" i="15"/>
  <c r="N11" i="15"/>
  <c r="K11" i="15"/>
  <c r="H11" i="15"/>
  <c r="D11" i="15"/>
  <c r="C11" i="15"/>
  <c r="N10" i="15"/>
  <c r="K10" i="15"/>
  <c r="H10" i="15"/>
  <c r="D10" i="15"/>
  <c r="C10" i="15"/>
  <c r="M9" i="15"/>
  <c r="M17" i="15" s="1"/>
  <c r="L9" i="15"/>
  <c r="L17" i="15" s="1"/>
  <c r="J9" i="15"/>
  <c r="J17" i="15" s="1"/>
  <c r="I9" i="15"/>
  <c r="I17" i="15" s="1"/>
  <c r="G9" i="15"/>
  <c r="G17" i="15" s="1"/>
  <c r="F9" i="15"/>
  <c r="F17" i="15" s="1"/>
  <c r="F46" i="13" l="1"/>
  <c r="E40" i="13"/>
  <c r="C55" i="13"/>
  <c r="C76" i="13" s="1"/>
  <c r="D9" i="15"/>
  <c r="D17" i="15" s="1"/>
  <c r="E12" i="15"/>
  <c r="E16" i="15"/>
  <c r="E57" i="13"/>
  <c r="E55" i="13" s="1"/>
  <c r="D55" i="13"/>
  <c r="F57" i="13"/>
  <c r="E46" i="13"/>
  <c r="E24" i="13" s="1"/>
  <c r="F26" i="13"/>
  <c r="D24" i="13"/>
  <c r="F24" i="13" s="1"/>
  <c r="E12" i="13"/>
  <c r="E10" i="13" s="1"/>
  <c r="D10" i="13"/>
  <c r="F12" i="13"/>
  <c r="E11" i="15"/>
  <c r="E15" i="15"/>
  <c r="C9" i="15"/>
  <c r="C17" i="15" s="1"/>
  <c r="N9" i="15"/>
  <c r="N17" i="15" s="1"/>
  <c r="E13" i="15"/>
  <c r="H9" i="15"/>
  <c r="H17" i="15" s="1"/>
  <c r="E10" i="15"/>
  <c r="K9" i="15"/>
  <c r="K17" i="15" s="1"/>
  <c r="E14" i="15"/>
  <c r="C80" i="10"/>
  <c r="F55" i="13" l="1"/>
  <c r="E76" i="13"/>
  <c r="D76" i="13"/>
  <c r="F10" i="13"/>
  <c r="E9" i="15"/>
  <c r="E17" i="15" s="1"/>
  <c r="D6" i="12"/>
  <c r="D9" i="12" s="1"/>
  <c r="C6" i="12"/>
  <c r="C9" i="12" s="1"/>
  <c r="F7" i="12"/>
  <c r="F8" i="12"/>
  <c r="E7" i="12"/>
  <c r="E8" i="12"/>
  <c r="F76" i="13" l="1"/>
  <c r="E6" i="12"/>
  <c r="E9" i="12" s="1"/>
  <c r="F6" i="12"/>
  <c r="F9" i="12"/>
  <c r="K21" i="10" l="1"/>
  <c r="G10" i="10"/>
  <c r="C10" i="10" s="1"/>
  <c r="I10" i="10"/>
  <c r="I21" i="10" s="1"/>
  <c r="J8" i="10"/>
  <c r="J7" i="10" s="1"/>
  <c r="K8" i="10"/>
  <c r="K7" i="10" s="1"/>
  <c r="L8" i="10"/>
  <c r="L7" i="10" s="1"/>
  <c r="H10" i="10"/>
  <c r="H8" i="10" s="1"/>
  <c r="H7" i="10" s="1"/>
  <c r="L24" i="10"/>
  <c r="K24" i="10"/>
  <c r="K17" i="10" s="1"/>
  <c r="J24" i="10"/>
  <c r="I24" i="10"/>
  <c r="G24" i="10"/>
  <c r="G20" i="10"/>
  <c r="J17" i="10" l="1"/>
  <c r="G21" i="10"/>
  <c r="I8" i="10"/>
  <c r="I7" i="10" s="1"/>
  <c r="C8" i="10"/>
  <c r="C7" i="10" s="1"/>
  <c r="I17" i="10"/>
  <c r="L17" i="10"/>
  <c r="G8" i="10"/>
  <c r="G7" i="10" s="1"/>
  <c r="H17" i="10"/>
  <c r="G23" i="10"/>
  <c r="G17" i="10" l="1"/>
  <c r="L119" i="10"/>
  <c r="K119" i="10"/>
  <c r="J119" i="10"/>
  <c r="J110" i="10" s="1"/>
  <c r="I119" i="10"/>
  <c r="H119" i="10"/>
  <c r="G119" i="10"/>
  <c r="J113" i="10"/>
  <c r="I113" i="10"/>
  <c r="G113" i="10"/>
  <c r="K112" i="10"/>
  <c r="G112" i="10" s="1"/>
  <c r="G116" i="10"/>
  <c r="I110" i="10" l="1"/>
  <c r="H110" i="10"/>
  <c r="L110" i="10"/>
  <c r="G110" i="10"/>
  <c r="K110" i="10"/>
  <c r="G94" i="10"/>
  <c r="G96" i="10" l="1"/>
  <c r="L95" i="10"/>
  <c r="K95" i="10"/>
  <c r="G95" i="10" s="1"/>
  <c r="G92" i="10" s="1"/>
  <c r="I95" i="10"/>
  <c r="K94" i="10"/>
  <c r="C94" i="10" s="1"/>
  <c r="G103" i="10"/>
  <c r="H103" i="10"/>
  <c r="I103" i="10"/>
  <c r="J103" i="10"/>
  <c r="K103" i="10"/>
  <c r="L103" i="10"/>
  <c r="C101" i="10"/>
  <c r="D101" i="10"/>
  <c r="C99" i="10"/>
  <c r="D99" i="10"/>
  <c r="I97" i="10"/>
  <c r="I92" i="10" s="1"/>
  <c r="G97" i="10"/>
  <c r="H92" i="10" l="1"/>
  <c r="J92" i="10"/>
  <c r="K92" i="10"/>
  <c r="L92" i="10"/>
  <c r="J85" i="10"/>
  <c r="I85" i="10"/>
  <c r="G88" i="10"/>
  <c r="G87" i="10"/>
  <c r="L85" i="10"/>
  <c r="K91" i="10"/>
  <c r="K85" i="10" s="1"/>
  <c r="H85" i="10" l="1"/>
  <c r="G85" i="10"/>
  <c r="K75" i="10"/>
  <c r="G75" i="10" s="1"/>
  <c r="J72" i="10"/>
  <c r="I75" i="10"/>
  <c r="I72" i="10" s="1"/>
  <c r="G74" i="10"/>
  <c r="G77" i="10"/>
  <c r="G81" i="10"/>
  <c r="K84" i="10"/>
  <c r="G84" i="10" s="1"/>
  <c r="G72" i="10" l="1"/>
  <c r="L72" i="10"/>
  <c r="H72" i="10"/>
  <c r="K72" i="10"/>
  <c r="D43" i="11" l="1"/>
  <c r="D47" i="11"/>
  <c r="D19" i="11"/>
  <c r="E28" i="11" l="1"/>
  <c r="G70" i="10" l="1"/>
  <c r="K70" i="10"/>
  <c r="K67" i="10" s="1"/>
  <c r="H67" i="10"/>
  <c r="G67" i="10"/>
  <c r="L61" i="10"/>
  <c r="D65" i="10"/>
  <c r="G65" i="10"/>
  <c r="G63" i="10"/>
  <c r="K63" i="10"/>
  <c r="J61" i="10"/>
  <c r="I66" i="10"/>
  <c r="I61" i="10" s="1"/>
  <c r="D66" i="10"/>
  <c r="C66" i="10"/>
  <c r="L55" i="10"/>
  <c r="J55" i="10"/>
  <c r="I55" i="10"/>
  <c r="K57" i="10"/>
  <c r="H55" i="10"/>
  <c r="G57" i="10"/>
  <c r="G55" i="10" s="1"/>
  <c r="K59" i="10"/>
  <c r="G59" i="10"/>
  <c r="I49" i="10"/>
  <c r="J49" i="10"/>
  <c r="L49" i="10"/>
  <c r="G51" i="10"/>
  <c r="D54" i="10"/>
  <c r="G54" i="10"/>
  <c r="C54" i="10" s="1"/>
  <c r="C53" i="10"/>
  <c r="K52" i="10"/>
  <c r="K49" i="10" s="1"/>
  <c r="H13" i="10"/>
  <c r="I13" i="10"/>
  <c r="J13" i="10"/>
  <c r="L15" i="10"/>
  <c r="D15" i="10" s="1"/>
  <c r="K15" i="10"/>
  <c r="K13" i="10" s="1"/>
  <c r="F101" i="10"/>
  <c r="G16" i="10"/>
  <c r="C16" i="10" s="1"/>
  <c r="D12" i="10"/>
  <c r="G12" i="10"/>
  <c r="C9" i="10"/>
  <c r="D9" i="10"/>
  <c r="D10" i="10"/>
  <c r="D8" i="10" s="1"/>
  <c r="D7" i="10" s="1"/>
  <c r="F7" i="10" s="1"/>
  <c r="C14" i="10"/>
  <c r="D14" i="10"/>
  <c r="D16" i="10"/>
  <c r="F16" i="10" s="1"/>
  <c r="C18" i="10"/>
  <c r="D18" i="10"/>
  <c r="C19" i="10"/>
  <c r="D19" i="10"/>
  <c r="C20" i="10"/>
  <c r="D20" i="10"/>
  <c r="C21" i="10"/>
  <c r="D21" i="10"/>
  <c r="C22" i="10"/>
  <c r="D22" i="10"/>
  <c r="C23" i="10"/>
  <c r="D23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50" i="10"/>
  <c r="D50" i="10"/>
  <c r="C51" i="10"/>
  <c r="D51" i="10"/>
  <c r="C52" i="10"/>
  <c r="D52" i="10"/>
  <c r="D53" i="10"/>
  <c r="C56" i="10"/>
  <c r="D56" i="10"/>
  <c r="C58" i="10"/>
  <c r="D58" i="10"/>
  <c r="C60" i="10"/>
  <c r="D60" i="10"/>
  <c r="C62" i="10"/>
  <c r="D62" i="10"/>
  <c r="C64" i="10"/>
  <c r="D64" i="10"/>
  <c r="C65" i="10"/>
  <c r="C68" i="10"/>
  <c r="D68" i="10"/>
  <c r="D69" i="10"/>
  <c r="C71" i="10"/>
  <c r="D71" i="10"/>
  <c r="C73" i="10"/>
  <c r="D73" i="10"/>
  <c r="C74" i="10"/>
  <c r="D74" i="10"/>
  <c r="C75" i="10"/>
  <c r="D75" i="10"/>
  <c r="C76" i="10"/>
  <c r="D76" i="10"/>
  <c r="C77" i="10"/>
  <c r="D77" i="10"/>
  <c r="C78" i="10"/>
  <c r="D78" i="10"/>
  <c r="C79" i="10"/>
  <c r="D79" i="10"/>
  <c r="D80" i="10"/>
  <c r="C81" i="10"/>
  <c r="D81" i="10"/>
  <c r="C82" i="10"/>
  <c r="D82" i="10"/>
  <c r="C83" i="10"/>
  <c r="D83" i="10"/>
  <c r="C84" i="10"/>
  <c r="D84" i="10"/>
  <c r="C86" i="10"/>
  <c r="D86" i="10"/>
  <c r="C87" i="10"/>
  <c r="D87" i="10"/>
  <c r="C88" i="10"/>
  <c r="D88" i="10"/>
  <c r="C89" i="10"/>
  <c r="D89" i="10"/>
  <c r="C90" i="10"/>
  <c r="D90" i="10"/>
  <c r="C91" i="10"/>
  <c r="D91" i="10"/>
  <c r="C93" i="10"/>
  <c r="D93" i="10"/>
  <c r="D94" i="10"/>
  <c r="C95" i="10"/>
  <c r="D95" i="10"/>
  <c r="C96" i="10"/>
  <c r="D96" i="10"/>
  <c r="C97" i="10"/>
  <c r="D97" i="10"/>
  <c r="C98" i="10"/>
  <c r="D98" i="10"/>
  <c r="F99" i="10"/>
  <c r="C100" i="10"/>
  <c r="D100" i="10"/>
  <c r="C102" i="10"/>
  <c r="D102" i="10"/>
  <c r="C104" i="10"/>
  <c r="D104" i="10"/>
  <c r="C105" i="10"/>
  <c r="D105" i="10"/>
  <c r="C106" i="10"/>
  <c r="D106" i="10"/>
  <c r="C107" i="10"/>
  <c r="D107" i="10"/>
  <c r="C108" i="10"/>
  <c r="D108" i="10"/>
  <c r="C109" i="10"/>
  <c r="D109" i="10"/>
  <c r="C111" i="10"/>
  <c r="D111" i="10"/>
  <c r="C112" i="10"/>
  <c r="D112" i="10"/>
  <c r="F112" i="10" s="1"/>
  <c r="C113" i="10"/>
  <c r="D113" i="10"/>
  <c r="C114" i="10"/>
  <c r="D114" i="10"/>
  <c r="C115" i="10"/>
  <c r="D115" i="10"/>
  <c r="C116" i="10"/>
  <c r="D116" i="10"/>
  <c r="C117" i="10"/>
  <c r="D117" i="10"/>
  <c r="D118" i="10"/>
  <c r="E118" i="10" s="1"/>
  <c r="C120" i="10"/>
  <c r="D120" i="10"/>
  <c r="C121" i="10"/>
  <c r="D121" i="10"/>
  <c r="C122" i="10"/>
  <c r="D122" i="10"/>
  <c r="C123" i="10"/>
  <c r="D123" i="10"/>
  <c r="C124" i="10"/>
  <c r="D124" i="10"/>
  <c r="C126" i="10"/>
  <c r="D126" i="10"/>
  <c r="C127" i="10"/>
  <c r="D127" i="10"/>
  <c r="F11" i="11"/>
  <c r="F12" i="11"/>
  <c r="F13" i="11"/>
  <c r="F14" i="11"/>
  <c r="F15" i="11"/>
  <c r="F17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4" i="11"/>
  <c r="F45" i="11"/>
  <c r="F46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70" i="11"/>
  <c r="F71" i="11"/>
  <c r="F72" i="11"/>
  <c r="F73" i="11"/>
  <c r="F74" i="11"/>
  <c r="F75" i="11"/>
  <c r="F76" i="11"/>
  <c r="F77" i="11"/>
  <c r="F78" i="11"/>
  <c r="F82" i="11"/>
  <c r="E68" i="10" l="1"/>
  <c r="F46" i="10"/>
  <c r="E44" i="10"/>
  <c r="E32" i="10"/>
  <c r="E9" i="10"/>
  <c r="G61" i="10"/>
  <c r="F80" i="10"/>
  <c r="F77" i="10"/>
  <c r="F122" i="10"/>
  <c r="E116" i="10"/>
  <c r="E114" i="10"/>
  <c r="E82" i="10"/>
  <c r="C119" i="10"/>
  <c r="H49" i="10"/>
  <c r="F100" i="10"/>
  <c r="G13" i="10"/>
  <c r="H61" i="10"/>
  <c r="E126" i="10"/>
  <c r="E96" i="10"/>
  <c r="F39" i="10"/>
  <c r="F37" i="10"/>
  <c r="F27" i="10"/>
  <c r="C15" i="10"/>
  <c r="C13" i="10" s="1"/>
  <c r="L13" i="10"/>
  <c r="K55" i="10"/>
  <c r="K61" i="10"/>
  <c r="K11" i="10" s="1"/>
  <c r="K125" i="10" s="1"/>
  <c r="D85" i="10"/>
  <c r="F26" i="10"/>
  <c r="D24" i="10"/>
  <c r="F123" i="10"/>
  <c r="F118" i="10"/>
  <c r="C110" i="10"/>
  <c r="C103" i="10"/>
  <c r="F89" i="10"/>
  <c r="C85" i="10"/>
  <c r="D72" i="10"/>
  <c r="E71" i="10"/>
  <c r="F42" i="10"/>
  <c r="F34" i="10"/>
  <c r="F28" i="10"/>
  <c r="C24" i="10"/>
  <c r="C17" i="10" s="1"/>
  <c r="F19" i="10"/>
  <c r="F121" i="10"/>
  <c r="D119" i="10"/>
  <c r="F119" i="10" s="1"/>
  <c r="F105" i="10"/>
  <c r="D103" i="10"/>
  <c r="I11" i="10"/>
  <c r="I125" i="10" s="1"/>
  <c r="E120" i="10"/>
  <c r="F115" i="10"/>
  <c r="F113" i="10"/>
  <c r="E111" i="10"/>
  <c r="E108" i="10"/>
  <c r="E106" i="10"/>
  <c r="E104" i="10"/>
  <c r="E90" i="10"/>
  <c r="E86" i="10"/>
  <c r="F78" i="10"/>
  <c r="C72" i="10"/>
  <c r="F71" i="10"/>
  <c r="E41" i="10"/>
  <c r="E35" i="10"/>
  <c r="E33" i="10"/>
  <c r="E31" i="10"/>
  <c r="E29" i="10"/>
  <c r="E25" i="10"/>
  <c r="F31" i="10"/>
  <c r="C92" i="10"/>
  <c r="F60" i="10"/>
  <c r="E56" i="10"/>
  <c r="C12" i="10"/>
  <c r="F8" i="10"/>
  <c r="J11" i="10"/>
  <c r="J125" i="10" s="1"/>
  <c r="C49" i="10"/>
  <c r="G49" i="10"/>
  <c r="D49" i="10"/>
  <c r="D13" i="10"/>
  <c r="L11" i="10"/>
  <c r="L125" i="10" s="1"/>
  <c r="F116" i="10"/>
  <c r="E127" i="10"/>
  <c r="F127" i="10"/>
  <c r="F10" i="10"/>
  <c r="F22" i="10"/>
  <c r="F20" i="10"/>
  <c r="E20" i="10"/>
  <c r="E19" i="10"/>
  <c r="F23" i="10"/>
  <c r="E23" i="10"/>
  <c r="F21" i="10"/>
  <c r="E21" i="10"/>
  <c r="F40" i="10"/>
  <c r="E40" i="10"/>
  <c r="F48" i="10"/>
  <c r="E48" i="10"/>
  <c r="F45" i="10"/>
  <c r="E45" i="10"/>
  <c r="F41" i="10"/>
  <c r="E39" i="10"/>
  <c r="F38" i="10"/>
  <c r="E37" i="10"/>
  <c r="F36" i="10"/>
  <c r="E36" i="10"/>
  <c r="F35" i="10"/>
  <c r="F44" i="10"/>
  <c r="F43" i="10"/>
  <c r="E43" i="10"/>
  <c r="F33" i="10"/>
  <c r="F32" i="10"/>
  <c r="F30" i="10"/>
  <c r="F29" i="10"/>
  <c r="E28" i="10"/>
  <c r="E27" i="10"/>
  <c r="F47" i="10"/>
  <c r="E47" i="10"/>
  <c r="E115" i="10"/>
  <c r="F114" i="10"/>
  <c r="E112" i="10"/>
  <c r="F124" i="10"/>
  <c r="E124" i="10"/>
  <c r="E122" i="10"/>
  <c r="F117" i="10"/>
  <c r="F96" i="10"/>
  <c r="E95" i="10"/>
  <c r="F95" i="10"/>
  <c r="E94" i="10"/>
  <c r="F94" i="10"/>
  <c r="F98" i="10"/>
  <c r="E98" i="10"/>
  <c r="F109" i="10"/>
  <c r="F107" i="10"/>
  <c r="E107" i="10"/>
  <c r="F106" i="10"/>
  <c r="F108" i="10"/>
  <c r="F102" i="10"/>
  <c r="E102" i="10"/>
  <c r="E100" i="10"/>
  <c r="E99" i="10"/>
  <c r="F97" i="10"/>
  <c r="E88" i="10"/>
  <c r="F88" i="10"/>
  <c r="F87" i="10"/>
  <c r="E87" i="10"/>
  <c r="F90" i="10"/>
  <c r="F91" i="10"/>
  <c r="E91" i="10"/>
  <c r="F75" i="10"/>
  <c r="E75" i="10"/>
  <c r="F74" i="10"/>
  <c r="E74" i="10"/>
  <c r="E78" i="10"/>
  <c r="F79" i="10"/>
  <c r="E79" i="10"/>
  <c r="E83" i="10"/>
  <c r="F83" i="10"/>
  <c r="F82" i="10"/>
  <c r="F81" i="10"/>
  <c r="E80" i="10"/>
  <c r="E76" i="10"/>
  <c r="F76" i="10"/>
  <c r="E84" i="10"/>
  <c r="F84" i="10"/>
  <c r="D70" i="10"/>
  <c r="D67" i="10" s="1"/>
  <c r="C70" i="10"/>
  <c r="C69" i="10"/>
  <c r="F64" i="10"/>
  <c r="E64" i="10"/>
  <c r="F65" i="10"/>
  <c r="E65" i="10"/>
  <c r="D63" i="10"/>
  <c r="D61" i="10" s="1"/>
  <c r="C63" i="10"/>
  <c r="C61" i="10" s="1"/>
  <c r="F66" i="10"/>
  <c r="C57" i="10"/>
  <c r="D57" i="10"/>
  <c r="C59" i="10"/>
  <c r="D59" i="10"/>
  <c r="E60" i="10"/>
  <c r="F58" i="10"/>
  <c r="E51" i="10"/>
  <c r="F54" i="10"/>
  <c r="F53" i="10"/>
  <c r="E53" i="10"/>
  <c r="F51" i="10"/>
  <c r="E52" i="10"/>
  <c r="F52" i="10"/>
  <c r="E15" i="10"/>
  <c r="E16" i="10"/>
  <c r="E121" i="10"/>
  <c r="E117" i="10"/>
  <c r="E113" i="10"/>
  <c r="E109" i="10"/>
  <c r="E105" i="10"/>
  <c r="E101" i="10"/>
  <c r="E97" i="10"/>
  <c r="E93" i="10"/>
  <c r="E89" i="10"/>
  <c r="E81" i="10"/>
  <c r="E77" i="10"/>
  <c r="E73" i="10"/>
  <c r="E66" i="10"/>
  <c r="E62" i="10"/>
  <c r="E58" i="10"/>
  <c r="E54" i="10"/>
  <c r="E50" i="10"/>
  <c r="E46" i="10"/>
  <c r="E42" i="10"/>
  <c r="E38" i="10"/>
  <c r="E34" i="10"/>
  <c r="E30" i="10"/>
  <c r="E26" i="10"/>
  <c r="E22" i="10"/>
  <c r="E18" i="10"/>
  <c r="E14" i="10"/>
  <c r="E10" i="10"/>
  <c r="E8" i="10" s="1"/>
  <c r="E7" i="10" s="1"/>
  <c r="D92" i="10" l="1"/>
  <c r="F103" i="10"/>
  <c r="D110" i="10"/>
  <c r="H11" i="10"/>
  <c r="H125" i="10" s="1"/>
  <c r="C67" i="10"/>
  <c r="F67" i="10" s="1"/>
  <c r="G11" i="10"/>
  <c r="G125" i="10" s="1"/>
  <c r="F61" i="10"/>
  <c r="F15" i="10"/>
  <c r="F13" i="10"/>
  <c r="F24" i="10"/>
  <c r="E24" i="10"/>
  <c r="E17" i="10" s="1"/>
  <c r="F92" i="10"/>
  <c r="F69" i="10"/>
  <c r="F72" i="10"/>
  <c r="E103" i="10"/>
  <c r="E92" i="10" s="1"/>
  <c r="E119" i="10"/>
  <c r="E110" i="10" s="1"/>
  <c r="D55" i="10"/>
  <c r="E70" i="10"/>
  <c r="E85" i="10"/>
  <c r="D17" i="10"/>
  <c r="I128" i="10"/>
  <c r="I131" i="10"/>
  <c r="E12" i="10"/>
  <c r="F12" i="10"/>
  <c r="C55" i="10"/>
  <c r="E72" i="10"/>
  <c r="F49" i="10"/>
  <c r="J128" i="10"/>
  <c r="J131" i="10"/>
  <c r="F85" i="10"/>
  <c r="K128" i="10"/>
  <c r="K131" i="10"/>
  <c r="E49" i="10"/>
  <c r="L128" i="10"/>
  <c r="L131" i="10"/>
  <c r="E13" i="10"/>
  <c r="F70" i="10"/>
  <c r="E69" i="10"/>
  <c r="E63" i="10"/>
  <c r="E61" i="10" s="1"/>
  <c r="F63" i="10"/>
  <c r="E57" i="10"/>
  <c r="F57" i="10"/>
  <c r="F59" i="10"/>
  <c r="E59" i="10"/>
  <c r="E84" i="11"/>
  <c r="E83" i="11"/>
  <c r="E82" i="11"/>
  <c r="D81" i="11"/>
  <c r="C81" i="11"/>
  <c r="E79" i="11"/>
  <c r="E78" i="11"/>
  <c r="E77" i="11"/>
  <c r="E76" i="11"/>
  <c r="E75" i="11"/>
  <c r="E74" i="11"/>
  <c r="E73" i="11"/>
  <c r="E72" i="11"/>
  <c r="E71" i="11"/>
  <c r="E70" i="11"/>
  <c r="E69" i="11"/>
  <c r="D68" i="11"/>
  <c r="C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C47" i="11"/>
  <c r="E47" i="11" s="1"/>
  <c r="E46" i="11"/>
  <c r="E45" i="11"/>
  <c r="E44" i="11"/>
  <c r="F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C19" i="11"/>
  <c r="E17" i="11"/>
  <c r="E15" i="11"/>
  <c r="E14" i="11"/>
  <c r="E13" i="11"/>
  <c r="E12" i="11"/>
  <c r="E11" i="11"/>
  <c r="D10" i="11"/>
  <c r="C10" i="11"/>
  <c r="C18" i="11" l="1"/>
  <c r="C16" i="11" s="1"/>
  <c r="E19" i="11"/>
  <c r="F110" i="10"/>
  <c r="E67" i="10"/>
  <c r="G128" i="10"/>
  <c r="H128" i="10"/>
  <c r="F55" i="10"/>
  <c r="F17" i="10"/>
  <c r="E55" i="10"/>
  <c r="C11" i="10"/>
  <c r="C125" i="10" s="1"/>
  <c r="C128" i="10" s="1"/>
  <c r="D11" i="10"/>
  <c r="F10" i="11"/>
  <c r="E43" i="11"/>
  <c r="E68" i="11"/>
  <c r="F68" i="11"/>
  <c r="F19" i="11"/>
  <c r="E10" i="11"/>
  <c r="F47" i="11"/>
  <c r="E81" i="11"/>
  <c r="F81" i="11"/>
  <c r="D18" i="11"/>
  <c r="F18" i="11" s="1"/>
  <c r="D80" i="11"/>
  <c r="E11" i="10" l="1"/>
  <c r="E125" i="10" s="1"/>
  <c r="E128" i="10" s="1"/>
  <c r="C131" i="10"/>
  <c r="D125" i="10"/>
  <c r="F11" i="10"/>
  <c r="E80" i="11"/>
  <c r="F80" i="11"/>
  <c r="E18" i="11"/>
  <c r="D16" i="11"/>
  <c r="F16" i="11" s="1"/>
  <c r="D131" i="10" l="1"/>
  <c r="D128" i="10"/>
  <c r="F128" i="10" s="1"/>
  <c r="F125" i="10"/>
  <c r="E16" i="11"/>
  <c r="D85" i="11"/>
  <c r="E85" i="11" l="1"/>
  <c r="F85" i="1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</calcChain>
</file>

<file path=xl/sharedStrings.xml><?xml version="1.0" encoding="utf-8"?>
<sst xmlns="http://schemas.openxmlformats.org/spreadsheetml/2006/main" count="368" uniqueCount="236">
  <si>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</si>
  <si>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</si>
  <si>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</si>
  <si>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</si>
  <si>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</si>
  <si>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</si>
  <si>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</si>
  <si>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</si>
  <si>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</si>
  <si>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</si>
  <si>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</si>
  <si>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</si>
  <si>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</si>
  <si>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</si>
  <si>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</si>
  <si>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</si>
  <si>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</si>
  <si>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</si>
  <si>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</si>
  <si>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</si>
  <si>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</si>
  <si>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</si>
  <si>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</si>
  <si>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</si>
  <si>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</si>
  <si>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</si>
  <si>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</si>
  <si>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</si>
  <si>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</si>
  <si>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</si>
  <si>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</si>
  <si>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</si>
  <si>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</si>
  <si>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</si>
  <si>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</si>
  <si>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</si>
  <si>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</si>
  <si>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</si>
  <si>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</si>
  <si>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</si>
  <si>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</si>
  <si>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</si>
  <si>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</si>
  <si>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</si>
  <si>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</si>
  <si>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</si>
  <si>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</si>
  <si>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</si>
  <si>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</si>
  <si>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</si>
  <si>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</si>
  <si>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</si>
  <si>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</si>
  <si>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</si>
  <si>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</si>
  <si>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</si>
  <si>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</si>
  <si>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</si>
  <si>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</si>
  <si>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</si>
  <si>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</si>
  <si>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</si>
  <si>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</si>
  <si>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</si>
  <si>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</si>
  <si>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</si>
  <si>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</si>
  <si>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</si>
  <si>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</si>
  <si>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</si>
  <si>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</si>
  <si>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</si>
  <si>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</si>
  <si>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</si>
  <si>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</si>
  <si>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</si>
  <si>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</si>
  <si>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</si>
  <si>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</si>
  <si>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</si>
  <si>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</si>
  <si>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</si>
  <si>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</si>
  <si>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</si>
  <si>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</si>
  <si>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</si>
  <si>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</si>
  <si>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</si>
  <si>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</si>
  <si>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</si>
  <si>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</si>
  <si>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</si>
  <si>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</si>
  <si>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</si>
  <si>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</si>
  <si>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</si>
  <si>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</si>
  <si>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</si>
  <si>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</si>
  <si>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</si>
  <si>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</si>
  <si>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</si>
  <si>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</si>
  <si>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</si>
  <si>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</si>
  <si>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</si>
  <si>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</si>
  <si>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</si>
  <si>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</si>
  <si>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</si>
  <si>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</si>
  <si>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</si>
  <si>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</si>
  <si>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</si>
  <si>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</si>
  <si>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</si>
  <si>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</si>
  <si>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</si>
  <si>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</si>
  <si>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</si>
  <si>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</si>
  <si>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</si>
  <si>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</si>
  <si>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</si>
  <si>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</si>
  <si>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</si>
  <si>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</si>
  <si>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</si>
  <si>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</si>
  <si>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</si>
  <si>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</si>
  <si>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</si>
  <si>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</si>
  <si>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</si>
  <si>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</si>
  <si>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</si>
  <si>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</si>
  <si>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</si>
  <si>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</si>
  <si>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</si>
  <si>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</si>
  <si>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</si>
  <si>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</si>
  <si>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</si>
  <si>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</si>
  <si>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</si>
  <si>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</si>
  <si>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</si>
  <si>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</si>
  <si>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</si>
  <si>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</si>
  <si>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</si>
  <si>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</si>
  <si>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</si>
  <si>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</si>
  <si>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</si>
  <si>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Sveikatos apsaugos programa (dotacijos sveikos gyvensenos įgūdžiams bendruomenėse stiprinti bei visuomenės sveikatos stebėsenai savivaldybėse vykdyti lėšos)</t>
  </si>
  <si>
    <t>Dotacija sporto salių grindų dangoms atnaujinti ir įsigyti (ilgalaikiam materialiajam ir nematerialiajam turtui įsigyti)</t>
  </si>
  <si>
    <t>Kitos dotacijos ir lėšos iš kitų valdymo lygių (39+...+58)</t>
  </si>
  <si>
    <t>Kūno kultūros ir sporto plėtros programa (dotacijos ilgalaikiam materialiajam ir nematerialiajam turtui įsigyti lėšos)</t>
  </si>
  <si>
    <t>KITOS PAJAMOS (60+...+70)</t>
  </si>
  <si>
    <t>Palūkanos už depozitus, mokestinės paskolos</t>
  </si>
  <si>
    <t>MATERIALIOJO IR NEMATERIALIOJO TURTO REALIZAVIMO PAJAMOS (72)</t>
  </si>
  <si>
    <t>Kitas materialus turtas</t>
  </si>
  <si>
    <t>Iš viso pajamų (1+7+59+71):</t>
  </si>
  <si>
    <t>Patikslintas planas</t>
  </si>
  <si>
    <t>Plano įvykdymas</t>
  </si>
  <si>
    <t>Rezultatas (pasikeitimas +, -)</t>
  </si>
  <si>
    <t>Įvykdyta procentais (kartais)</t>
  </si>
  <si>
    <t>KLAIPĖDOS MIESTO SAVIVALDYBĖS 2020 METŲ BIUDŽETO ĮVYKDYMO ATASKAITA</t>
  </si>
  <si>
    <t>PATVIRTINTA</t>
  </si>
  <si>
    <t xml:space="preserve">Klaipėdos miesto savivaldybės </t>
  </si>
  <si>
    <t>tarybos sprendimu Nr.</t>
  </si>
  <si>
    <t>Ilgalaikio materialiojo turto realizavimo pajamos (73+74+75)</t>
  </si>
  <si>
    <t xml:space="preserve">Patikslintas planas </t>
  </si>
  <si>
    <t>Įvykdyta</t>
  </si>
  <si>
    <t>Rezultatas (pasikeiti-mas +,-)</t>
  </si>
  <si>
    <t>Įvykdyta procentais</t>
  </si>
  <si>
    <t>iš jų</t>
  </si>
  <si>
    <t>iš jų darbo užmokesčiui</t>
  </si>
  <si>
    <t xml:space="preserve">Susisiekimo sistemos priežiūros ir plėtros programa </t>
  </si>
  <si>
    <t xml:space="preserve">Miesto infrastruktūros objektų priežiūros ir modernizavimo programa </t>
  </si>
  <si>
    <t>Tūkst. Eur</t>
  </si>
  <si>
    <t>Išlaidos turtui įsigyti</t>
  </si>
  <si>
    <t>2.</t>
  </si>
  <si>
    <t>3.</t>
  </si>
  <si>
    <t>Kūno kultūros ir sporto plėtros programa</t>
  </si>
  <si>
    <t>4.</t>
  </si>
  <si>
    <t>Iš viso: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</si>
  <si>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</si>
  <si>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</si>
  <si>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</si>
  <si>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</si>
  <si>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</si>
  <si>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</si>
  <si>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</si>
  <si>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</si>
  <si>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</si>
  <si>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</si>
  <si>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</si>
  <si>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</si>
  <si>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</si>
  <si>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Kultūros plėtros programa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</si>
  <si>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</si>
  <si>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</si>
  <si>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</si>
  <si>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</si>
  <si>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Ugdymo proceso užtikrinimo programa</t>
  </si>
  <si>
    <t>3. Savivaldybės biudžeto lėšų likučio metų pradžioje lėšos</t>
  </si>
  <si>
    <t>Jaunimo politikos plėtros programa</t>
  </si>
  <si>
    <t>Asignavimų valdytojo, programos pavadinimas</t>
  </si>
  <si>
    <t>2</t>
  </si>
  <si>
    <t>4</t>
  </si>
  <si>
    <t>6</t>
  </si>
  <si>
    <t>Miesto infrastruktūros objektų priežiūros ir modernizavimo programa</t>
  </si>
  <si>
    <t xml:space="preserve"> Tūkst. Eur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</si>
  <si>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</si>
  <si>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</si>
  <si>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</si>
  <si>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 xml:space="preserve">Patikslin-tas planas </t>
  </si>
  <si>
    <t>Rezultatas (pasikeiti-mas +, -)</t>
  </si>
  <si>
    <t>8</t>
  </si>
  <si>
    <t>10</t>
  </si>
  <si>
    <t>12</t>
  </si>
  <si>
    <t>14</t>
  </si>
  <si>
    <t>2020 METŲ ASIGNAVIMŲ VALDYTOJŲ PAJAMŲ ĮMOKŲ Į SAVIVALDYBĖS BIUDŽETĄ ĮVYKDYMO ATASKAITA</t>
  </si>
  <si>
    <t>ASIGNAVIMŲ IŠ APYVARTINIŲ LĖŠŲ 2020 M. SAUSIO 1 D. LIKUČIO ĮVYKDYMO ATASKAITA</t>
  </si>
  <si>
    <t>KLAIPĖDOS MIESTO SAVIVALDYBĖS 2020 METŲ BIUDŽETO ASIGNAVIMŲ PANAUDOJIMAS INVESTICIJŲ PROJEKTAMS FINANSUOTI IŠ PASKOLŲ LĖŠŲ</t>
  </si>
  <si>
    <t xml:space="preserve">        Tūkst. Eur</t>
  </si>
  <si>
    <t>Rezultatas (pasikei-timas +,-)</t>
  </si>
  <si>
    <t>2,9 karto</t>
  </si>
  <si>
    <t>2,2 karto</t>
  </si>
  <si>
    <t>Iš viso asignavimų (119-121):</t>
  </si>
  <si>
    <t>Patikslin-tas planas</t>
  </si>
  <si>
    <t>Įvykdyta procen-tais</t>
  </si>
  <si>
    <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</si>
</sst>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0" applyFont="1" applyAlignment="1">
      <alignment wrapText="1"/>
    </xf>
    <xf numFmtId="0" fontId="7" fillId="0" borderId="0" xfId="0" applyFont="1"/>
    <xf numFmtId="165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2" fillId="0" borderId="0" xfId="0" applyFont="1" applyFill="1"/>
    <xf numFmtId="0" fontId="2" fillId="0" borderId="0" xfId="1" applyFont="1" applyBorder="1"/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4" fillId="0" borderId="0" xfId="1" applyFont="1" applyAlignment="1"/>
    <xf numFmtId="0" fontId="4" fillId="0" borderId="0" xfId="1" applyFont="1" applyAlignment="1">
      <alignment wrapText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0" fontId="2" fillId="0" borderId="2" xfId="1" applyFont="1" applyBorder="1" applyAlignment="1">
      <alignment wrapText="1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1" xfId="1" applyFont="1" applyFill="1" applyBorder="1"/>
    <xf numFmtId="0" fontId="1" fillId="0" borderId="0" xfId="1" applyFill="1"/>
    <xf numFmtId="0" fontId="1" fillId="0" borderId="0" xfId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5" fillId="0" borderId="0" xfId="1" applyFont="1" applyBorder="1"/>
    <xf numFmtId="164" fontId="5" fillId="0" borderId="0" xfId="1" applyNumberFormat="1" applyFon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/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4" fontId="1" fillId="0" borderId="0" xfId="1" applyNumberFormat="1" applyFill="1"/>
    <xf numFmtId="0" fontId="6" fillId="0" borderId="0" xfId="1" applyFont="1" applyFill="1" applyAlignment="1">
      <alignment horizontal="center"/>
    </xf>
    <xf numFmtId="0" fontId="1" fillId="0" borderId="1" xfId="1" applyFill="1" applyBorder="1"/>
    <xf numFmtId="165" fontId="2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7" fillId="0" borderId="0" xfId="0" applyFont="1" applyFill="1"/>
    <xf numFmtId="164" fontId="10" fillId="0" borderId="2" xfId="0" applyNumberFormat="1" applyFont="1" applyFill="1" applyBorder="1"/>
    <xf numFmtId="164" fontId="7" fillId="0" borderId="2" xfId="0" applyNumberFormat="1" applyFont="1" applyFill="1" applyBorder="1"/>
    <xf numFmtId="0" fontId="4" fillId="0" borderId="0" xfId="1" applyFont="1" applyFill="1" applyAlignment="1">
      <alignment horizontal="center"/>
    </xf>
    <xf numFmtId="0" fontId="7" fillId="0" borderId="0" xfId="0" applyFont="1" applyFill="1" applyAlignment="1"/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showZeros="0" topLeftCell="A67" zoomScale="76" zoomScaleNormal="76" workbookViewId="0">
      <selection activeCell="L80" sqref="L80"/>
    </sheetView>
  </sheetViews>
  <sheetFormatPr defaultRowHeight="12.75" x14ac:dyDescent="0.2"/>
  <cols>
    <col min="1" max="1" width="9.140625" style="2"/>
    <col min="2" max="2" width="62.42578125" style="2" customWidth="1"/>
    <col min="3" max="3" width="11.42578125" style="2" customWidth="1"/>
    <col min="4" max="4" width="12.140625" style="2" customWidth="1"/>
    <col min="5" max="5" width="14" style="2" customWidth="1"/>
    <col min="6" max="6" width="10.7109375" style="2" customWidth="1"/>
    <col min="7" max="92" width="9.140625" style="2"/>
    <col min="93" max="93" width="60" style="2" customWidth="1"/>
    <col min="94" max="94" width="17.28515625" style="2" customWidth="1"/>
    <col min="95" max="95" width="13.28515625" style="2" customWidth="1"/>
    <col min="96" max="96" width="12" style="2" customWidth="1"/>
    <col min="97" max="348" width="9.140625" style="2"/>
    <col min="349" max="349" width="60" style="2" customWidth="1"/>
    <col min="350" max="350" width="17.28515625" style="2" customWidth="1"/>
    <col min="351" max="351" width="13.28515625" style="2" customWidth="1"/>
    <col min="352" max="352" width="12" style="2" customWidth="1"/>
    <col min="353" max="604" width="9.140625" style="2"/>
    <col min="605" max="605" width="60" style="2" customWidth="1"/>
    <col min="606" max="606" width="17.28515625" style="2" customWidth="1"/>
    <col min="607" max="607" width="13.28515625" style="2" customWidth="1"/>
    <col min="608" max="608" width="12" style="2" customWidth="1"/>
    <col min="609" max="860" width="9.140625" style="2"/>
    <col min="861" max="861" width="60" style="2" customWidth="1"/>
    <col min="862" max="862" width="17.28515625" style="2" customWidth="1"/>
    <col min="863" max="863" width="13.28515625" style="2" customWidth="1"/>
    <col min="864" max="864" width="12" style="2" customWidth="1"/>
    <col min="865" max="1116" width="9.140625" style="2"/>
    <col min="1117" max="1117" width="60" style="2" customWidth="1"/>
    <col min="1118" max="1118" width="17.28515625" style="2" customWidth="1"/>
    <col min="1119" max="1119" width="13.28515625" style="2" customWidth="1"/>
    <col min="1120" max="1120" width="12" style="2" customWidth="1"/>
    <col min="1121" max="1372" width="9.140625" style="2"/>
    <col min="1373" max="1373" width="60" style="2" customWidth="1"/>
    <col min="1374" max="1374" width="17.28515625" style="2" customWidth="1"/>
    <col min="1375" max="1375" width="13.28515625" style="2" customWidth="1"/>
    <col min="1376" max="1376" width="12" style="2" customWidth="1"/>
    <col min="1377" max="1628" width="9.140625" style="2"/>
    <col min="1629" max="1629" width="60" style="2" customWidth="1"/>
    <col min="1630" max="1630" width="17.28515625" style="2" customWidth="1"/>
    <col min="1631" max="1631" width="13.28515625" style="2" customWidth="1"/>
    <col min="1632" max="1632" width="12" style="2" customWidth="1"/>
    <col min="1633" max="1884" width="9.140625" style="2"/>
    <col min="1885" max="1885" width="60" style="2" customWidth="1"/>
    <col min="1886" max="1886" width="17.28515625" style="2" customWidth="1"/>
    <col min="1887" max="1887" width="13.28515625" style="2" customWidth="1"/>
    <col min="1888" max="1888" width="12" style="2" customWidth="1"/>
    <col min="1889" max="2140" width="9.140625" style="2"/>
    <col min="2141" max="2141" width="60" style="2" customWidth="1"/>
    <col min="2142" max="2142" width="17.28515625" style="2" customWidth="1"/>
    <col min="2143" max="2143" width="13.28515625" style="2" customWidth="1"/>
    <col min="2144" max="2144" width="12" style="2" customWidth="1"/>
    <col min="2145" max="2396" width="9.140625" style="2"/>
    <col min="2397" max="2397" width="60" style="2" customWidth="1"/>
    <col min="2398" max="2398" width="17.28515625" style="2" customWidth="1"/>
    <col min="2399" max="2399" width="13.28515625" style="2" customWidth="1"/>
    <col min="2400" max="2400" width="12" style="2" customWidth="1"/>
    <col min="2401" max="2652" width="9.140625" style="2"/>
    <col min="2653" max="2653" width="60" style="2" customWidth="1"/>
    <col min="2654" max="2654" width="17.28515625" style="2" customWidth="1"/>
    <col min="2655" max="2655" width="13.28515625" style="2" customWidth="1"/>
    <col min="2656" max="2656" width="12" style="2" customWidth="1"/>
    <col min="2657" max="2908" width="9.140625" style="2"/>
    <col min="2909" max="2909" width="60" style="2" customWidth="1"/>
    <col min="2910" max="2910" width="17.28515625" style="2" customWidth="1"/>
    <col min="2911" max="2911" width="13.28515625" style="2" customWidth="1"/>
    <col min="2912" max="2912" width="12" style="2" customWidth="1"/>
    <col min="2913" max="3164" width="9.140625" style="2"/>
    <col min="3165" max="3165" width="60" style="2" customWidth="1"/>
    <col min="3166" max="3166" width="17.28515625" style="2" customWidth="1"/>
    <col min="3167" max="3167" width="13.28515625" style="2" customWidth="1"/>
    <col min="3168" max="3168" width="12" style="2" customWidth="1"/>
    <col min="3169" max="3420" width="9.140625" style="2"/>
    <col min="3421" max="3421" width="60" style="2" customWidth="1"/>
    <col min="3422" max="3422" width="17.28515625" style="2" customWidth="1"/>
    <col min="3423" max="3423" width="13.28515625" style="2" customWidth="1"/>
    <col min="3424" max="3424" width="12" style="2" customWidth="1"/>
    <col min="3425" max="3676" width="9.140625" style="2"/>
    <col min="3677" max="3677" width="60" style="2" customWidth="1"/>
    <col min="3678" max="3678" width="17.28515625" style="2" customWidth="1"/>
    <col min="3679" max="3679" width="13.28515625" style="2" customWidth="1"/>
    <col min="3680" max="3680" width="12" style="2" customWidth="1"/>
    <col min="3681" max="3932" width="9.140625" style="2"/>
    <col min="3933" max="3933" width="60" style="2" customWidth="1"/>
    <col min="3934" max="3934" width="17.28515625" style="2" customWidth="1"/>
    <col min="3935" max="3935" width="13.28515625" style="2" customWidth="1"/>
    <col min="3936" max="3936" width="12" style="2" customWidth="1"/>
    <col min="3937" max="4188" width="9.140625" style="2"/>
    <col min="4189" max="4189" width="60" style="2" customWidth="1"/>
    <col min="4190" max="4190" width="17.28515625" style="2" customWidth="1"/>
    <col min="4191" max="4191" width="13.28515625" style="2" customWidth="1"/>
    <col min="4192" max="4192" width="12" style="2" customWidth="1"/>
    <col min="4193" max="4444" width="9.140625" style="2"/>
    <col min="4445" max="4445" width="60" style="2" customWidth="1"/>
    <col min="4446" max="4446" width="17.28515625" style="2" customWidth="1"/>
    <col min="4447" max="4447" width="13.28515625" style="2" customWidth="1"/>
    <col min="4448" max="4448" width="12" style="2" customWidth="1"/>
    <col min="4449" max="4700" width="9.140625" style="2"/>
    <col min="4701" max="4701" width="60" style="2" customWidth="1"/>
    <col min="4702" max="4702" width="17.28515625" style="2" customWidth="1"/>
    <col min="4703" max="4703" width="13.28515625" style="2" customWidth="1"/>
    <col min="4704" max="4704" width="12" style="2" customWidth="1"/>
    <col min="4705" max="4956" width="9.140625" style="2"/>
    <col min="4957" max="4957" width="60" style="2" customWidth="1"/>
    <col min="4958" max="4958" width="17.28515625" style="2" customWidth="1"/>
    <col min="4959" max="4959" width="13.28515625" style="2" customWidth="1"/>
    <col min="4960" max="4960" width="12" style="2" customWidth="1"/>
    <col min="4961" max="5212" width="9.140625" style="2"/>
    <col min="5213" max="5213" width="60" style="2" customWidth="1"/>
    <col min="5214" max="5214" width="17.28515625" style="2" customWidth="1"/>
    <col min="5215" max="5215" width="13.28515625" style="2" customWidth="1"/>
    <col min="5216" max="5216" width="12" style="2" customWidth="1"/>
    <col min="5217" max="5468" width="9.140625" style="2"/>
    <col min="5469" max="5469" width="60" style="2" customWidth="1"/>
    <col min="5470" max="5470" width="17.28515625" style="2" customWidth="1"/>
    <col min="5471" max="5471" width="13.28515625" style="2" customWidth="1"/>
    <col min="5472" max="5472" width="12" style="2" customWidth="1"/>
    <col min="5473" max="5724" width="9.140625" style="2"/>
    <col min="5725" max="5725" width="60" style="2" customWidth="1"/>
    <col min="5726" max="5726" width="17.28515625" style="2" customWidth="1"/>
    <col min="5727" max="5727" width="13.28515625" style="2" customWidth="1"/>
    <col min="5728" max="5728" width="12" style="2" customWidth="1"/>
    <col min="5729" max="5980" width="9.140625" style="2"/>
    <col min="5981" max="5981" width="60" style="2" customWidth="1"/>
    <col min="5982" max="5982" width="17.28515625" style="2" customWidth="1"/>
    <col min="5983" max="5983" width="13.28515625" style="2" customWidth="1"/>
    <col min="5984" max="5984" width="12" style="2" customWidth="1"/>
    <col min="5985" max="6236" width="9.140625" style="2"/>
    <col min="6237" max="6237" width="60" style="2" customWidth="1"/>
    <col min="6238" max="6238" width="17.28515625" style="2" customWidth="1"/>
    <col min="6239" max="6239" width="13.28515625" style="2" customWidth="1"/>
    <col min="6240" max="6240" width="12" style="2" customWidth="1"/>
    <col min="6241" max="6492" width="9.140625" style="2"/>
    <col min="6493" max="6493" width="60" style="2" customWidth="1"/>
    <col min="6494" max="6494" width="17.28515625" style="2" customWidth="1"/>
    <col min="6495" max="6495" width="13.28515625" style="2" customWidth="1"/>
    <col min="6496" max="6496" width="12" style="2" customWidth="1"/>
    <col min="6497" max="6748" width="9.140625" style="2"/>
    <col min="6749" max="6749" width="60" style="2" customWidth="1"/>
    <col min="6750" max="6750" width="17.28515625" style="2" customWidth="1"/>
    <col min="6751" max="6751" width="13.28515625" style="2" customWidth="1"/>
    <col min="6752" max="6752" width="12" style="2" customWidth="1"/>
    <col min="6753" max="7004" width="9.140625" style="2"/>
    <col min="7005" max="7005" width="60" style="2" customWidth="1"/>
    <col min="7006" max="7006" width="17.28515625" style="2" customWidth="1"/>
    <col min="7007" max="7007" width="13.28515625" style="2" customWidth="1"/>
    <col min="7008" max="7008" width="12" style="2" customWidth="1"/>
    <col min="7009" max="7260" width="9.140625" style="2"/>
    <col min="7261" max="7261" width="60" style="2" customWidth="1"/>
    <col min="7262" max="7262" width="17.28515625" style="2" customWidth="1"/>
    <col min="7263" max="7263" width="13.28515625" style="2" customWidth="1"/>
    <col min="7264" max="7264" width="12" style="2" customWidth="1"/>
    <col min="7265" max="7516" width="9.140625" style="2"/>
    <col min="7517" max="7517" width="60" style="2" customWidth="1"/>
    <col min="7518" max="7518" width="17.28515625" style="2" customWidth="1"/>
    <col min="7519" max="7519" width="13.28515625" style="2" customWidth="1"/>
    <col min="7520" max="7520" width="12" style="2" customWidth="1"/>
    <col min="7521" max="7772" width="9.140625" style="2"/>
    <col min="7773" max="7773" width="60" style="2" customWidth="1"/>
    <col min="7774" max="7774" width="17.28515625" style="2" customWidth="1"/>
    <col min="7775" max="7775" width="13.28515625" style="2" customWidth="1"/>
    <col min="7776" max="7776" width="12" style="2" customWidth="1"/>
    <col min="7777" max="8028" width="9.140625" style="2"/>
    <col min="8029" max="8029" width="60" style="2" customWidth="1"/>
    <col min="8030" max="8030" width="17.28515625" style="2" customWidth="1"/>
    <col min="8031" max="8031" width="13.28515625" style="2" customWidth="1"/>
    <col min="8032" max="8032" width="12" style="2" customWidth="1"/>
    <col min="8033" max="8284" width="9.140625" style="2"/>
    <col min="8285" max="8285" width="60" style="2" customWidth="1"/>
    <col min="8286" max="8286" width="17.28515625" style="2" customWidth="1"/>
    <col min="8287" max="8287" width="13.28515625" style="2" customWidth="1"/>
    <col min="8288" max="8288" width="12" style="2" customWidth="1"/>
    <col min="8289" max="8540" width="9.140625" style="2"/>
    <col min="8541" max="8541" width="60" style="2" customWidth="1"/>
    <col min="8542" max="8542" width="17.28515625" style="2" customWidth="1"/>
    <col min="8543" max="8543" width="13.28515625" style="2" customWidth="1"/>
    <col min="8544" max="8544" width="12" style="2" customWidth="1"/>
    <col min="8545" max="8796" width="9.140625" style="2"/>
    <col min="8797" max="8797" width="60" style="2" customWidth="1"/>
    <col min="8798" max="8798" width="17.28515625" style="2" customWidth="1"/>
    <col min="8799" max="8799" width="13.28515625" style="2" customWidth="1"/>
    <col min="8800" max="8800" width="12" style="2" customWidth="1"/>
    <col min="8801" max="9052" width="9.140625" style="2"/>
    <col min="9053" max="9053" width="60" style="2" customWidth="1"/>
    <col min="9054" max="9054" width="17.28515625" style="2" customWidth="1"/>
    <col min="9055" max="9055" width="13.28515625" style="2" customWidth="1"/>
    <col min="9056" max="9056" width="12" style="2" customWidth="1"/>
    <col min="9057" max="9308" width="9.140625" style="2"/>
    <col min="9309" max="9309" width="60" style="2" customWidth="1"/>
    <col min="9310" max="9310" width="17.28515625" style="2" customWidth="1"/>
    <col min="9311" max="9311" width="13.28515625" style="2" customWidth="1"/>
    <col min="9312" max="9312" width="12" style="2" customWidth="1"/>
    <col min="9313" max="9564" width="9.140625" style="2"/>
    <col min="9565" max="9565" width="60" style="2" customWidth="1"/>
    <col min="9566" max="9566" width="17.28515625" style="2" customWidth="1"/>
    <col min="9567" max="9567" width="13.28515625" style="2" customWidth="1"/>
    <col min="9568" max="9568" width="12" style="2" customWidth="1"/>
    <col min="9569" max="9820" width="9.140625" style="2"/>
    <col min="9821" max="9821" width="60" style="2" customWidth="1"/>
    <col min="9822" max="9822" width="17.28515625" style="2" customWidth="1"/>
    <col min="9823" max="9823" width="13.28515625" style="2" customWidth="1"/>
    <col min="9824" max="9824" width="12" style="2" customWidth="1"/>
    <col min="9825" max="10076" width="9.140625" style="2"/>
    <col min="10077" max="10077" width="60" style="2" customWidth="1"/>
    <col min="10078" max="10078" width="17.28515625" style="2" customWidth="1"/>
    <col min="10079" max="10079" width="13.28515625" style="2" customWidth="1"/>
    <col min="10080" max="10080" width="12" style="2" customWidth="1"/>
    <col min="10081" max="10332" width="9.140625" style="2"/>
    <col min="10333" max="10333" width="60" style="2" customWidth="1"/>
    <col min="10334" max="10334" width="17.28515625" style="2" customWidth="1"/>
    <col min="10335" max="10335" width="13.28515625" style="2" customWidth="1"/>
    <col min="10336" max="10336" width="12" style="2" customWidth="1"/>
    <col min="10337" max="10588" width="9.140625" style="2"/>
    <col min="10589" max="10589" width="60" style="2" customWidth="1"/>
    <col min="10590" max="10590" width="17.28515625" style="2" customWidth="1"/>
    <col min="10591" max="10591" width="13.28515625" style="2" customWidth="1"/>
    <col min="10592" max="10592" width="12" style="2" customWidth="1"/>
    <col min="10593" max="10844" width="9.140625" style="2"/>
    <col min="10845" max="10845" width="60" style="2" customWidth="1"/>
    <col min="10846" max="10846" width="17.28515625" style="2" customWidth="1"/>
    <col min="10847" max="10847" width="13.28515625" style="2" customWidth="1"/>
    <col min="10848" max="10848" width="12" style="2" customWidth="1"/>
    <col min="10849" max="11100" width="9.140625" style="2"/>
    <col min="11101" max="11101" width="60" style="2" customWidth="1"/>
    <col min="11102" max="11102" width="17.28515625" style="2" customWidth="1"/>
    <col min="11103" max="11103" width="13.28515625" style="2" customWidth="1"/>
    <col min="11104" max="11104" width="12" style="2" customWidth="1"/>
    <col min="11105" max="11356" width="9.140625" style="2"/>
    <col min="11357" max="11357" width="60" style="2" customWidth="1"/>
    <col min="11358" max="11358" width="17.28515625" style="2" customWidth="1"/>
    <col min="11359" max="11359" width="13.28515625" style="2" customWidth="1"/>
    <col min="11360" max="11360" width="12" style="2" customWidth="1"/>
    <col min="11361" max="11612" width="9.140625" style="2"/>
    <col min="11613" max="11613" width="60" style="2" customWidth="1"/>
    <col min="11614" max="11614" width="17.28515625" style="2" customWidth="1"/>
    <col min="11615" max="11615" width="13.28515625" style="2" customWidth="1"/>
    <col min="11616" max="11616" width="12" style="2" customWidth="1"/>
    <col min="11617" max="11868" width="9.140625" style="2"/>
    <col min="11869" max="11869" width="60" style="2" customWidth="1"/>
    <col min="11870" max="11870" width="17.28515625" style="2" customWidth="1"/>
    <col min="11871" max="11871" width="13.28515625" style="2" customWidth="1"/>
    <col min="11872" max="11872" width="12" style="2" customWidth="1"/>
    <col min="11873" max="12124" width="9.140625" style="2"/>
    <col min="12125" max="12125" width="60" style="2" customWidth="1"/>
    <col min="12126" max="12126" width="17.28515625" style="2" customWidth="1"/>
    <col min="12127" max="12127" width="13.28515625" style="2" customWidth="1"/>
    <col min="12128" max="12128" width="12" style="2" customWidth="1"/>
    <col min="12129" max="12380" width="9.140625" style="2"/>
    <col min="12381" max="12381" width="60" style="2" customWidth="1"/>
    <col min="12382" max="12382" width="17.28515625" style="2" customWidth="1"/>
    <col min="12383" max="12383" width="13.28515625" style="2" customWidth="1"/>
    <col min="12384" max="12384" width="12" style="2" customWidth="1"/>
    <col min="12385" max="12636" width="9.140625" style="2"/>
    <col min="12637" max="12637" width="60" style="2" customWidth="1"/>
    <col min="12638" max="12638" width="17.28515625" style="2" customWidth="1"/>
    <col min="12639" max="12639" width="13.28515625" style="2" customWidth="1"/>
    <col min="12640" max="12640" width="12" style="2" customWidth="1"/>
    <col min="12641" max="12892" width="9.140625" style="2"/>
    <col min="12893" max="12893" width="60" style="2" customWidth="1"/>
    <col min="12894" max="12894" width="17.28515625" style="2" customWidth="1"/>
    <col min="12895" max="12895" width="13.28515625" style="2" customWidth="1"/>
    <col min="12896" max="12896" width="12" style="2" customWidth="1"/>
    <col min="12897" max="13148" width="9.140625" style="2"/>
    <col min="13149" max="13149" width="60" style="2" customWidth="1"/>
    <col min="13150" max="13150" width="17.28515625" style="2" customWidth="1"/>
    <col min="13151" max="13151" width="13.28515625" style="2" customWidth="1"/>
    <col min="13152" max="13152" width="12" style="2" customWidth="1"/>
    <col min="13153" max="13404" width="9.140625" style="2"/>
    <col min="13405" max="13405" width="60" style="2" customWidth="1"/>
    <col min="13406" max="13406" width="17.28515625" style="2" customWidth="1"/>
    <col min="13407" max="13407" width="13.28515625" style="2" customWidth="1"/>
    <col min="13408" max="13408" width="12" style="2" customWidth="1"/>
    <col min="13409" max="13660" width="9.140625" style="2"/>
    <col min="13661" max="13661" width="60" style="2" customWidth="1"/>
    <col min="13662" max="13662" width="17.28515625" style="2" customWidth="1"/>
    <col min="13663" max="13663" width="13.28515625" style="2" customWidth="1"/>
    <col min="13664" max="13664" width="12" style="2" customWidth="1"/>
    <col min="13665" max="13916" width="9.140625" style="2"/>
    <col min="13917" max="13917" width="60" style="2" customWidth="1"/>
    <col min="13918" max="13918" width="17.28515625" style="2" customWidth="1"/>
    <col min="13919" max="13919" width="13.28515625" style="2" customWidth="1"/>
    <col min="13920" max="13920" width="12" style="2" customWidth="1"/>
    <col min="13921" max="14172" width="9.140625" style="2"/>
    <col min="14173" max="14173" width="60" style="2" customWidth="1"/>
    <col min="14174" max="14174" width="17.28515625" style="2" customWidth="1"/>
    <col min="14175" max="14175" width="13.28515625" style="2" customWidth="1"/>
    <col min="14176" max="14176" width="12" style="2" customWidth="1"/>
    <col min="14177" max="14428" width="9.140625" style="2"/>
    <col min="14429" max="14429" width="60" style="2" customWidth="1"/>
    <col min="14430" max="14430" width="17.28515625" style="2" customWidth="1"/>
    <col min="14431" max="14431" width="13.28515625" style="2" customWidth="1"/>
    <col min="14432" max="14432" width="12" style="2" customWidth="1"/>
    <col min="14433" max="14684" width="9.140625" style="2"/>
    <col min="14685" max="14685" width="60" style="2" customWidth="1"/>
    <col min="14686" max="14686" width="17.28515625" style="2" customWidth="1"/>
    <col min="14687" max="14687" width="13.28515625" style="2" customWidth="1"/>
    <col min="14688" max="14688" width="12" style="2" customWidth="1"/>
    <col min="14689" max="14940" width="9.140625" style="2"/>
    <col min="14941" max="14941" width="60" style="2" customWidth="1"/>
    <col min="14942" max="14942" width="17.28515625" style="2" customWidth="1"/>
    <col min="14943" max="14943" width="13.28515625" style="2" customWidth="1"/>
    <col min="14944" max="14944" width="12" style="2" customWidth="1"/>
    <col min="14945" max="15196" width="9.140625" style="2"/>
    <col min="15197" max="15197" width="60" style="2" customWidth="1"/>
    <col min="15198" max="15198" width="17.28515625" style="2" customWidth="1"/>
    <col min="15199" max="15199" width="13.28515625" style="2" customWidth="1"/>
    <col min="15200" max="15200" width="12" style="2" customWidth="1"/>
    <col min="15201" max="15452" width="9.140625" style="2"/>
    <col min="15453" max="15453" width="60" style="2" customWidth="1"/>
    <col min="15454" max="15454" width="17.28515625" style="2" customWidth="1"/>
    <col min="15455" max="15455" width="13.28515625" style="2" customWidth="1"/>
    <col min="15456" max="15456" width="12" style="2" customWidth="1"/>
    <col min="15457" max="15708" width="9.140625" style="2"/>
    <col min="15709" max="15709" width="60" style="2" customWidth="1"/>
    <col min="15710" max="15710" width="17.28515625" style="2" customWidth="1"/>
    <col min="15711" max="15711" width="13.28515625" style="2" customWidth="1"/>
    <col min="15712" max="15712" width="12" style="2" customWidth="1"/>
    <col min="15713" max="15964" width="9.140625" style="2"/>
    <col min="15965" max="15965" width="60" style="2" customWidth="1"/>
    <col min="15966" max="15966" width="17.28515625" style="2" customWidth="1"/>
    <col min="15967" max="15967" width="13.28515625" style="2" customWidth="1"/>
    <col min="15968" max="15968" width="12" style="2" customWidth="1"/>
    <col min="15969" max="16384" width="9.140625" style="2"/>
  </cols>
  <sheetData>
    <row r="1" spans="1:6" ht="15.75" x14ac:dyDescent="0.25">
      <c r="A1" s="6"/>
      <c r="B1" s="6"/>
      <c r="C1" s="82" t="s">
        <v>170</v>
      </c>
      <c r="D1" s="82"/>
      <c r="E1" s="6"/>
      <c r="F1" s="6"/>
    </row>
    <row r="2" spans="1:6" ht="15.75" x14ac:dyDescent="0.25">
      <c r="A2" s="6"/>
      <c r="B2" s="6"/>
      <c r="C2" s="67" t="s">
        <v>171</v>
      </c>
      <c r="D2" s="67"/>
      <c r="E2" s="6"/>
      <c r="F2" s="6"/>
    </row>
    <row r="3" spans="1:6" ht="15.75" x14ac:dyDescent="0.25">
      <c r="A3" s="6"/>
      <c r="B3" s="6"/>
      <c r="C3" s="82" t="s">
        <v>172</v>
      </c>
      <c r="D3" s="82"/>
      <c r="E3" s="6"/>
      <c r="F3" s="6"/>
    </row>
    <row r="4" spans="1:6" ht="12.75" customHeight="1" x14ac:dyDescent="0.25">
      <c r="A4" s="15"/>
      <c r="B4" s="16"/>
      <c r="C4" s="6"/>
      <c r="D4" s="6"/>
      <c r="E4" s="6"/>
      <c r="F4" s="6"/>
    </row>
    <row r="5" spans="1:6" ht="15.75" x14ac:dyDescent="0.25">
      <c r="A5" s="81" t="s">
        <v>169</v>
      </c>
      <c r="B5" s="81"/>
      <c r="C5" s="81"/>
      <c r="D5" s="81"/>
      <c r="E5" s="81"/>
      <c r="F5" s="81"/>
    </row>
    <row r="6" spans="1:6" ht="11.25" customHeight="1" x14ac:dyDescent="0.25">
      <c r="A6" s="15"/>
      <c r="B6" s="17"/>
      <c r="C6" s="6"/>
      <c r="D6" s="6"/>
      <c r="E6" s="6"/>
      <c r="F6" s="6"/>
    </row>
    <row r="7" spans="1:6" ht="15.75" x14ac:dyDescent="0.25">
      <c r="A7" s="15"/>
      <c r="B7" s="18" t="s">
        <v>4</v>
      </c>
      <c r="C7" s="27"/>
      <c r="D7" s="6"/>
      <c r="E7" s="27" t="s">
        <v>119</v>
      </c>
      <c r="F7" s="27"/>
    </row>
    <row r="8" spans="1:6" ht="45.75" customHeight="1" x14ac:dyDescent="0.25">
      <c r="A8" s="23" t="s">
        <v>0</v>
      </c>
      <c r="B8" s="23" t="s">
        <v>5</v>
      </c>
      <c r="C8" s="60" t="s">
        <v>165</v>
      </c>
      <c r="D8" s="60" t="s">
        <v>166</v>
      </c>
      <c r="E8" s="23" t="s">
        <v>167</v>
      </c>
      <c r="F8" s="60" t="s">
        <v>168</v>
      </c>
    </row>
    <row r="9" spans="1:6" s="7" customFormat="1" ht="15.75" x14ac:dyDescent="0.25">
      <c r="A9" s="60">
        <v>1</v>
      </c>
      <c r="B9" s="60">
        <v>2</v>
      </c>
      <c r="C9" s="60">
        <v>3</v>
      </c>
      <c r="D9" s="61">
        <v>4</v>
      </c>
      <c r="E9" s="61">
        <v>5</v>
      </c>
      <c r="F9" s="61">
        <v>6</v>
      </c>
    </row>
    <row r="10" spans="1:6" ht="15.75" customHeight="1" x14ac:dyDescent="0.25">
      <c r="A10" s="10">
        <v>1</v>
      </c>
      <c r="B10" s="8" t="s">
        <v>97</v>
      </c>
      <c r="C10" s="12">
        <f>+SUM(C11:C15)</f>
        <v>106537</v>
      </c>
      <c r="D10" s="19">
        <f>+SUM(D11:D15)</f>
        <v>102077.8</v>
      </c>
      <c r="E10" s="19">
        <f>D10-C10</f>
        <v>-4459.2</v>
      </c>
      <c r="F10" s="19">
        <f>+D10/C10*100</f>
        <v>95.8</v>
      </c>
    </row>
    <row r="11" spans="1:6" ht="15" customHeight="1" x14ac:dyDescent="0.25">
      <c r="A11" s="10">
        <v>2</v>
      </c>
      <c r="B11" s="9" t="s">
        <v>6</v>
      </c>
      <c r="C11" s="20">
        <v>97137</v>
      </c>
      <c r="D11" s="20">
        <v>92381</v>
      </c>
      <c r="E11" s="20">
        <f t="shared" ref="E11:E41" si="0">D11-C11</f>
        <v>-4756</v>
      </c>
      <c r="F11" s="20">
        <f t="shared" ref="F11:F74" si="1">+D11/C11*100</f>
        <v>95.1</v>
      </c>
    </row>
    <row r="12" spans="1:6" ht="15" customHeight="1" x14ac:dyDescent="0.25">
      <c r="A12" s="10">
        <v>3</v>
      </c>
      <c r="B12" s="9" t="s">
        <v>7</v>
      </c>
      <c r="C12" s="20">
        <v>450</v>
      </c>
      <c r="D12" s="20">
        <v>517.1</v>
      </c>
      <c r="E12" s="20">
        <f t="shared" si="0"/>
        <v>67.099999999999994</v>
      </c>
      <c r="F12" s="20">
        <f t="shared" si="1"/>
        <v>114.9</v>
      </c>
    </row>
    <row r="13" spans="1:6" ht="15" customHeight="1" x14ac:dyDescent="0.25">
      <c r="A13" s="10">
        <v>4</v>
      </c>
      <c r="B13" s="9" t="s">
        <v>8</v>
      </c>
      <c r="C13" s="20">
        <v>90</v>
      </c>
      <c r="D13" s="20">
        <v>86.6</v>
      </c>
      <c r="E13" s="20">
        <f t="shared" si="0"/>
        <v>-3.4</v>
      </c>
      <c r="F13" s="20">
        <f t="shared" si="1"/>
        <v>96.2</v>
      </c>
    </row>
    <row r="14" spans="1:6" ht="15" customHeight="1" x14ac:dyDescent="0.25">
      <c r="A14" s="10">
        <v>5</v>
      </c>
      <c r="B14" s="9" t="s">
        <v>9</v>
      </c>
      <c r="C14" s="20">
        <v>8410</v>
      </c>
      <c r="D14" s="20">
        <v>8640.5</v>
      </c>
      <c r="E14" s="20">
        <f t="shared" si="0"/>
        <v>230.5</v>
      </c>
      <c r="F14" s="20">
        <f t="shared" si="1"/>
        <v>102.7</v>
      </c>
    </row>
    <row r="15" spans="1:6" ht="15" customHeight="1" x14ac:dyDescent="0.25">
      <c r="A15" s="10">
        <v>6</v>
      </c>
      <c r="B15" s="9" t="s">
        <v>10</v>
      </c>
      <c r="C15" s="20">
        <v>450</v>
      </c>
      <c r="D15" s="20">
        <v>452.6</v>
      </c>
      <c r="E15" s="20">
        <f t="shared" si="0"/>
        <v>2.6</v>
      </c>
      <c r="F15" s="20">
        <f t="shared" si="1"/>
        <v>100.6</v>
      </c>
    </row>
    <row r="16" spans="1:6" ht="15.75" x14ac:dyDescent="0.25">
      <c r="A16" s="10">
        <v>7</v>
      </c>
      <c r="B16" s="8" t="s">
        <v>155</v>
      </c>
      <c r="C16" s="12">
        <f>C17+C18+C47</f>
        <v>95429.3</v>
      </c>
      <c r="D16" s="19">
        <f>D17+D18+D47</f>
        <v>94681.5</v>
      </c>
      <c r="E16" s="19">
        <f t="shared" si="0"/>
        <v>-747.8</v>
      </c>
      <c r="F16" s="19">
        <f t="shared" si="1"/>
        <v>99.2</v>
      </c>
    </row>
    <row r="17" spans="1:6" ht="31.5" x14ac:dyDescent="0.25">
      <c r="A17" s="10">
        <v>8</v>
      </c>
      <c r="B17" s="8" t="s">
        <v>89</v>
      </c>
      <c r="C17" s="19">
        <v>21197.8</v>
      </c>
      <c r="D17" s="19">
        <v>21589.5</v>
      </c>
      <c r="E17" s="19">
        <f t="shared" si="0"/>
        <v>391.7</v>
      </c>
      <c r="F17" s="19">
        <f t="shared" si="1"/>
        <v>101.8</v>
      </c>
    </row>
    <row r="18" spans="1:6" ht="15.75" customHeight="1" x14ac:dyDescent="0.25">
      <c r="A18" s="10">
        <v>9</v>
      </c>
      <c r="B18" s="8" t="s">
        <v>154</v>
      </c>
      <c r="C18" s="12">
        <f>C19+C42+C43+C46</f>
        <v>57261.1</v>
      </c>
      <c r="D18" s="19">
        <f>D19+D42+D43+D46</f>
        <v>56804.7</v>
      </c>
      <c r="E18" s="19">
        <f t="shared" si="0"/>
        <v>-456.4</v>
      </c>
      <c r="F18" s="19">
        <f t="shared" si="1"/>
        <v>99.2</v>
      </c>
    </row>
    <row r="19" spans="1:6" ht="33.75" customHeight="1" x14ac:dyDescent="0.25">
      <c r="A19" s="10">
        <v>10</v>
      </c>
      <c r="B19" s="9" t="s">
        <v>117</v>
      </c>
      <c r="C19" s="22">
        <f>+SUM(C20:C41)</f>
        <v>9227.7999999999993</v>
      </c>
      <c r="D19" s="20">
        <f>+SUM(D20:D41)</f>
        <v>8829.5</v>
      </c>
      <c r="E19" s="20">
        <f t="shared" si="0"/>
        <v>-398.3</v>
      </c>
      <c r="F19" s="20">
        <f t="shared" si="1"/>
        <v>95.7</v>
      </c>
    </row>
    <row r="20" spans="1:6" ht="15.75" x14ac:dyDescent="0.25">
      <c r="A20" s="10">
        <v>11</v>
      </c>
      <c r="B20" s="4" t="s">
        <v>13</v>
      </c>
      <c r="C20" s="20">
        <v>0.9</v>
      </c>
      <c r="D20" s="20">
        <v>0.9</v>
      </c>
      <c r="E20" s="20">
        <f t="shared" si="0"/>
        <v>0</v>
      </c>
      <c r="F20" s="20">
        <f t="shared" si="1"/>
        <v>100</v>
      </c>
    </row>
    <row r="21" spans="1:6" ht="15.75" customHeight="1" x14ac:dyDescent="0.25">
      <c r="A21" s="10">
        <v>12</v>
      </c>
      <c r="B21" s="4" t="s">
        <v>14</v>
      </c>
      <c r="C21" s="20">
        <v>23</v>
      </c>
      <c r="D21" s="20">
        <v>22.1</v>
      </c>
      <c r="E21" s="20">
        <f t="shared" si="0"/>
        <v>-0.9</v>
      </c>
      <c r="F21" s="20">
        <f t="shared" si="1"/>
        <v>96.1</v>
      </c>
    </row>
    <row r="22" spans="1:6" ht="15.75" customHeight="1" x14ac:dyDescent="0.25">
      <c r="A22" s="10">
        <v>13</v>
      </c>
      <c r="B22" s="4" t="s">
        <v>17</v>
      </c>
      <c r="C22" s="20">
        <v>66.400000000000006</v>
      </c>
      <c r="D22" s="20">
        <v>66.3</v>
      </c>
      <c r="E22" s="20">
        <f t="shared" si="0"/>
        <v>-0.1</v>
      </c>
      <c r="F22" s="20">
        <f t="shared" si="1"/>
        <v>99.8</v>
      </c>
    </row>
    <row r="23" spans="1:6" ht="32.25" customHeight="1" x14ac:dyDescent="0.25">
      <c r="A23" s="10">
        <v>14</v>
      </c>
      <c r="B23" s="4" t="s">
        <v>65</v>
      </c>
      <c r="C23" s="20">
        <v>23</v>
      </c>
      <c r="D23" s="20">
        <v>22.9</v>
      </c>
      <c r="E23" s="20">
        <f t="shared" si="0"/>
        <v>-0.1</v>
      </c>
      <c r="F23" s="20">
        <f t="shared" si="1"/>
        <v>99.6</v>
      </c>
    </row>
    <row r="24" spans="1:6" ht="15.75" customHeight="1" x14ac:dyDescent="0.25">
      <c r="A24" s="10">
        <v>15</v>
      </c>
      <c r="B24" s="4" t="s">
        <v>15</v>
      </c>
      <c r="C24" s="20">
        <v>15.2</v>
      </c>
      <c r="D24" s="20">
        <v>15.1</v>
      </c>
      <c r="E24" s="20">
        <f t="shared" si="0"/>
        <v>-0.1</v>
      </c>
      <c r="F24" s="20">
        <f t="shared" si="1"/>
        <v>99.3</v>
      </c>
    </row>
    <row r="25" spans="1:6" ht="15.75" customHeight="1" x14ac:dyDescent="0.25">
      <c r="A25" s="10">
        <v>16</v>
      </c>
      <c r="B25" s="4" t="s">
        <v>69</v>
      </c>
      <c r="C25" s="20">
        <v>75.2</v>
      </c>
      <c r="D25" s="20">
        <v>73.3</v>
      </c>
      <c r="E25" s="20">
        <f t="shared" si="0"/>
        <v>-1.9</v>
      </c>
      <c r="F25" s="20">
        <f t="shared" si="1"/>
        <v>97.5</v>
      </c>
    </row>
    <row r="26" spans="1:6" ht="15.75" customHeight="1" x14ac:dyDescent="0.25">
      <c r="A26" s="10">
        <v>17</v>
      </c>
      <c r="B26" s="4" t="s">
        <v>82</v>
      </c>
      <c r="C26" s="20">
        <v>34.5</v>
      </c>
      <c r="D26" s="20">
        <v>33.9</v>
      </c>
      <c r="E26" s="20">
        <f t="shared" si="0"/>
        <v>-0.6</v>
      </c>
      <c r="F26" s="20">
        <f t="shared" si="1"/>
        <v>98.3</v>
      </c>
    </row>
    <row r="27" spans="1:6" ht="15.75" customHeight="1" x14ac:dyDescent="0.25">
      <c r="A27" s="10">
        <v>18</v>
      </c>
      <c r="B27" s="4" t="s">
        <v>16</v>
      </c>
      <c r="C27" s="20">
        <v>85.6</v>
      </c>
      <c r="D27" s="20">
        <v>84.5</v>
      </c>
      <c r="E27" s="20">
        <f t="shared" si="0"/>
        <v>-1.1000000000000001</v>
      </c>
      <c r="F27" s="20">
        <f t="shared" si="1"/>
        <v>98.7</v>
      </c>
    </row>
    <row r="28" spans="1:6" ht="34.5" customHeight="1" x14ac:dyDescent="0.25">
      <c r="A28" s="10">
        <v>19</v>
      </c>
      <c r="B28" s="4" t="s">
        <v>18</v>
      </c>
      <c r="C28" s="20">
        <v>2.6</v>
      </c>
      <c r="D28" s="20">
        <v>1.6</v>
      </c>
      <c r="E28" s="20">
        <f>D28-C28</f>
        <v>-1</v>
      </c>
      <c r="F28" s="20">
        <f t="shared" si="1"/>
        <v>61.5</v>
      </c>
    </row>
    <row r="29" spans="1:6" ht="34.5" customHeight="1" x14ac:dyDescent="0.25">
      <c r="A29" s="10">
        <v>20</v>
      </c>
      <c r="B29" s="4" t="s">
        <v>109</v>
      </c>
      <c r="C29" s="20">
        <v>0.3</v>
      </c>
      <c r="D29" s="20">
        <v>0.3</v>
      </c>
      <c r="E29" s="20">
        <f t="shared" si="0"/>
        <v>0</v>
      </c>
      <c r="F29" s="20">
        <f t="shared" si="1"/>
        <v>100</v>
      </c>
    </row>
    <row r="30" spans="1:6" ht="15.75" customHeight="1" x14ac:dyDescent="0.25">
      <c r="A30" s="10">
        <v>21</v>
      </c>
      <c r="B30" s="4" t="s">
        <v>70</v>
      </c>
      <c r="C30" s="20">
        <v>5.4</v>
      </c>
      <c r="D30" s="20">
        <v>5.4</v>
      </c>
      <c r="E30" s="20">
        <f t="shared" si="0"/>
        <v>0</v>
      </c>
      <c r="F30" s="20">
        <f t="shared" si="1"/>
        <v>100</v>
      </c>
    </row>
    <row r="31" spans="1:6" ht="19.5" customHeight="1" x14ac:dyDescent="0.25">
      <c r="A31" s="10">
        <v>22</v>
      </c>
      <c r="B31" s="9" t="s">
        <v>38</v>
      </c>
      <c r="C31" s="20">
        <v>19.7</v>
      </c>
      <c r="D31" s="20">
        <v>19.100000000000001</v>
      </c>
      <c r="E31" s="20">
        <f t="shared" si="0"/>
        <v>-0.6</v>
      </c>
      <c r="F31" s="20">
        <f t="shared" si="1"/>
        <v>97</v>
      </c>
    </row>
    <row r="32" spans="1:6" ht="31.5" x14ac:dyDescent="0.25">
      <c r="A32" s="10">
        <v>23</v>
      </c>
      <c r="B32" s="4" t="s">
        <v>81</v>
      </c>
      <c r="C32" s="20">
        <v>263.39999999999998</v>
      </c>
      <c r="D32" s="20">
        <v>188.7</v>
      </c>
      <c r="E32" s="20">
        <f t="shared" si="0"/>
        <v>-74.7</v>
      </c>
      <c r="F32" s="20">
        <f t="shared" si="1"/>
        <v>71.599999999999994</v>
      </c>
    </row>
    <row r="33" spans="1:6" ht="15.75" customHeight="1" x14ac:dyDescent="0.25">
      <c r="A33" s="10">
        <v>24</v>
      </c>
      <c r="B33" s="4" t="s">
        <v>19</v>
      </c>
      <c r="C33" s="20">
        <v>5654.6</v>
      </c>
      <c r="D33" s="20">
        <v>5606.1</v>
      </c>
      <c r="E33" s="20">
        <f t="shared" si="0"/>
        <v>-48.5</v>
      </c>
      <c r="F33" s="20">
        <f t="shared" si="1"/>
        <v>99.1</v>
      </c>
    </row>
    <row r="34" spans="1:6" ht="15.75" x14ac:dyDescent="0.25">
      <c r="A34" s="10">
        <v>25</v>
      </c>
      <c r="B34" s="4" t="s">
        <v>20</v>
      </c>
      <c r="C34" s="20">
        <v>786.9</v>
      </c>
      <c r="D34" s="20">
        <v>736.9</v>
      </c>
      <c r="E34" s="20">
        <f t="shared" si="0"/>
        <v>-50</v>
      </c>
      <c r="F34" s="20">
        <f t="shared" si="1"/>
        <v>93.6</v>
      </c>
    </row>
    <row r="35" spans="1:6" ht="15.75" customHeight="1" x14ac:dyDescent="0.25">
      <c r="A35" s="10">
        <v>26</v>
      </c>
      <c r="B35" s="4" t="s">
        <v>21</v>
      </c>
      <c r="C35" s="20">
        <v>969.2</v>
      </c>
      <c r="D35" s="20">
        <v>756.8</v>
      </c>
      <c r="E35" s="20">
        <f t="shared" si="0"/>
        <v>-212.4</v>
      </c>
      <c r="F35" s="20">
        <f t="shared" si="1"/>
        <v>78.099999999999994</v>
      </c>
    </row>
    <row r="36" spans="1:6" ht="15.75" x14ac:dyDescent="0.25">
      <c r="A36" s="10">
        <v>27</v>
      </c>
      <c r="B36" s="4" t="s">
        <v>83</v>
      </c>
      <c r="C36" s="20">
        <v>78.400000000000006</v>
      </c>
      <c r="D36" s="20">
        <v>73.2</v>
      </c>
      <c r="E36" s="20">
        <f t="shared" si="0"/>
        <v>-5.2</v>
      </c>
      <c r="F36" s="20">
        <f t="shared" si="1"/>
        <v>93.4</v>
      </c>
    </row>
    <row r="37" spans="1:6" ht="32.25" customHeight="1" x14ac:dyDescent="0.25">
      <c r="A37" s="10">
        <v>28</v>
      </c>
      <c r="B37" s="4" t="s">
        <v>87</v>
      </c>
      <c r="C37" s="20">
        <v>796.1</v>
      </c>
      <c r="D37" s="20">
        <v>795.8</v>
      </c>
      <c r="E37" s="20">
        <f t="shared" si="0"/>
        <v>-0.3</v>
      </c>
      <c r="F37" s="20">
        <f t="shared" si="1"/>
        <v>100</v>
      </c>
    </row>
    <row r="38" spans="1:6" ht="30" customHeight="1" x14ac:dyDescent="0.25">
      <c r="A38" s="10">
        <v>29</v>
      </c>
      <c r="B38" s="4" t="s">
        <v>86</v>
      </c>
      <c r="C38" s="20">
        <v>207.1</v>
      </c>
      <c r="D38" s="20">
        <v>206.9</v>
      </c>
      <c r="E38" s="20">
        <f t="shared" si="0"/>
        <v>-0.2</v>
      </c>
      <c r="F38" s="20">
        <f t="shared" si="1"/>
        <v>99.9</v>
      </c>
    </row>
    <row r="39" spans="1:6" ht="15.75" x14ac:dyDescent="0.25">
      <c r="A39" s="10">
        <v>30</v>
      </c>
      <c r="B39" s="4" t="s">
        <v>103</v>
      </c>
      <c r="C39" s="20">
        <v>69.8</v>
      </c>
      <c r="D39" s="20">
        <v>69.8</v>
      </c>
      <c r="E39" s="20">
        <f t="shared" si="0"/>
        <v>0</v>
      </c>
      <c r="F39" s="20">
        <f t="shared" si="1"/>
        <v>100</v>
      </c>
    </row>
    <row r="40" spans="1:6" ht="18" customHeight="1" x14ac:dyDescent="0.25">
      <c r="A40" s="10">
        <v>31</v>
      </c>
      <c r="B40" s="4" t="s">
        <v>73</v>
      </c>
      <c r="C40" s="20">
        <v>4.5</v>
      </c>
      <c r="D40" s="20">
        <v>4.4000000000000004</v>
      </c>
      <c r="E40" s="20">
        <f t="shared" si="0"/>
        <v>-0.1</v>
      </c>
      <c r="F40" s="20">
        <f t="shared" si="1"/>
        <v>97.8</v>
      </c>
    </row>
    <row r="41" spans="1:6" ht="15" customHeight="1" x14ac:dyDescent="0.25">
      <c r="A41" s="10">
        <v>32</v>
      </c>
      <c r="B41" s="4" t="s">
        <v>100</v>
      </c>
      <c r="C41" s="20">
        <v>46</v>
      </c>
      <c r="D41" s="20">
        <v>45.5</v>
      </c>
      <c r="E41" s="20">
        <f t="shared" si="0"/>
        <v>-0.5</v>
      </c>
      <c r="F41" s="20">
        <f t="shared" si="1"/>
        <v>98.9</v>
      </c>
    </row>
    <row r="42" spans="1:6" ht="15" customHeight="1" x14ac:dyDescent="0.25">
      <c r="A42" s="10">
        <v>33</v>
      </c>
      <c r="B42" s="9" t="s">
        <v>98</v>
      </c>
      <c r="C42" s="20">
        <v>46847.9</v>
      </c>
      <c r="D42" s="20">
        <v>46814.3</v>
      </c>
      <c r="E42" s="20">
        <f>D42-C42</f>
        <v>-33.6</v>
      </c>
      <c r="F42" s="20">
        <f t="shared" si="1"/>
        <v>99.9</v>
      </c>
    </row>
    <row r="43" spans="1:6" ht="16.5" customHeight="1" x14ac:dyDescent="0.25">
      <c r="A43" s="10">
        <v>34</v>
      </c>
      <c r="B43" s="9" t="s">
        <v>118</v>
      </c>
      <c r="C43" s="13">
        <v>1184.5</v>
      </c>
      <c r="D43" s="20">
        <f>D44+D45</f>
        <v>1160</v>
      </c>
      <c r="E43" s="20">
        <f t="shared" ref="E43:E67" si="2">D43-C43</f>
        <v>-24.5</v>
      </c>
      <c r="F43" s="20">
        <f t="shared" si="1"/>
        <v>97.9</v>
      </c>
    </row>
    <row r="44" spans="1:6" ht="14.25" customHeight="1" x14ac:dyDescent="0.25">
      <c r="A44" s="10">
        <v>35</v>
      </c>
      <c r="B44" s="9" t="s">
        <v>99</v>
      </c>
      <c r="C44" s="20">
        <v>1110.5</v>
      </c>
      <c r="D44" s="20">
        <v>1086.5</v>
      </c>
      <c r="E44" s="20">
        <f t="shared" si="2"/>
        <v>-24</v>
      </c>
      <c r="F44" s="20">
        <f t="shared" si="1"/>
        <v>97.8</v>
      </c>
    </row>
    <row r="45" spans="1:6" ht="15.75" x14ac:dyDescent="0.25">
      <c r="A45" s="10">
        <v>36</v>
      </c>
      <c r="B45" s="9" t="s">
        <v>22</v>
      </c>
      <c r="C45" s="20">
        <v>74</v>
      </c>
      <c r="D45" s="20">
        <v>73.5</v>
      </c>
      <c r="E45" s="20">
        <f t="shared" si="2"/>
        <v>-0.5</v>
      </c>
      <c r="F45" s="20">
        <f t="shared" si="1"/>
        <v>99.3</v>
      </c>
    </row>
    <row r="46" spans="1:6" ht="31.5" x14ac:dyDescent="0.25">
      <c r="A46" s="10">
        <v>37</v>
      </c>
      <c r="B46" s="9" t="s">
        <v>23</v>
      </c>
      <c r="C46" s="20">
        <v>0.9</v>
      </c>
      <c r="D46" s="20">
        <v>0.9</v>
      </c>
      <c r="E46" s="20">
        <f t="shared" si="2"/>
        <v>0</v>
      </c>
      <c r="F46" s="20">
        <f t="shared" si="1"/>
        <v>100</v>
      </c>
    </row>
    <row r="47" spans="1:6" ht="17.25" customHeight="1" x14ac:dyDescent="0.25">
      <c r="A47" s="10">
        <v>38</v>
      </c>
      <c r="B47" s="26" t="s">
        <v>158</v>
      </c>
      <c r="C47" s="14">
        <f>+SUM(C48:C67)</f>
        <v>16970.400000000001</v>
      </c>
      <c r="D47" s="19">
        <f>+SUM(D48:D67)</f>
        <v>16287.3</v>
      </c>
      <c r="E47" s="19">
        <f t="shared" si="2"/>
        <v>-683.1</v>
      </c>
      <c r="F47" s="19">
        <f t="shared" si="1"/>
        <v>96</v>
      </c>
    </row>
    <row r="48" spans="1:6" ht="48" customHeight="1" x14ac:dyDescent="0.25">
      <c r="A48" s="10">
        <v>39</v>
      </c>
      <c r="B48" s="9" t="s">
        <v>120</v>
      </c>
      <c r="C48" s="20">
        <v>120</v>
      </c>
      <c r="D48" s="20">
        <v>120</v>
      </c>
      <c r="E48" s="19">
        <f t="shared" si="2"/>
        <v>0</v>
      </c>
      <c r="F48" s="20">
        <f t="shared" si="1"/>
        <v>100</v>
      </c>
    </row>
    <row r="49" spans="1:6" ht="48" customHeight="1" x14ac:dyDescent="0.25">
      <c r="A49" s="10">
        <v>40</v>
      </c>
      <c r="B49" s="21" t="s">
        <v>133</v>
      </c>
      <c r="C49" s="20">
        <v>2851</v>
      </c>
      <c r="D49" s="20">
        <v>2700.8</v>
      </c>
      <c r="E49" s="20">
        <f t="shared" si="2"/>
        <v>-150.19999999999999</v>
      </c>
      <c r="F49" s="20">
        <f t="shared" si="1"/>
        <v>94.7</v>
      </c>
    </row>
    <row r="50" spans="1:6" ht="62.25" customHeight="1" x14ac:dyDescent="0.25">
      <c r="A50" s="10">
        <v>41</v>
      </c>
      <c r="B50" s="21" t="s">
        <v>134</v>
      </c>
      <c r="C50" s="20">
        <v>1600</v>
      </c>
      <c r="D50" s="20">
        <v>1600</v>
      </c>
      <c r="E50" s="20">
        <f t="shared" si="2"/>
        <v>0</v>
      </c>
      <c r="F50" s="20">
        <f t="shared" si="1"/>
        <v>100</v>
      </c>
    </row>
    <row r="51" spans="1:6" ht="48" customHeight="1" x14ac:dyDescent="0.25">
      <c r="A51" s="10">
        <v>42</v>
      </c>
      <c r="B51" s="9" t="s">
        <v>135</v>
      </c>
      <c r="C51" s="20">
        <v>537</v>
      </c>
      <c r="D51" s="20">
        <v>536</v>
      </c>
      <c r="E51" s="20">
        <f t="shared" si="2"/>
        <v>-1</v>
      </c>
      <c r="F51" s="20">
        <f t="shared" si="1"/>
        <v>99.8</v>
      </c>
    </row>
    <row r="52" spans="1:6" ht="31.5" x14ac:dyDescent="0.25">
      <c r="A52" s="10">
        <v>43</v>
      </c>
      <c r="B52" s="9" t="s">
        <v>141</v>
      </c>
      <c r="C52" s="20">
        <v>204.3</v>
      </c>
      <c r="D52" s="20">
        <v>203.2</v>
      </c>
      <c r="E52" s="20">
        <f t="shared" si="2"/>
        <v>-1.1000000000000001</v>
      </c>
      <c r="F52" s="20">
        <f t="shared" si="1"/>
        <v>99.5</v>
      </c>
    </row>
    <row r="53" spans="1:6" ht="31.5" x14ac:dyDescent="0.25">
      <c r="A53" s="10">
        <v>44</v>
      </c>
      <c r="B53" s="21" t="s">
        <v>157</v>
      </c>
      <c r="C53" s="20">
        <v>160</v>
      </c>
      <c r="D53" s="20">
        <v>158.6</v>
      </c>
      <c r="E53" s="20">
        <f t="shared" si="2"/>
        <v>-1.4</v>
      </c>
      <c r="F53" s="20">
        <f t="shared" si="1"/>
        <v>99.1</v>
      </c>
    </row>
    <row r="54" spans="1:6" ht="15.75" x14ac:dyDescent="0.25">
      <c r="A54" s="10">
        <v>45</v>
      </c>
      <c r="B54" s="21" t="s">
        <v>105</v>
      </c>
      <c r="C54" s="20">
        <v>385.6</v>
      </c>
      <c r="D54" s="20">
        <v>385.5</v>
      </c>
      <c r="E54" s="20">
        <f t="shared" si="2"/>
        <v>-0.1</v>
      </c>
      <c r="F54" s="20">
        <f t="shared" si="1"/>
        <v>100</v>
      </c>
    </row>
    <row r="55" spans="1:6" ht="31.5" x14ac:dyDescent="0.25">
      <c r="A55" s="10">
        <v>46</v>
      </c>
      <c r="B55" s="9" t="s">
        <v>122</v>
      </c>
      <c r="C55" s="20">
        <v>30.3</v>
      </c>
      <c r="D55" s="20">
        <v>29.3</v>
      </c>
      <c r="E55" s="20">
        <f t="shared" si="2"/>
        <v>-1</v>
      </c>
      <c r="F55" s="20">
        <f t="shared" si="1"/>
        <v>96.7</v>
      </c>
    </row>
    <row r="56" spans="1:6" ht="31.5" x14ac:dyDescent="0.25">
      <c r="A56" s="10">
        <v>47</v>
      </c>
      <c r="B56" s="9" t="s">
        <v>123</v>
      </c>
      <c r="C56" s="20">
        <v>50</v>
      </c>
      <c r="D56" s="20">
        <v>47.2</v>
      </c>
      <c r="E56" s="20">
        <f t="shared" si="2"/>
        <v>-2.8</v>
      </c>
      <c r="F56" s="20">
        <f t="shared" si="1"/>
        <v>94.4</v>
      </c>
    </row>
    <row r="57" spans="1:6" ht="47.25" x14ac:dyDescent="0.25">
      <c r="A57" s="10">
        <v>48</v>
      </c>
      <c r="B57" s="9" t="s">
        <v>124</v>
      </c>
      <c r="C57" s="20">
        <v>7420.2</v>
      </c>
      <c r="D57" s="20">
        <v>7142.3</v>
      </c>
      <c r="E57" s="20">
        <f t="shared" si="2"/>
        <v>-277.89999999999998</v>
      </c>
      <c r="F57" s="20">
        <f t="shared" si="1"/>
        <v>96.3</v>
      </c>
    </row>
    <row r="58" spans="1:6" ht="63" x14ac:dyDescent="0.25">
      <c r="A58" s="10">
        <v>49</v>
      </c>
      <c r="B58" s="9" t="s">
        <v>129</v>
      </c>
      <c r="C58" s="20">
        <v>187.9</v>
      </c>
      <c r="D58" s="20">
        <v>187.8</v>
      </c>
      <c r="E58" s="20">
        <f t="shared" si="2"/>
        <v>-0.1</v>
      </c>
      <c r="F58" s="20">
        <f t="shared" si="1"/>
        <v>99.9</v>
      </c>
    </row>
    <row r="59" spans="1:6" ht="31.5" x14ac:dyDescent="0.25">
      <c r="A59" s="10">
        <v>50</v>
      </c>
      <c r="B59" s="21" t="s">
        <v>138</v>
      </c>
      <c r="C59" s="20">
        <v>518.29999999999995</v>
      </c>
      <c r="D59" s="20">
        <v>518.29999999999995</v>
      </c>
      <c r="E59" s="20">
        <f t="shared" si="2"/>
        <v>0</v>
      </c>
      <c r="F59" s="20">
        <f t="shared" si="1"/>
        <v>100</v>
      </c>
    </row>
    <row r="60" spans="1:6" ht="31.5" x14ac:dyDescent="0.25">
      <c r="A60" s="10">
        <v>51</v>
      </c>
      <c r="B60" s="9" t="s">
        <v>136</v>
      </c>
      <c r="C60" s="20">
        <v>30</v>
      </c>
      <c r="D60" s="20"/>
      <c r="E60" s="20">
        <f t="shared" si="2"/>
        <v>-30</v>
      </c>
      <c r="F60" s="20">
        <f t="shared" si="1"/>
        <v>0</v>
      </c>
    </row>
    <row r="61" spans="1:6" ht="31.5" x14ac:dyDescent="0.25">
      <c r="A61" s="10">
        <v>52</v>
      </c>
      <c r="B61" s="21" t="s">
        <v>131</v>
      </c>
      <c r="C61" s="20">
        <v>304.8</v>
      </c>
      <c r="D61" s="20">
        <v>299</v>
      </c>
      <c r="E61" s="20">
        <f t="shared" si="2"/>
        <v>-5.8</v>
      </c>
      <c r="F61" s="20">
        <f t="shared" si="1"/>
        <v>98.1</v>
      </c>
    </row>
    <row r="62" spans="1:6" ht="47.25" x14ac:dyDescent="0.25">
      <c r="A62" s="10">
        <v>53</v>
      </c>
      <c r="B62" s="21" t="s">
        <v>148</v>
      </c>
      <c r="C62" s="20">
        <v>400</v>
      </c>
      <c r="D62" s="20">
        <v>399.3</v>
      </c>
      <c r="E62" s="20">
        <f t="shared" si="2"/>
        <v>-0.7</v>
      </c>
      <c r="F62" s="20">
        <f t="shared" si="1"/>
        <v>99.8</v>
      </c>
    </row>
    <row r="63" spans="1:6" s="3" customFormat="1" ht="47.25" x14ac:dyDescent="0.25">
      <c r="A63" s="10">
        <v>54</v>
      </c>
      <c r="B63" s="21" t="s">
        <v>152</v>
      </c>
      <c r="C63" s="20">
        <v>1142.8</v>
      </c>
      <c r="D63" s="20">
        <v>1139.4000000000001</v>
      </c>
      <c r="E63" s="20">
        <f t="shared" si="2"/>
        <v>-3.4</v>
      </c>
      <c r="F63" s="20">
        <f t="shared" si="1"/>
        <v>99.7</v>
      </c>
    </row>
    <row r="64" spans="1:6" ht="31.5" x14ac:dyDescent="0.25">
      <c r="A64" s="10">
        <v>55</v>
      </c>
      <c r="B64" s="21" t="s">
        <v>144</v>
      </c>
      <c r="C64" s="20">
        <v>927.5</v>
      </c>
      <c r="D64" s="20">
        <v>720.7</v>
      </c>
      <c r="E64" s="20">
        <f t="shared" si="2"/>
        <v>-206.8</v>
      </c>
      <c r="F64" s="20">
        <f t="shared" si="1"/>
        <v>77.7</v>
      </c>
    </row>
    <row r="65" spans="1:6" ht="15.75" x14ac:dyDescent="0.25">
      <c r="A65" s="10">
        <v>56</v>
      </c>
      <c r="B65" s="21" t="s">
        <v>146</v>
      </c>
      <c r="C65" s="20">
        <v>47</v>
      </c>
      <c r="D65" s="20">
        <v>46.6</v>
      </c>
      <c r="E65" s="20">
        <f t="shared" si="2"/>
        <v>-0.4</v>
      </c>
      <c r="F65" s="20">
        <f t="shared" si="1"/>
        <v>99.1</v>
      </c>
    </row>
    <row r="66" spans="1:6" ht="31.5" x14ac:dyDescent="0.25">
      <c r="A66" s="10">
        <v>57</v>
      </c>
      <c r="B66" s="21" t="s">
        <v>149</v>
      </c>
      <c r="C66" s="20">
        <v>28.1</v>
      </c>
      <c r="D66" s="20">
        <v>28.1</v>
      </c>
      <c r="E66" s="20">
        <f t="shared" si="2"/>
        <v>0</v>
      </c>
      <c r="F66" s="20">
        <f t="shared" si="1"/>
        <v>100</v>
      </c>
    </row>
    <row r="67" spans="1:6" ht="31.5" x14ac:dyDescent="0.25">
      <c r="A67" s="10">
        <v>58</v>
      </c>
      <c r="B67" s="21" t="s">
        <v>151</v>
      </c>
      <c r="C67" s="20">
        <v>25.6</v>
      </c>
      <c r="D67" s="20">
        <v>25.2</v>
      </c>
      <c r="E67" s="20">
        <f t="shared" si="2"/>
        <v>-0.4</v>
      </c>
      <c r="F67" s="20">
        <f t="shared" si="1"/>
        <v>98.4</v>
      </c>
    </row>
    <row r="68" spans="1:6" ht="15.75" x14ac:dyDescent="0.25">
      <c r="A68" s="10">
        <v>59</v>
      </c>
      <c r="B68" s="8" t="s">
        <v>160</v>
      </c>
      <c r="C68" s="14">
        <f>+SUM(C69:C79)</f>
        <v>19370.7</v>
      </c>
      <c r="D68" s="19">
        <f>+SUM(D69:D79)</f>
        <v>18197.5</v>
      </c>
      <c r="E68" s="19">
        <f>D68-C68</f>
        <v>-1173.2</v>
      </c>
      <c r="F68" s="19">
        <f t="shared" si="1"/>
        <v>93.9</v>
      </c>
    </row>
    <row r="69" spans="1:6" ht="15.75" x14ac:dyDescent="0.25">
      <c r="A69" s="10">
        <v>60</v>
      </c>
      <c r="B69" s="9" t="s">
        <v>161</v>
      </c>
      <c r="C69" s="20"/>
      <c r="D69" s="20">
        <v>1.7</v>
      </c>
      <c r="E69" s="20">
        <f>D69-C69</f>
        <v>1.7</v>
      </c>
      <c r="F69" s="20"/>
    </row>
    <row r="70" spans="1:6" ht="15.75" x14ac:dyDescent="0.25">
      <c r="A70" s="10">
        <v>61</v>
      </c>
      <c r="B70" s="9" t="s">
        <v>24</v>
      </c>
      <c r="C70" s="20">
        <v>932</v>
      </c>
      <c r="D70" s="20">
        <v>717</v>
      </c>
      <c r="E70" s="20">
        <f t="shared" ref="E70:E85" si="3">D70-C70</f>
        <v>-215</v>
      </c>
      <c r="F70" s="20">
        <f t="shared" si="1"/>
        <v>76.900000000000006</v>
      </c>
    </row>
    <row r="71" spans="1:6" ht="15" customHeight="1" x14ac:dyDescent="0.25">
      <c r="A71" s="10">
        <v>62</v>
      </c>
      <c r="B71" s="9" t="s">
        <v>71</v>
      </c>
      <c r="C71" s="20">
        <v>2070</v>
      </c>
      <c r="D71" s="20">
        <v>2194.5</v>
      </c>
      <c r="E71" s="20">
        <f t="shared" si="3"/>
        <v>124.5</v>
      </c>
      <c r="F71" s="20">
        <f t="shared" si="1"/>
        <v>106</v>
      </c>
    </row>
    <row r="72" spans="1:6" ht="15.75" customHeight="1" x14ac:dyDescent="0.25">
      <c r="A72" s="10">
        <v>63</v>
      </c>
      <c r="B72" s="9" t="s">
        <v>25</v>
      </c>
      <c r="C72" s="20">
        <v>120</v>
      </c>
      <c r="D72" s="20">
        <v>154.6</v>
      </c>
      <c r="E72" s="20">
        <f t="shared" si="3"/>
        <v>34.6</v>
      </c>
      <c r="F72" s="20">
        <f t="shared" si="1"/>
        <v>128.80000000000001</v>
      </c>
    </row>
    <row r="73" spans="1:6" ht="15.75" x14ac:dyDescent="0.25">
      <c r="A73" s="10">
        <v>64</v>
      </c>
      <c r="B73" s="9" t="s">
        <v>26</v>
      </c>
      <c r="C73" s="20">
        <v>1468.9</v>
      </c>
      <c r="D73" s="20">
        <v>860</v>
      </c>
      <c r="E73" s="20">
        <f t="shared" si="3"/>
        <v>-608.9</v>
      </c>
      <c r="F73" s="20">
        <f t="shared" si="1"/>
        <v>58.5</v>
      </c>
    </row>
    <row r="74" spans="1:6" ht="15.75" x14ac:dyDescent="0.25">
      <c r="A74" s="10">
        <v>65</v>
      </c>
      <c r="B74" s="9" t="s">
        <v>78</v>
      </c>
      <c r="C74" s="20">
        <v>1360.3</v>
      </c>
      <c r="D74" s="20">
        <v>1409.7</v>
      </c>
      <c r="E74" s="20">
        <f t="shared" si="3"/>
        <v>49.4</v>
      </c>
      <c r="F74" s="20">
        <f t="shared" si="1"/>
        <v>103.6</v>
      </c>
    </row>
    <row r="75" spans="1:6" ht="15.75" x14ac:dyDescent="0.25">
      <c r="A75" s="10">
        <v>66</v>
      </c>
      <c r="B75" s="9" t="s">
        <v>27</v>
      </c>
      <c r="C75" s="20">
        <v>5287.1</v>
      </c>
      <c r="D75" s="20">
        <v>4270.3999999999996</v>
      </c>
      <c r="E75" s="20">
        <f t="shared" si="3"/>
        <v>-1016.7</v>
      </c>
      <c r="F75" s="20">
        <f t="shared" ref="F75:F85" si="4">+D75/C75*100</f>
        <v>80.8</v>
      </c>
    </row>
    <row r="76" spans="1:6" ht="15" customHeight="1" x14ac:dyDescent="0.25">
      <c r="A76" s="10">
        <v>67</v>
      </c>
      <c r="B76" s="9" t="s">
        <v>11</v>
      </c>
      <c r="C76" s="20">
        <v>117</v>
      </c>
      <c r="D76" s="20">
        <v>135.9</v>
      </c>
      <c r="E76" s="20">
        <f t="shared" si="3"/>
        <v>18.899999999999999</v>
      </c>
      <c r="F76" s="20">
        <f t="shared" si="4"/>
        <v>116.2</v>
      </c>
    </row>
    <row r="77" spans="1:6" ht="15.75" x14ac:dyDescent="0.25">
      <c r="A77" s="10">
        <v>68</v>
      </c>
      <c r="B77" s="9" t="s">
        <v>12</v>
      </c>
      <c r="C77" s="20">
        <v>7348.4</v>
      </c>
      <c r="D77" s="20">
        <v>7081.3</v>
      </c>
      <c r="E77" s="20">
        <f t="shared" si="3"/>
        <v>-267.10000000000002</v>
      </c>
      <c r="F77" s="20">
        <f t="shared" si="4"/>
        <v>96.4</v>
      </c>
    </row>
    <row r="78" spans="1:6" ht="15.75" x14ac:dyDescent="0.25">
      <c r="A78" s="10">
        <v>69</v>
      </c>
      <c r="B78" s="9" t="s">
        <v>102</v>
      </c>
      <c r="C78" s="20">
        <v>400</v>
      </c>
      <c r="D78" s="20">
        <v>778.5</v>
      </c>
      <c r="E78" s="20">
        <f t="shared" si="3"/>
        <v>378.5</v>
      </c>
      <c r="F78" s="20">
        <f t="shared" si="4"/>
        <v>194.6</v>
      </c>
    </row>
    <row r="79" spans="1:6" ht="15.75" x14ac:dyDescent="0.25">
      <c r="A79" s="10">
        <v>70</v>
      </c>
      <c r="B79" s="9" t="s">
        <v>72</v>
      </c>
      <c r="C79" s="20">
        <v>267</v>
      </c>
      <c r="D79" s="20">
        <v>593.9</v>
      </c>
      <c r="E79" s="20">
        <f t="shared" si="3"/>
        <v>326.89999999999998</v>
      </c>
      <c r="F79" s="13" t="s">
        <v>231</v>
      </c>
    </row>
    <row r="80" spans="1:6" ht="31.5" x14ac:dyDescent="0.25">
      <c r="A80" s="10">
        <v>71</v>
      </c>
      <c r="B80" s="8" t="s">
        <v>162</v>
      </c>
      <c r="C80" s="19">
        <v>1408</v>
      </c>
      <c r="D80" s="19">
        <f>D81</f>
        <v>2020.9</v>
      </c>
      <c r="E80" s="19">
        <f t="shared" si="3"/>
        <v>612.9</v>
      </c>
      <c r="F80" s="19">
        <f t="shared" si="4"/>
        <v>143.5</v>
      </c>
    </row>
    <row r="81" spans="1:6" ht="15.75" x14ac:dyDescent="0.25">
      <c r="A81" s="10">
        <v>72</v>
      </c>
      <c r="B81" s="8" t="s">
        <v>173</v>
      </c>
      <c r="C81" s="19">
        <f>+SUM(C82:C84)</f>
        <v>1408</v>
      </c>
      <c r="D81" s="19">
        <f>+SUM(D82:D84)</f>
        <v>2020.9</v>
      </c>
      <c r="E81" s="19">
        <f t="shared" si="3"/>
        <v>612.9</v>
      </c>
      <c r="F81" s="19">
        <f t="shared" si="4"/>
        <v>143.5</v>
      </c>
    </row>
    <row r="82" spans="1:6" ht="15.75" x14ac:dyDescent="0.25">
      <c r="A82" s="10">
        <v>73</v>
      </c>
      <c r="B82" s="9" t="s">
        <v>79</v>
      </c>
      <c r="C82" s="20">
        <v>958</v>
      </c>
      <c r="D82" s="20">
        <v>726.9</v>
      </c>
      <c r="E82" s="20">
        <f t="shared" si="3"/>
        <v>-231.1</v>
      </c>
      <c r="F82" s="20">
        <f t="shared" si="4"/>
        <v>75.900000000000006</v>
      </c>
    </row>
    <row r="83" spans="1:6" ht="15.75" x14ac:dyDescent="0.25">
      <c r="A83" s="10">
        <v>74</v>
      </c>
      <c r="B83" s="9" t="s">
        <v>80</v>
      </c>
      <c r="C83" s="20">
        <v>450</v>
      </c>
      <c r="D83" s="20">
        <v>1290</v>
      </c>
      <c r="E83" s="20">
        <f t="shared" si="3"/>
        <v>840</v>
      </c>
      <c r="F83" s="13" t="s">
        <v>230</v>
      </c>
    </row>
    <row r="84" spans="1:6" ht="15.75" x14ac:dyDescent="0.25">
      <c r="A84" s="10">
        <v>75</v>
      </c>
      <c r="B84" s="9" t="s">
        <v>163</v>
      </c>
      <c r="C84" s="20"/>
      <c r="D84" s="20">
        <v>4</v>
      </c>
      <c r="E84" s="20">
        <f t="shared" si="3"/>
        <v>4</v>
      </c>
      <c r="F84" s="19"/>
    </row>
    <row r="85" spans="1:6" ht="15.75" x14ac:dyDescent="0.25">
      <c r="A85" s="10">
        <v>76</v>
      </c>
      <c r="B85" s="8" t="s">
        <v>164</v>
      </c>
      <c r="C85" s="19">
        <v>222745</v>
      </c>
      <c r="D85" s="19">
        <f>D10+D16+D68+D80</f>
        <v>216977.7</v>
      </c>
      <c r="E85" s="19">
        <f t="shared" si="3"/>
        <v>-5767.3</v>
      </c>
      <c r="F85" s="19">
        <f t="shared" si="4"/>
        <v>97.4</v>
      </c>
    </row>
    <row r="87" spans="1:6" x14ac:dyDescent="0.2">
      <c r="E87" s="30"/>
    </row>
  </sheetData>
  <mergeCells count="3">
    <mergeCell ref="A5:F5"/>
    <mergeCell ref="C1:D1"/>
    <mergeCell ref="C3:D3"/>
  </mergeCells>
  <pageMargins left="1.1023622047244095" right="0.39370078740157483" top="0.7480314960629921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showZeros="0" zoomScale="84" zoomScaleNormal="84" workbookViewId="0">
      <pane xSplit="2" ySplit="6" topLeftCell="C12" activePane="bottomRight" state="frozen"/>
      <selection pane="topRight" activeCell="D1" sqref="D1"/>
      <selection pane="bottomLeft" activeCell="A7" sqref="A7"/>
      <selection pane="bottomRight" activeCell="O76" sqref="O76"/>
    </sheetView>
  </sheetViews>
  <sheetFormatPr defaultColWidth="10.140625" defaultRowHeight="15" x14ac:dyDescent="0.2"/>
  <cols>
    <col min="1" max="1" width="6.28515625" style="11" customWidth="1"/>
    <col min="2" max="2" width="44" style="2" customWidth="1"/>
    <col min="3" max="3" width="10.7109375" style="53" customWidth="1"/>
    <col min="4" max="4" width="10.5703125" style="2" customWidth="1"/>
    <col min="5" max="5" width="10.7109375" style="2" bestFit="1" customWidth="1"/>
    <col min="6" max="6" width="9.42578125" style="2" customWidth="1"/>
    <col min="7" max="7" width="10.5703125" style="2" customWidth="1"/>
    <col min="8" max="8" width="10.28515625" style="2" customWidth="1"/>
    <col min="9" max="9" width="10.5703125" style="2" customWidth="1"/>
    <col min="10" max="10" width="11.140625" style="2" customWidth="1"/>
    <col min="11" max="11" width="10.28515625" style="2" customWidth="1"/>
    <col min="12" max="12" width="10.28515625" style="2" bestFit="1" customWidth="1"/>
    <col min="13" max="199" width="10.140625" style="2"/>
    <col min="200" max="200" width="6" style="2" customWidth="1"/>
    <col min="201" max="201" width="44" style="2" customWidth="1"/>
    <col min="202" max="202" width="10.7109375" style="2" customWidth="1"/>
    <col min="203" max="203" width="10.140625" style="2" customWidth="1"/>
    <col min="204" max="204" width="10.7109375" style="2" customWidth="1"/>
    <col min="205" max="205" width="11.85546875" style="2" customWidth="1"/>
    <col min="206" max="455" width="10.140625" style="2"/>
    <col min="456" max="456" width="6" style="2" customWidth="1"/>
    <col min="457" max="457" width="44" style="2" customWidth="1"/>
    <col min="458" max="458" width="10.7109375" style="2" customWidth="1"/>
    <col min="459" max="459" width="10.140625" style="2" customWidth="1"/>
    <col min="460" max="460" width="10.7109375" style="2" customWidth="1"/>
    <col min="461" max="461" width="11.85546875" style="2" customWidth="1"/>
    <col min="462" max="711" width="10.140625" style="2"/>
    <col min="712" max="712" width="6" style="2" customWidth="1"/>
    <col min="713" max="713" width="44" style="2" customWidth="1"/>
    <col min="714" max="714" width="10.7109375" style="2" customWidth="1"/>
    <col min="715" max="715" width="10.140625" style="2" customWidth="1"/>
    <col min="716" max="716" width="10.7109375" style="2" customWidth="1"/>
    <col min="717" max="717" width="11.85546875" style="2" customWidth="1"/>
    <col min="718" max="967" width="10.140625" style="2"/>
    <col min="968" max="968" width="6" style="2" customWidth="1"/>
    <col min="969" max="969" width="44" style="2" customWidth="1"/>
    <col min="970" max="970" width="10.7109375" style="2" customWidth="1"/>
    <col min="971" max="971" width="10.140625" style="2" customWidth="1"/>
    <col min="972" max="972" width="10.7109375" style="2" customWidth="1"/>
    <col min="973" max="973" width="11.85546875" style="2" customWidth="1"/>
    <col min="974" max="1223" width="10.140625" style="2"/>
    <col min="1224" max="1224" width="6" style="2" customWidth="1"/>
    <col min="1225" max="1225" width="44" style="2" customWidth="1"/>
    <col min="1226" max="1226" width="10.7109375" style="2" customWidth="1"/>
    <col min="1227" max="1227" width="10.140625" style="2" customWidth="1"/>
    <col min="1228" max="1228" width="10.7109375" style="2" customWidth="1"/>
    <col min="1229" max="1229" width="11.85546875" style="2" customWidth="1"/>
    <col min="1230" max="1479" width="10.140625" style="2"/>
    <col min="1480" max="1480" width="6" style="2" customWidth="1"/>
    <col min="1481" max="1481" width="44" style="2" customWidth="1"/>
    <col min="1482" max="1482" width="10.7109375" style="2" customWidth="1"/>
    <col min="1483" max="1483" width="10.140625" style="2" customWidth="1"/>
    <col min="1484" max="1484" width="10.7109375" style="2" customWidth="1"/>
    <col min="1485" max="1485" width="11.85546875" style="2" customWidth="1"/>
    <col min="1486" max="1735" width="10.140625" style="2"/>
    <col min="1736" max="1736" width="6" style="2" customWidth="1"/>
    <col min="1737" max="1737" width="44" style="2" customWidth="1"/>
    <col min="1738" max="1738" width="10.7109375" style="2" customWidth="1"/>
    <col min="1739" max="1739" width="10.140625" style="2" customWidth="1"/>
    <col min="1740" max="1740" width="10.7109375" style="2" customWidth="1"/>
    <col min="1741" max="1741" width="11.85546875" style="2" customWidth="1"/>
    <col min="1742" max="1991" width="10.140625" style="2"/>
    <col min="1992" max="1992" width="6" style="2" customWidth="1"/>
    <col min="1993" max="1993" width="44" style="2" customWidth="1"/>
    <col min="1994" max="1994" width="10.7109375" style="2" customWidth="1"/>
    <col min="1995" max="1995" width="10.140625" style="2" customWidth="1"/>
    <col min="1996" max="1996" width="10.7109375" style="2" customWidth="1"/>
    <col min="1997" max="1997" width="11.85546875" style="2" customWidth="1"/>
    <col min="1998" max="2247" width="10.140625" style="2"/>
    <col min="2248" max="2248" width="6" style="2" customWidth="1"/>
    <col min="2249" max="2249" width="44" style="2" customWidth="1"/>
    <col min="2250" max="2250" width="10.7109375" style="2" customWidth="1"/>
    <col min="2251" max="2251" width="10.140625" style="2" customWidth="1"/>
    <col min="2252" max="2252" width="10.7109375" style="2" customWidth="1"/>
    <col min="2253" max="2253" width="11.85546875" style="2" customWidth="1"/>
    <col min="2254" max="2503" width="10.140625" style="2"/>
    <col min="2504" max="2504" width="6" style="2" customWidth="1"/>
    <col min="2505" max="2505" width="44" style="2" customWidth="1"/>
    <col min="2506" max="2506" width="10.7109375" style="2" customWidth="1"/>
    <col min="2507" max="2507" width="10.140625" style="2" customWidth="1"/>
    <col min="2508" max="2508" width="10.7109375" style="2" customWidth="1"/>
    <col min="2509" max="2509" width="11.85546875" style="2" customWidth="1"/>
    <col min="2510" max="2759" width="10.140625" style="2"/>
    <col min="2760" max="2760" width="6" style="2" customWidth="1"/>
    <col min="2761" max="2761" width="44" style="2" customWidth="1"/>
    <col min="2762" max="2762" width="10.7109375" style="2" customWidth="1"/>
    <col min="2763" max="2763" width="10.140625" style="2" customWidth="1"/>
    <col min="2764" max="2764" width="10.7109375" style="2" customWidth="1"/>
    <col min="2765" max="2765" width="11.85546875" style="2" customWidth="1"/>
    <col min="2766" max="3015" width="10.140625" style="2"/>
    <col min="3016" max="3016" width="6" style="2" customWidth="1"/>
    <col min="3017" max="3017" width="44" style="2" customWidth="1"/>
    <col min="3018" max="3018" width="10.7109375" style="2" customWidth="1"/>
    <col min="3019" max="3019" width="10.140625" style="2" customWidth="1"/>
    <col min="3020" max="3020" width="10.7109375" style="2" customWidth="1"/>
    <col min="3021" max="3021" width="11.85546875" style="2" customWidth="1"/>
    <col min="3022" max="3271" width="10.140625" style="2"/>
    <col min="3272" max="3272" width="6" style="2" customWidth="1"/>
    <col min="3273" max="3273" width="44" style="2" customWidth="1"/>
    <col min="3274" max="3274" width="10.7109375" style="2" customWidth="1"/>
    <col min="3275" max="3275" width="10.140625" style="2" customWidth="1"/>
    <col min="3276" max="3276" width="10.7109375" style="2" customWidth="1"/>
    <col min="3277" max="3277" width="11.85546875" style="2" customWidth="1"/>
    <col min="3278" max="3527" width="10.140625" style="2"/>
    <col min="3528" max="3528" width="6" style="2" customWidth="1"/>
    <col min="3529" max="3529" width="44" style="2" customWidth="1"/>
    <col min="3530" max="3530" width="10.7109375" style="2" customWidth="1"/>
    <col min="3531" max="3531" width="10.140625" style="2" customWidth="1"/>
    <col min="3532" max="3532" width="10.7109375" style="2" customWidth="1"/>
    <col min="3533" max="3533" width="11.85546875" style="2" customWidth="1"/>
    <col min="3534" max="3783" width="10.140625" style="2"/>
    <col min="3784" max="3784" width="6" style="2" customWidth="1"/>
    <col min="3785" max="3785" width="44" style="2" customWidth="1"/>
    <col min="3786" max="3786" width="10.7109375" style="2" customWidth="1"/>
    <col min="3787" max="3787" width="10.140625" style="2" customWidth="1"/>
    <col min="3788" max="3788" width="10.7109375" style="2" customWidth="1"/>
    <col min="3789" max="3789" width="11.85546875" style="2" customWidth="1"/>
    <col min="3790" max="4039" width="10.140625" style="2"/>
    <col min="4040" max="4040" width="6" style="2" customWidth="1"/>
    <col min="4041" max="4041" width="44" style="2" customWidth="1"/>
    <col min="4042" max="4042" width="10.7109375" style="2" customWidth="1"/>
    <col min="4043" max="4043" width="10.140625" style="2" customWidth="1"/>
    <col min="4044" max="4044" width="10.7109375" style="2" customWidth="1"/>
    <col min="4045" max="4045" width="11.85546875" style="2" customWidth="1"/>
    <col min="4046" max="4295" width="10.140625" style="2"/>
    <col min="4296" max="4296" width="6" style="2" customWidth="1"/>
    <col min="4297" max="4297" width="44" style="2" customWidth="1"/>
    <col min="4298" max="4298" width="10.7109375" style="2" customWidth="1"/>
    <col min="4299" max="4299" width="10.140625" style="2" customWidth="1"/>
    <col min="4300" max="4300" width="10.7109375" style="2" customWidth="1"/>
    <col min="4301" max="4301" width="11.85546875" style="2" customWidth="1"/>
    <col min="4302" max="4551" width="10.140625" style="2"/>
    <col min="4552" max="4552" width="6" style="2" customWidth="1"/>
    <col min="4553" max="4553" width="44" style="2" customWidth="1"/>
    <col min="4554" max="4554" width="10.7109375" style="2" customWidth="1"/>
    <col min="4555" max="4555" width="10.140625" style="2" customWidth="1"/>
    <col min="4556" max="4556" width="10.7109375" style="2" customWidth="1"/>
    <col min="4557" max="4557" width="11.85546875" style="2" customWidth="1"/>
    <col min="4558" max="4807" width="10.140625" style="2"/>
    <col min="4808" max="4808" width="6" style="2" customWidth="1"/>
    <col min="4809" max="4809" width="44" style="2" customWidth="1"/>
    <col min="4810" max="4810" width="10.7109375" style="2" customWidth="1"/>
    <col min="4811" max="4811" width="10.140625" style="2" customWidth="1"/>
    <col min="4812" max="4812" width="10.7109375" style="2" customWidth="1"/>
    <col min="4813" max="4813" width="11.85546875" style="2" customWidth="1"/>
    <col min="4814" max="5063" width="10.140625" style="2"/>
    <col min="5064" max="5064" width="6" style="2" customWidth="1"/>
    <col min="5065" max="5065" width="44" style="2" customWidth="1"/>
    <col min="5066" max="5066" width="10.7109375" style="2" customWidth="1"/>
    <col min="5067" max="5067" width="10.140625" style="2" customWidth="1"/>
    <col min="5068" max="5068" width="10.7109375" style="2" customWidth="1"/>
    <col min="5069" max="5069" width="11.85546875" style="2" customWidth="1"/>
    <col min="5070" max="5319" width="10.140625" style="2"/>
    <col min="5320" max="5320" width="6" style="2" customWidth="1"/>
    <col min="5321" max="5321" width="44" style="2" customWidth="1"/>
    <col min="5322" max="5322" width="10.7109375" style="2" customWidth="1"/>
    <col min="5323" max="5323" width="10.140625" style="2" customWidth="1"/>
    <col min="5324" max="5324" width="10.7109375" style="2" customWidth="1"/>
    <col min="5325" max="5325" width="11.85546875" style="2" customWidth="1"/>
    <col min="5326" max="5575" width="10.140625" style="2"/>
    <col min="5576" max="5576" width="6" style="2" customWidth="1"/>
    <col min="5577" max="5577" width="44" style="2" customWidth="1"/>
    <col min="5578" max="5578" width="10.7109375" style="2" customWidth="1"/>
    <col min="5579" max="5579" width="10.140625" style="2" customWidth="1"/>
    <col min="5580" max="5580" width="10.7109375" style="2" customWidth="1"/>
    <col min="5581" max="5581" width="11.85546875" style="2" customWidth="1"/>
    <col min="5582" max="5831" width="10.140625" style="2"/>
    <col min="5832" max="5832" width="6" style="2" customWidth="1"/>
    <col min="5833" max="5833" width="44" style="2" customWidth="1"/>
    <col min="5834" max="5834" width="10.7109375" style="2" customWidth="1"/>
    <col min="5835" max="5835" width="10.140625" style="2" customWidth="1"/>
    <col min="5836" max="5836" width="10.7109375" style="2" customWidth="1"/>
    <col min="5837" max="5837" width="11.85546875" style="2" customWidth="1"/>
    <col min="5838" max="6087" width="10.140625" style="2"/>
    <col min="6088" max="6088" width="6" style="2" customWidth="1"/>
    <col min="6089" max="6089" width="44" style="2" customWidth="1"/>
    <col min="6090" max="6090" width="10.7109375" style="2" customWidth="1"/>
    <col min="6091" max="6091" width="10.140625" style="2" customWidth="1"/>
    <col min="6092" max="6092" width="10.7109375" style="2" customWidth="1"/>
    <col min="6093" max="6093" width="11.85546875" style="2" customWidth="1"/>
    <col min="6094" max="6343" width="10.140625" style="2"/>
    <col min="6344" max="6344" width="6" style="2" customWidth="1"/>
    <col min="6345" max="6345" width="44" style="2" customWidth="1"/>
    <col min="6346" max="6346" width="10.7109375" style="2" customWidth="1"/>
    <col min="6347" max="6347" width="10.140625" style="2" customWidth="1"/>
    <col min="6348" max="6348" width="10.7109375" style="2" customWidth="1"/>
    <col min="6349" max="6349" width="11.85546875" style="2" customWidth="1"/>
    <col min="6350" max="6599" width="10.140625" style="2"/>
    <col min="6600" max="6600" width="6" style="2" customWidth="1"/>
    <col min="6601" max="6601" width="44" style="2" customWidth="1"/>
    <col min="6602" max="6602" width="10.7109375" style="2" customWidth="1"/>
    <col min="6603" max="6603" width="10.140625" style="2" customWidth="1"/>
    <col min="6604" max="6604" width="10.7109375" style="2" customWidth="1"/>
    <col min="6605" max="6605" width="11.85546875" style="2" customWidth="1"/>
    <col min="6606" max="6855" width="10.140625" style="2"/>
    <col min="6856" max="6856" width="6" style="2" customWidth="1"/>
    <col min="6857" max="6857" width="44" style="2" customWidth="1"/>
    <col min="6858" max="6858" width="10.7109375" style="2" customWidth="1"/>
    <col min="6859" max="6859" width="10.140625" style="2" customWidth="1"/>
    <col min="6860" max="6860" width="10.7109375" style="2" customWidth="1"/>
    <col min="6861" max="6861" width="11.85546875" style="2" customWidth="1"/>
    <col min="6862" max="7111" width="10.140625" style="2"/>
    <col min="7112" max="7112" width="6" style="2" customWidth="1"/>
    <col min="7113" max="7113" width="44" style="2" customWidth="1"/>
    <col min="7114" max="7114" width="10.7109375" style="2" customWidth="1"/>
    <col min="7115" max="7115" width="10.140625" style="2" customWidth="1"/>
    <col min="7116" max="7116" width="10.7109375" style="2" customWidth="1"/>
    <col min="7117" max="7117" width="11.85546875" style="2" customWidth="1"/>
    <col min="7118" max="7367" width="10.140625" style="2"/>
    <col min="7368" max="7368" width="6" style="2" customWidth="1"/>
    <col min="7369" max="7369" width="44" style="2" customWidth="1"/>
    <col min="7370" max="7370" width="10.7109375" style="2" customWidth="1"/>
    <col min="7371" max="7371" width="10.140625" style="2" customWidth="1"/>
    <col min="7372" max="7372" width="10.7109375" style="2" customWidth="1"/>
    <col min="7373" max="7373" width="11.85546875" style="2" customWidth="1"/>
    <col min="7374" max="7623" width="10.140625" style="2"/>
    <col min="7624" max="7624" width="6" style="2" customWidth="1"/>
    <col min="7625" max="7625" width="44" style="2" customWidth="1"/>
    <col min="7626" max="7626" width="10.7109375" style="2" customWidth="1"/>
    <col min="7627" max="7627" width="10.140625" style="2" customWidth="1"/>
    <col min="7628" max="7628" width="10.7109375" style="2" customWidth="1"/>
    <col min="7629" max="7629" width="11.85546875" style="2" customWidth="1"/>
    <col min="7630" max="7879" width="10.140625" style="2"/>
    <col min="7880" max="7880" width="6" style="2" customWidth="1"/>
    <col min="7881" max="7881" width="44" style="2" customWidth="1"/>
    <col min="7882" max="7882" width="10.7109375" style="2" customWidth="1"/>
    <col min="7883" max="7883" width="10.140625" style="2" customWidth="1"/>
    <col min="7884" max="7884" width="10.7109375" style="2" customWidth="1"/>
    <col min="7885" max="7885" width="11.85546875" style="2" customWidth="1"/>
    <col min="7886" max="8135" width="10.140625" style="2"/>
    <col min="8136" max="8136" width="6" style="2" customWidth="1"/>
    <col min="8137" max="8137" width="44" style="2" customWidth="1"/>
    <col min="8138" max="8138" width="10.7109375" style="2" customWidth="1"/>
    <col min="8139" max="8139" width="10.140625" style="2" customWidth="1"/>
    <col min="8140" max="8140" width="10.7109375" style="2" customWidth="1"/>
    <col min="8141" max="8141" width="11.85546875" style="2" customWidth="1"/>
    <col min="8142" max="8391" width="10.140625" style="2"/>
    <col min="8392" max="8392" width="6" style="2" customWidth="1"/>
    <col min="8393" max="8393" width="44" style="2" customWidth="1"/>
    <col min="8394" max="8394" width="10.7109375" style="2" customWidth="1"/>
    <col min="8395" max="8395" width="10.140625" style="2" customWidth="1"/>
    <col min="8396" max="8396" width="10.7109375" style="2" customWidth="1"/>
    <col min="8397" max="8397" width="11.85546875" style="2" customWidth="1"/>
    <col min="8398" max="8647" width="10.140625" style="2"/>
    <col min="8648" max="8648" width="6" style="2" customWidth="1"/>
    <col min="8649" max="8649" width="44" style="2" customWidth="1"/>
    <col min="8650" max="8650" width="10.7109375" style="2" customWidth="1"/>
    <col min="8651" max="8651" width="10.140625" style="2" customWidth="1"/>
    <col min="8652" max="8652" width="10.7109375" style="2" customWidth="1"/>
    <col min="8653" max="8653" width="11.85546875" style="2" customWidth="1"/>
    <col min="8654" max="8903" width="10.140625" style="2"/>
    <col min="8904" max="8904" width="6" style="2" customWidth="1"/>
    <col min="8905" max="8905" width="44" style="2" customWidth="1"/>
    <col min="8906" max="8906" width="10.7109375" style="2" customWidth="1"/>
    <col min="8907" max="8907" width="10.140625" style="2" customWidth="1"/>
    <col min="8908" max="8908" width="10.7109375" style="2" customWidth="1"/>
    <col min="8909" max="8909" width="11.85546875" style="2" customWidth="1"/>
    <col min="8910" max="9159" width="10.140625" style="2"/>
    <col min="9160" max="9160" width="6" style="2" customWidth="1"/>
    <col min="9161" max="9161" width="44" style="2" customWidth="1"/>
    <col min="9162" max="9162" width="10.7109375" style="2" customWidth="1"/>
    <col min="9163" max="9163" width="10.140625" style="2" customWidth="1"/>
    <col min="9164" max="9164" width="10.7109375" style="2" customWidth="1"/>
    <col min="9165" max="9165" width="11.85546875" style="2" customWidth="1"/>
    <col min="9166" max="9415" width="10.140625" style="2"/>
    <col min="9416" max="9416" width="6" style="2" customWidth="1"/>
    <col min="9417" max="9417" width="44" style="2" customWidth="1"/>
    <col min="9418" max="9418" width="10.7109375" style="2" customWidth="1"/>
    <col min="9419" max="9419" width="10.140625" style="2" customWidth="1"/>
    <col min="9420" max="9420" width="10.7109375" style="2" customWidth="1"/>
    <col min="9421" max="9421" width="11.85546875" style="2" customWidth="1"/>
    <col min="9422" max="9671" width="10.140625" style="2"/>
    <col min="9672" max="9672" width="6" style="2" customWidth="1"/>
    <col min="9673" max="9673" width="44" style="2" customWidth="1"/>
    <col min="9674" max="9674" width="10.7109375" style="2" customWidth="1"/>
    <col min="9675" max="9675" width="10.140625" style="2" customWidth="1"/>
    <col min="9676" max="9676" width="10.7109375" style="2" customWidth="1"/>
    <col min="9677" max="9677" width="11.85546875" style="2" customWidth="1"/>
    <col min="9678" max="9927" width="10.140625" style="2"/>
    <col min="9928" max="9928" width="6" style="2" customWidth="1"/>
    <col min="9929" max="9929" width="44" style="2" customWidth="1"/>
    <col min="9930" max="9930" width="10.7109375" style="2" customWidth="1"/>
    <col min="9931" max="9931" width="10.140625" style="2" customWidth="1"/>
    <col min="9932" max="9932" width="10.7109375" style="2" customWidth="1"/>
    <col min="9933" max="9933" width="11.85546875" style="2" customWidth="1"/>
    <col min="9934" max="10183" width="10.140625" style="2"/>
    <col min="10184" max="10184" width="6" style="2" customWidth="1"/>
    <col min="10185" max="10185" width="44" style="2" customWidth="1"/>
    <col min="10186" max="10186" width="10.7109375" style="2" customWidth="1"/>
    <col min="10187" max="10187" width="10.140625" style="2" customWidth="1"/>
    <col min="10188" max="10188" width="10.7109375" style="2" customWidth="1"/>
    <col min="10189" max="10189" width="11.85546875" style="2" customWidth="1"/>
    <col min="10190" max="10439" width="10.140625" style="2"/>
    <col min="10440" max="10440" width="6" style="2" customWidth="1"/>
    <col min="10441" max="10441" width="44" style="2" customWidth="1"/>
    <col min="10442" max="10442" width="10.7109375" style="2" customWidth="1"/>
    <col min="10443" max="10443" width="10.140625" style="2" customWidth="1"/>
    <col min="10444" max="10444" width="10.7109375" style="2" customWidth="1"/>
    <col min="10445" max="10445" width="11.85546875" style="2" customWidth="1"/>
    <col min="10446" max="10695" width="10.140625" style="2"/>
    <col min="10696" max="10696" width="6" style="2" customWidth="1"/>
    <col min="10697" max="10697" width="44" style="2" customWidth="1"/>
    <col min="10698" max="10698" width="10.7109375" style="2" customWidth="1"/>
    <col min="10699" max="10699" width="10.140625" style="2" customWidth="1"/>
    <col min="10700" max="10700" width="10.7109375" style="2" customWidth="1"/>
    <col min="10701" max="10701" width="11.85546875" style="2" customWidth="1"/>
    <col min="10702" max="10951" width="10.140625" style="2"/>
    <col min="10952" max="10952" width="6" style="2" customWidth="1"/>
    <col min="10953" max="10953" width="44" style="2" customWidth="1"/>
    <col min="10954" max="10954" width="10.7109375" style="2" customWidth="1"/>
    <col min="10955" max="10955" width="10.140625" style="2" customWidth="1"/>
    <col min="10956" max="10956" width="10.7109375" style="2" customWidth="1"/>
    <col min="10957" max="10957" width="11.85546875" style="2" customWidth="1"/>
    <col min="10958" max="11207" width="10.140625" style="2"/>
    <col min="11208" max="11208" width="6" style="2" customWidth="1"/>
    <col min="11209" max="11209" width="44" style="2" customWidth="1"/>
    <col min="11210" max="11210" width="10.7109375" style="2" customWidth="1"/>
    <col min="11211" max="11211" width="10.140625" style="2" customWidth="1"/>
    <col min="11212" max="11212" width="10.7109375" style="2" customWidth="1"/>
    <col min="11213" max="11213" width="11.85546875" style="2" customWidth="1"/>
    <col min="11214" max="11463" width="10.140625" style="2"/>
    <col min="11464" max="11464" width="6" style="2" customWidth="1"/>
    <col min="11465" max="11465" width="44" style="2" customWidth="1"/>
    <col min="11466" max="11466" width="10.7109375" style="2" customWidth="1"/>
    <col min="11467" max="11467" width="10.140625" style="2" customWidth="1"/>
    <col min="11468" max="11468" width="10.7109375" style="2" customWidth="1"/>
    <col min="11469" max="11469" width="11.85546875" style="2" customWidth="1"/>
    <col min="11470" max="11719" width="10.140625" style="2"/>
    <col min="11720" max="11720" width="6" style="2" customWidth="1"/>
    <col min="11721" max="11721" width="44" style="2" customWidth="1"/>
    <col min="11722" max="11722" width="10.7109375" style="2" customWidth="1"/>
    <col min="11723" max="11723" width="10.140625" style="2" customWidth="1"/>
    <col min="11724" max="11724" width="10.7109375" style="2" customWidth="1"/>
    <col min="11725" max="11725" width="11.85546875" style="2" customWidth="1"/>
    <col min="11726" max="11975" width="10.140625" style="2"/>
    <col min="11976" max="11976" width="6" style="2" customWidth="1"/>
    <col min="11977" max="11977" width="44" style="2" customWidth="1"/>
    <col min="11978" max="11978" width="10.7109375" style="2" customWidth="1"/>
    <col min="11979" max="11979" width="10.140625" style="2" customWidth="1"/>
    <col min="11980" max="11980" width="10.7109375" style="2" customWidth="1"/>
    <col min="11981" max="11981" width="11.85546875" style="2" customWidth="1"/>
    <col min="11982" max="12231" width="10.140625" style="2"/>
    <col min="12232" max="12232" width="6" style="2" customWidth="1"/>
    <col min="12233" max="12233" width="44" style="2" customWidth="1"/>
    <col min="12234" max="12234" width="10.7109375" style="2" customWidth="1"/>
    <col min="12235" max="12235" width="10.140625" style="2" customWidth="1"/>
    <col min="12236" max="12236" width="10.7109375" style="2" customWidth="1"/>
    <col min="12237" max="12237" width="11.85546875" style="2" customWidth="1"/>
    <col min="12238" max="12487" width="10.140625" style="2"/>
    <col min="12488" max="12488" width="6" style="2" customWidth="1"/>
    <col min="12489" max="12489" width="44" style="2" customWidth="1"/>
    <col min="12490" max="12490" width="10.7109375" style="2" customWidth="1"/>
    <col min="12491" max="12491" width="10.140625" style="2" customWidth="1"/>
    <col min="12492" max="12492" width="10.7109375" style="2" customWidth="1"/>
    <col min="12493" max="12493" width="11.85546875" style="2" customWidth="1"/>
    <col min="12494" max="12743" width="10.140625" style="2"/>
    <col min="12744" max="12744" width="6" style="2" customWidth="1"/>
    <col min="12745" max="12745" width="44" style="2" customWidth="1"/>
    <col min="12746" max="12746" width="10.7109375" style="2" customWidth="1"/>
    <col min="12747" max="12747" width="10.140625" style="2" customWidth="1"/>
    <col min="12748" max="12748" width="10.7109375" style="2" customWidth="1"/>
    <col min="12749" max="12749" width="11.85546875" style="2" customWidth="1"/>
    <col min="12750" max="12999" width="10.140625" style="2"/>
    <col min="13000" max="13000" width="6" style="2" customWidth="1"/>
    <col min="13001" max="13001" width="44" style="2" customWidth="1"/>
    <col min="13002" max="13002" width="10.7109375" style="2" customWidth="1"/>
    <col min="13003" max="13003" width="10.140625" style="2" customWidth="1"/>
    <col min="13004" max="13004" width="10.7109375" style="2" customWidth="1"/>
    <col min="13005" max="13005" width="11.85546875" style="2" customWidth="1"/>
    <col min="13006" max="13255" width="10.140625" style="2"/>
    <col min="13256" max="13256" width="6" style="2" customWidth="1"/>
    <col min="13257" max="13257" width="44" style="2" customWidth="1"/>
    <col min="13258" max="13258" width="10.7109375" style="2" customWidth="1"/>
    <col min="13259" max="13259" width="10.140625" style="2" customWidth="1"/>
    <col min="13260" max="13260" width="10.7109375" style="2" customWidth="1"/>
    <col min="13261" max="13261" width="11.85546875" style="2" customWidth="1"/>
    <col min="13262" max="13511" width="10.140625" style="2"/>
    <col min="13512" max="13512" width="6" style="2" customWidth="1"/>
    <col min="13513" max="13513" width="44" style="2" customWidth="1"/>
    <col min="13514" max="13514" width="10.7109375" style="2" customWidth="1"/>
    <col min="13515" max="13515" width="10.140625" style="2" customWidth="1"/>
    <col min="13516" max="13516" width="10.7109375" style="2" customWidth="1"/>
    <col min="13517" max="13517" width="11.85546875" style="2" customWidth="1"/>
    <col min="13518" max="13767" width="10.140625" style="2"/>
    <col min="13768" max="13768" width="6" style="2" customWidth="1"/>
    <col min="13769" max="13769" width="44" style="2" customWidth="1"/>
    <col min="13770" max="13770" width="10.7109375" style="2" customWidth="1"/>
    <col min="13771" max="13771" width="10.140625" style="2" customWidth="1"/>
    <col min="13772" max="13772" width="10.7109375" style="2" customWidth="1"/>
    <col min="13773" max="13773" width="11.85546875" style="2" customWidth="1"/>
    <col min="13774" max="14023" width="10.140625" style="2"/>
    <col min="14024" max="14024" width="6" style="2" customWidth="1"/>
    <col min="14025" max="14025" width="44" style="2" customWidth="1"/>
    <col min="14026" max="14026" width="10.7109375" style="2" customWidth="1"/>
    <col min="14027" max="14027" width="10.140625" style="2" customWidth="1"/>
    <col min="14028" max="14028" width="10.7109375" style="2" customWidth="1"/>
    <col min="14029" max="14029" width="11.85546875" style="2" customWidth="1"/>
    <col min="14030" max="14279" width="10.140625" style="2"/>
    <col min="14280" max="14280" width="6" style="2" customWidth="1"/>
    <col min="14281" max="14281" width="44" style="2" customWidth="1"/>
    <col min="14282" max="14282" width="10.7109375" style="2" customWidth="1"/>
    <col min="14283" max="14283" width="10.140625" style="2" customWidth="1"/>
    <col min="14284" max="14284" width="10.7109375" style="2" customWidth="1"/>
    <col min="14285" max="14285" width="11.85546875" style="2" customWidth="1"/>
    <col min="14286" max="14535" width="10.140625" style="2"/>
    <col min="14536" max="14536" width="6" style="2" customWidth="1"/>
    <col min="14537" max="14537" width="44" style="2" customWidth="1"/>
    <col min="14538" max="14538" width="10.7109375" style="2" customWidth="1"/>
    <col min="14539" max="14539" width="10.140625" style="2" customWidth="1"/>
    <col min="14540" max="14540" width="10.7109375" style="2" customWidth="1"/>
    <col min="14541" max="14541" width="11.85546875" style="2" customWidth="1"/>
    <col min="14542" max="14791" width="10.140625" style="2"/>
    <col min="14792" max="14792" width="6" style="2" customWidth="1"/>
    <col min="14793" max="14793" width="44" style="2" customWidth="1"/>
    <col min="14794" max="14794" width="10.7109375" style="2" customWidth="1"/>
    <col min="14795" max="14795" width="10.140625" style="2" customWidth="1"/>
    <col min="14796" max="14796" width="10.7109375" style="2" customWidth="1"/>
    <col min="14797" max="14797" width="11.85546875" style="2" customWidth="1"/>
    <col min="14798" max="15047" width="10.140625" style="2"/>
    <col min="15048" max="15048" width="6" style="2" customWidth="1"/>
    <col min="15049" max="15049" width="44" style="2" customWidth="1"/>
    <col min="15050" max="15050" width="10.7109375" style="2" customWidth="1"/>
    <col min="15051" max="15051" width="10.140625" style="2" customWidth="1"/>
    <col min="15052" max="15052" width="10.7109375" style="2" customWidth="1"/>
    <col min="15053" max="15053" width="11.85546875" style="2" customWidth="1"/>
    <col min="15054" max="15303" width="10.140625" style="2"/>
    <col min="15304" max="15304" width="6" style="2" customWidth="1"/>
    <col min="15305" max="15305" width="44" style="2" customWidth="1"/>
    <col min="15306" max="15306" width="10.7109375" style="2" customWidth="1"/>
    <col min="15307" max="15307" width="10.140625" style="2" customWidth="1"/>
    <col min="15308" max="15308" width="10.7109375" style="2" customWidth="1"/>
    <col min="15309" max="15309" width="11.85546875" style="2" customWidth="1"/>
    <col min="15310" max="15559" width="10.140625" style="2"/>
    <col min="15560" max="15560" width="6" style="2" customWidth="1"/>
    <col min="15561" max="15561" width="44" style="2" customWidth="1"/>
    <col min="15562" max="15562" width="10.7109375" style="2" customWidth="1"/>
    <col min="15563" max="15563" width="10.140625" style="2" customWidth="1"/>
    <col min="15564" max="15564" width="10.7109375" style="2" customWidth="1"/>
    <col min="15565" max="15565" width="11.85546875" style="2" customWidth="1"/>
    <col min="15566" max="15815" width="10.140625" style="2"/>
    <col min="15816" max="15816" width="6" style="2" customWidth="1"/>
    <col min="15817" max="15817" width="44" style="2" customWidth="1"/>
    <col min="15818" max="15818" width="10.7109375" style="2" customWidth="1"/>
    <col min="15819" max="15819" width="10.140625" style="2" customWidth="1"/>
    <col min="15820" max="15820" width="10.7109375" style="2" customWidth="1"/>
    <col min="15821" max="15821" width="11.85546875" style="2" customWidth="1"/>
    <col min="15822" max="16384" width="10.140625" style="2"/>
  </cols>
  <sheetData>
    <row r="1" spans="1:12" ht="18" customHeight="1" x14ac:dyDescent="0.25">
      <c r="A1" s="24" t="s">
        <v>28</v>
      </c>
      <c r="B1" s="6"/>
      <c r="C1" s="6"/>
      <c r="D1" s="6"/>
      <c r="E1" s="6"/>
      <c r="F1" s="6"/>
      <c r="G1" s="6"/>
      <c r="H1" s="6"/>
      <c r="I1" s="6"/>
      <c r="J1" s="6"/>
      <c r="K1" s="27" t="s">
        <v>119</v>
      </c>
      <c r="L1" s="6"/>
    </row>
    <row r="2" spans="1:12" ht="15.75" x14ac:dyDescent="0.25">
      <c r="A2" s="83" t="s">
        <v>0</v>
      </c>
      <c r="B2" s="83" t="s">
        <v>29</v>
      </c>
      <c r="C2" s="84" t="s">
        <v>219</v>
      </c>
      <c r="D2" s="84" t="s">
        <v>175</v>
      </c>
      <c r="E2" s="84" t="s">
        <v>176</v>
      </c>
      <c r="F2" s="85" t="s">
        <v>234</v>
      </c>
      <c r="G2" s="86" t="s">
        <v>178</v>
      </c>
      <c r="H2" s="86"/>
      <c r="I2" s="86"/>
      <c r="J2" s="86"/>
      <c r="K2" s="86"/>
      <c r="L2" s="86"/>
    </row>
    <row r="3" spans="1:12" ht="13.5" customHeight="1" x14ac:dyDescent="0.25">
      <c r="A3" s="83"/>
      <c r="B3" s="83"/>
      <c r="C3" s="84"/>
      <c r="D3" s="84"/>
      <c r="E3" s="84"/>
      <c r="F3" s="85"/>
      <c r="G3" s="84" t="s">
        <v>30</v>
      </c>
      <c r="H3" s="84"/>
      <c r="I3" s="84"/>
      <c r="J3" s="84"/>
      <c r="K3" s="84" t="s">
        <v>31</v>
      </c>
      <c r="L3" s="84"/>
    </row>
    <row r="4" spans="1:12" ht="29.25" customHeight="1" x14ac:dyDescent="0.25">
      <c r="A4" s="83"/>
      <c r="B4" s="83"/>
      <c r="C4" s="84"/>
      <c r="D4" s="84"/>
      <c r="E4" s="84"/>
      <c r="F4" s="85"/>
      <c r="G4" s="84" t="s">
        <v>233</v>
      </c>
      <c r="H4" s="84" t="s">
        <v>175</v>
      </c>
      <c r="I4" s="84" t="s">
        <v>179</v>
      </c>
      <c r="J4" s="84"/>
      <c r="K4" s="84" t="s">
        <v>233</v>
      </c>
      <c r="L4" s="84" t="s">
        <v>175</v>
      </c>
    </row>
    <row r="5" spans="1:12" ht="32.25" customHeight="1" x14ac:dyDescent="0.25">
      <c r="A5" s="83"/>
      <c r="B5" s="83"/>
      <c r="C5" s="84"/>
      <c r="D5" s="84"/>
      <c r="E5" s="84"/>
      <c r="F5" s="85"/>
      <c r="G5" s="84"/>
      <c r="H5" s="84"/>
      <c r="I5" s="21" t="s">
        <v>233</v>
      </c>
      <c r="J5" s="21" t="s">
        <v>175</v>
      </c>
      <c r="K5" s="84"/>
      <c r="L5" s="84"/>
    </row>
    <row r="6" spans="1:12" ht="15.75" x14ac:dyDescent="0.25">
      <c r="A6" s="64">
        <v>1</v>
      </c>
      <c r="B6" s="68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</row>
    <row r="7" spans="1:12" ht="15.75" x14ac:dyDescent="0.25">
      <c r="A7" s="10">
        <v>1</v>
      </c>
      <c r="B7" s="5" t="s">
        <v>32</v>
      </c>
      <c r="C7" s="19">
        <f>+C8</f>
        <v>246.1</v>
      </c>
      <c r="D7" s="19">
        <f t="shared" ref="D7:G7" si="0">+D8</f>
        <v>240.1</v>
      </c>
      <c r="E7" s="19">
        <f t="shared" si="0"/>
        <v>-6</v>
      </c>
      <c r="F7" s="19">
        <f>+D7/C7*100</f>
        <v>97.6</v>
      </c>
      <c r="G7" s="19">
        <f t="shared" si="0"/>
        <v>244.3</v>
      </c>
      <c r="H7" s="19">
        <f t="shared" ref="H7" si="1">+H8</f>
        <v>238.3</v>
      </c>
      <c r="I7" s="19">
        <f t="shared" ref="I7" si="2">+I8</f>
        <v>229.9</v>
      </c>
      <c r="J7" s="19">
        <f t="shared" ref="J7" si="3">+J8</f>
        <v>226</v>
      </c>
      <c r="K7" s="19">
        <f t="shared" ref="K7" si="4">+K8</f>
        <v>1.8</v>
      </c>
      <c r="L7" s="19">
        <f t="shared" ref="L7" si="5">+L8</f>
        <v>1.8</v>
      </c>
    </row>
    <row r="8" spans="1:12" ht="15.75" x14ac:dyDescent="0.25">
      <c r="A8" s="10">
        <f>+A7+1</f>
        <v>2</v>
      </c>
      <c r="B8" s="5" t="s">
        <v>33</v>
      </c>
      <c r="C8" s="19">
        <f>+C10</f>
        <v>246.1</v>
      </c>
      <c r="D8" s="19">
        <f t="shared" ref="D8:E8" si="6">+D10</f>
        <v>240.1</v>
      </c>
      <c r="E8" s="19">
        <f t="shared" si="6"/>
        <v>-6</v>
      </c>
      <c r="F8" s="19">
        <f t="shared" ref="F8:F70" si="7">+D8/C8*100</f>
        <v>97.6</v>
      </c>
      <c r="G8" s="19">
        <f t="shared" ref="G8:L8" si="8">+G10</f>
        <v>244.3</v>
      </c>
      <c r="H8" s="19">
        <f t="shared" si="8"/>
        <v>238.3</v>
      </c>
      <c r="I8" s="19">
        <f t="shared" si="8"/>
        <v>229.9</v>
      </c>
      <c r="J8" s="19">
        <f t="shared" si="8"/>
        <v>226</v>
      </c>
      <c r="K8" s="19">
        <f t="shared" si="8"/>
        <v>1.8</v>
      </c>
      <c r="L8" s="19">
        <f t="shared" si="8"/>
        <v>1.8</v>
      </c>
    </row>
    <row r="9" spans="1:12" ht="15.75" x14ac:dyDescent="0.25">
      <c r="A9" s="10">
        <f t="shared" ref="A9:A72" si="9">+A8+1</f>
        <v>3</v>
      </c>
      <c r="B9" s="68" t="s">
        <v>2</v>
      </c>
      <c r="C9" s="20">
        <f t="shared" ref="C9:C70" si="10">+G9+K9</f>
        <v>0</v>
      </c>
      <c r="D9" s="20">
        <f t="shared" ref="D9:D70" si="11">+H9+L9</f>
        <v>0</v>
      </c>
      <c r="E9" s="20">
        <f t="shared" ref="E9:E70" si="12">+D9-C9</f>
        <v>0</v>
      </c>
      <c r="F9" s="20"/>
      <c r="G9" s="20"/>
      <c r="H9" s="20"/>
      <c r="I9" s="20"/>
      <c r="J9" s="20"/>
      <c r="K9" s="20"/>
      <c r="L9" s="20"/>
    </row>
    <row r="10" spans="1:12" ht="31.5" x14ac:dyDescent="0.25">
      <c r="A10" s="10">
        <f t="shared" si="9"/>
        <v>4</v>
      </c>
      <c r="B10" s="4" t="s">
        <v>42</v>
      </c>
      <c r="C10" s="20">
        <f>+G10+K10</f>
        <v>246.1</v>
      </c>
      <c r="D10" s="20">
        <f t="shared" si="11"/>
        <v>240.1</v>
      </c>
      <c r="E10" s="20">
        <f t="shared" si="12"/>
        <v>-6</v>
      </c>
      <c r="F10" s="20">
        <f t="shared" si="7"/>
        <v>97.6</v>
      </c>
      <c r="G10" s="20">
        <f>246.1-K10</f>
        <v>244.3</v>
      </c>
      <c r="H10" s="20">
        <f>240.1-1.8</f>
        <v>238.3</v>
      </c>
      <c r="I10" s="20">
        <f>229.9</f>
        <v>229.9</v>
      </c>
      <c r="J10" s="20">
        <v>226</v>
      </c>
      <c r="K10" s="20">
        <v>1.8</v>
      </c>
      <c r="L10" s="20">
        <v>1.8</v>
      </c>
    </row>
    <row r="11" spans="1:12" ht="15.75" x14ac:dyDescent="0.25">
      <c r="A11" s="10">
        <f t="shared" si="9"/>
        <v>5</v>
      </c>
      <c r="B11" s="5" t="s">
        <v>3</v>
      </c>
      <c r="C11" s="19">
        <f>+C12+C13+C17+C49+C55+C61+C67+C71+C72+C85+C92+C110</f>
        <v>227244.7</v>
      </c>
      <c r="D11" s="19">
        <f>+D12+D13+D17+D49+D55+D61+D67+D71+D72+D85+D92+D110</f>
        <v>209889.9</v>
      </c>
      <c r="E11" s="19">
        <f>+E12+E13+E17+E49+E55+E61+E67+E71+E72+E85+E92+E110</f>
        <v>-17354.8</v>
      </c>
      <c r="F11" s="19">
        <f t="shared" si="7"/>
        <v>92.4</v>
      </c>
      <c r="G11" s="19">
        <f t="shared" ref="G11:L11" si="13">+G12+G13+G17+G49+G55+G61+G67+G71+G72+G85+G92+G110</f>
        <v>175987.7</v>
      </c>
      <c r="H11" s="19">
        <f t="shared" si="13"/>
        <v>164907.6</v>
      </c>
      <c r="I11" s="19">
        <f t="shared" si="13"/>
        <v>109298.1</v>
      </c>
      <c r="J11" s="19">
        <f t="shared" si="13"/>
        <v>107879.2</v>
      </c>
      <c r="K11" s="19">
        <f t="shared" si="13"/>
        <v>51257</v>
      </c>
      <c r="L11" s="19">
        <f t="shared" si="13"/>
        <v>44982.3</v>
      </c>
    </row>
    <row r="12" spans="1:12" ht="31.5" x14ac:dyDescent="0.25">
      <c r="A12" s="10">
        <f t="shared" si="9"/>
        <v>6</v>
      </c>
      <c r="B12" s="4" t="s">
        <v>107</v>
      </c>
      <c r="C12" s="19">
        <f t="shared" si="10"/>
        <v>331.2</v>
      </c>
      <c r="D12" s="19">
        <f t="shared" si="11"/>
        <v>304</v>
      </c>
      <c r="E12" s="19">
        <f t="shared" si="12"/>
        <v>-27.2</v>
      </c>
      <c r="F12" s="19">
        <f t="shared" si="7"/>
        <v>91.8</v>
      </c>
      <c r="G12" s="19">
        <f>307.9+23.3</f>
        <v>331.2</v>
      </c>
      <c r="H12" s="19">
        <v>304</v>
      </c>
      <c r="I12" s="19"/>
      <c r="J12" s="19"/>
      <c r="K12" s="19"/>
      <c r="L12" s="19"/>
    </row>
    <row r="13" spans="1:12" s="3" customFormat="1" ht="15.75" x14ac:dyDescent="0.25">
      <c r="A13" s="10">
        <f t="shared" si="9"/>
        <v>7</v>
      </c>
      <c r="B13" s="8" t="s">
        <v>110</v>
      </c>
      <c r="C13" s="19">
        <f>+C15+C16</f>
        <v>1523.2</v>
      </c>
      <c r="D13" s="19">
        <f t="shared" ref="D13:E13" si="14">+D15+D16</f>
        <v>1301.7</v>
      </c>
      <c r="E13" s="19">
        <f t="shared" si="14"/>
        <v>-221.5</v>
      </c>
      <c r="F13" s="19">
        <f t="shared" si="7"/>
        <v>85.5</v>
      </c>
      <c r="G13" s="19">
        <f>+G15+G16</f>
        <v>813</v>
      </c>
      <c r="H13" s="19">
        <f t="shared" ref="H13:L13" si="15">+H15+H16</f>
        <v>663.8</v>
      </c>
      <c r="I13" s="19">
        <f t="shared" si="15"/>
        <v>22.3</v>
      </c>
      <c r="J13" s="19">
        <f t="shared" si="15"/>
        <v>21.1</v>
      </c>
      <c r="K13" s="19">
        <f t="shared" si="15"/>
        <v>710.2</v>
      </c>
      <c r="L13" s="19">
        <f t="shared" si="15"/>
        <v>637.9</v>
      </c>
    </row>
    <row r="14" spans="1:12" ht="15.75" x14ac:dyDescent="0.25">
      <c r="A14" s="10">
        <f t="shared" si="9"/>
        <v>8</v>
      </c>
      <c r="B14" s="68" t="s">
        <v>2</v>
      </c>
      <c r="C14" s="20">
        <f t="shared" si="10"/>
        <v>0</v>
      </c>
      <c r="D14" s="20">
        <f t="shared" si="11"/>
        <v>0</v>
      </c>
      <c r="E14" s="20">
        <f t="shared" si="12"/>
        <v>0</v>
      </c>
      <c r="F14" s="20"/>
      <c r="G14" s="20"/>
      <c r="H14" s="20"/>
      <c r="I14" s="20"/>
      <c r="J14" s="20"/>
      <c r="K14" s="20"/>
      <c r="L14" s="20"/>
    </row>
    <row r="15" spans="1:12" ht="31.5" x14ac:dyDescent="0.25">
      <c r="A15" s="10">
        <f t="shared" si="9"/>
        <v>9</v>
      </c>
      <c r="B15" s="9" t="s">
        <v>111</v>
      </c>
      <c r="C15" s="20">
        <f t="shared" si="10"/>
        <v>1071.3</v>
      </c>
      <c r="D15" s="20">
        <f t="shared" si="11"/>
        <v>851.8</v>
      </c>
      <c r="E15" s="20">
        <f t="shared" si="12"/>
        <v>-219.5</v>
      </c>
      <c r="F15" s="20">
        <f t="shared" si="7"/>
        <v>79.5</v>
      </c>
      <c r="G15" s="20">
        <f>1071.3-243.1-16.7</f>
        <v>811.5</v>
      </c>
      <c r="H15" s="20">
        <v>662.9</v>
      </c>
      <c r="I15" s="20">
        <v>21</v>
      </c>
      <c r="J15" s="20">
        <v>20.2</v>
      </c>
      <c r="K15" s="20">
        <f>243.1+16.7</f>
        <v>259.8</v>
      </c>
      <c r="L15" s="20">
        <f>172.2+16.7</f>
        <v>188.9</v>
      </c>
    </row>
    <row r="16" spans="1:12" ht="47.25" x14ac:dyDescent="0.25">
      <c r="A16" s="10">
        <f t="shared" si="9"/>
        <v>10</v>
      </c>
      <c r="B16" s="9" t="s">
        <v>116</v>
      </c>
      <c r="C16" s="20">
        <f t="shared" si="10"/>
        <v>451.9</v>
      </c>
      <c r="D16" s="20">
        <f t="shared" si="11"/>
        <v>449.9</v>
      </c>
      <c r="E16" s="20">
        <f t="shared" si="12"/>
        <v>-2</v>
      </c>
      <c r="F16" s="20">
        <f t="shared" si="7"/>
        <v>99.6</v>
      </c>
      <c r="G16" s="20">
        <f>1.3+0.2</f>
        <v>1.5</v>
      </c>
      <c r="H16" s="20">
        <v>0.9</v>
      </c>
      <c r="I16" s="20">
        <v>1.3</v>
      </c>
      <c r="J16" s="20">
        <v>0.9</v>
      </c>
      <c r="K16" s="20">
        <v>450.4</v>
      </c>
      <c r="L16" s="20">
        <v>449</v>
      </c>
    </row>
    <row r="17" spans="1:12" ht="15.75" x14ac:dyDescent="0.25">
      <c r="A17" s="10">
        <f t="shared" si="9"/>
        <v>11</v>
      </c>
      <c r="B17" s="5" t="s">
        <v>33</v>
      </c>
      <c r="C17" s="19">
        <f>+C19+C20+C21+C22+C23+C24+C45+C46+C47+C48</f>
        <v>17080.5</v>
      </c>
      <c r="D17" s="19">
        <f t="shared" ref="D17:L17" si="16">+D19+D20+D21+D22+D23+D24+D45+D46+D47+D48</f>
        <v>15376.7</v>
      </c>
      <c r="E17" s="19">
        <f t="shared" si="16"/>
        <v>-1703.8</v>
      </c>
      <c r="F17" s="19">
        <f t="shared" si="7"/>
        <v>90</v>
      </c>
      <c r="G17" s="19">
        <f t="shared" si="16"/>
        <v>13369.4</v>
      </c>
      <c r="H17" s="19">
        <f t="shared" si="16"/>
        <v>11715.5</v>
      </c>
      <c r="I17" s="19">
        <f t="shared" si="16"/>
        <v>9037</v>
      </c>
      <c r="J17" s="19">
        <f t="shared" si="16"/>
        <v>8739.1</v>
      </c>
      <c r="K17" s="19">
        <f t="shared" si="16"/>
        <v>3711.1</v>
      </c>
      <c r="L17" s="19">
        <f t="shared" si="16"/>
        <v>3661.2</v>
      </c>
    </row>
    <row r="18" spans="1:12" ht="15.75" x14ac:dyDescent="0.25">
      <c r="A18" s="10">
        <f t="shared" si="9"/>
        <v>12</v>
      </c>
      <c r="B18" s="68" t="s">
        <v>2</v>
      </c>
      <c r="C18" s="20">
        <f t="shared" si="10"/>
        <v>0</v>
      </c>
      <c r="D18" s="20">
        <f t="shared" si="11"/>
        <v>0</v>
      </c>
      <c r="E18" s="20">
        <f t="shared" si="12"/>
        <v>0</v>
      </c>
      <c r="F18" s="20"/>
      <c r="G18" s="20"/>
      <c r="H18" s="20"/>
      <c r="I18" s="20"/>
      <c r="J18" s="20"/>
      <c r="K18" s="20"/>
      <c r="L18" s="20"/>
    </row>
    <row r="19" spans="1:12" ht="47.25" x14ac:dyDescent="0.25">
      <c r="A19" s="10">
        <f t="shared" si="9"/>
        <v>13</v>
      </c>
      <c r="B19" s="4" t="s">
        <v>112</v>
      </c>
      <c r="C19" s="20">
        <f t="shared" si="10"/>
        <v>345</v>
      </c>
      <c r="D19" s="20">
        <f t="shared" si="11"/>
        <v>238.1</v>
      </c>
      <c r="E19" s="20">
        <f t="shared" si="12"/>
        <v>-106.9</v>
      </c>
      <c r="F19" s="20">
        <f t="shared" si="7"/>
        <v>69</v>
      </c>
      <c r="G19" s="20">
        <v>345</v>
      </c>
      <c r="H19" s="20">
        <v>238.1</v>
      </c>
      <c r="I19" s="20">
        <v>179.9</v>
      </c>
      <c r="J19" s="20">
        <v>147.4</v>
      </c>
      <c r="K19" s="20"/>
      <c r="L19" s="20"/>
    </row>
    <row r="20" spans="1:12" ht="47.25" x14ac:dyDescent="0.25">
      <c r="A20" s="10">
        <f t="shared" si="9"/>
        <v>14</v>
      </c>
      <c r="B20" s="4" t="s">
        <v>113</v>
      </c>
      <c r="C20" s="20">
        <f t="shared" si="10"/>
        <v>365.4</v>
      </c>
      <c r="D20" s="20">
        <f t="shared" si="11"/>
        <v>350.5</v>
      </c>
      <c r="E20" s="20">
        <f t="shared" si="12"/>
        <v>-14.9</v>
      </c>
      <c r="F20" s="20">
        <f t="shared" si="7"/>
        <v>95.9</v>
      </c>
      <c r="G20" s="20">
        <f>365.4-4.5</f>
        <v>360.9</v>
      </c>
      <c r="H20" s="20">
        <v>346</v>
      </c>
      <c r="I20" s="20">
        <v>334.7</v>
      </c>
      <c r="J20" s="20">
        <v>333.9</v>
      </c>
      <c r="K20" s="20">
        <v>4.5</v>
      </c>
      <c r="L20" s="20">
        <v>4.5</v>
      </c>
    </row>
    <row r="21" spans="1:12" ht="47.25" x14ac:dyDescent="0.25">
      <c r="A21" s="10">
        <f t="shared" si="9"/>
        <v>15</v>
      </c>
      <c r="B21" s="4" t="s">
        <v>34</v>
      </c>
      <c r="C21" s="20">
        <f t="shared" si="10"/>
        <v>14267.4</v>
      </c>
      <c r="D21" s="20">
        <f t="shared" si="11"/>
        <v>12890.8</v>
      </c>
      <c r="E21" s="20">
        <f t="shared" si="12"/>
        <v>-1376.6</v>
      </c>
      <c r="F21" s="20">
        <f t="shared" si="7"/>
        <v>90.4</v>
      </c>
      <c r="G21" s="20">
        <f>11721.2+10-G19-G20-G22-G10</f>
        <v>10672</v>
      </c>
      <c r="H21" s="20">
        <f>9302.5-0.1</f>
        <v>9302.4</v>
      </c>
      <c r="I21" s="20">
        <f>8664.4+9.7-I19-I20-I10</f>
        <v>7929.6</v>
      </c>
      <c r="J21" s="20">
        <v>7701.3</v>
      </c>
      <c r="K21" s="20">
        <f>3561.8+39.9-K20-K10</f>
        <v>3595.4</v>
      </c>
      <c r="L21" s="20">
        <v>3588.4</v>
      </c>
    </row>
    <row r="22" spans="1:12" ht="31.5" x14ac:dyDescent="0.25">
      <c r="A22" s="10">
        <f t="shared" si="9"/>
        <v>16</v>
      </c>
      <c r="B22" s="4" t="s">
        <v>35</v>
      </c>
      <c r="C22" s="20">
        <f t="shared" si="10"/>
        <v>109</v>
      </c>
      <c r="D22" s="20">
        <f t="shared" si="11"/>
        <v>0</v>
      </c>
      <c r="E22" s="20">
        <f t="shared" si="12"/>
        <v>-109</v>
      </c>
      <c r="F22" s="20">
        <f t="shared" si="7"/>
        <v>0</v>
      </c>
      <c r="G22" s="20">
        <v>109</v>
      </c>
      <c r="H22" s="20"/>
      <c r="I22" s="20"/>
      <c r="J22" s="20"/>
      <c r="K22" s="20"/>
      <c r="L22" s="20"/>
    </row>
    <row r="23" spans="1:12" ht="31.5" x14ac:dyDescent="0.25">
      <c r="A23" s="10">
        <f t="shared" si="9"/>
        <v>17</v>
      </c>
      <c r="B23" s="4" t="s">
        <v>36</v>
      </c>
      <c r="C23" s="20">
        <f t="shared" si="10"/>
        <v>200</v>
      </c>
      <c r="D23" s="20">
        <f t="shared" si="11"/>
        <v>152.69999999999999</v>
      </c>
      <c r="E23" s="20">
        <f t="shared" si="12"/>
        <v>-47.3</v>
      </c>
      <c r="F23" s="20">
        <f t="shared" si="7"/>
        <v>76.400000000000006</v>
      </c>
      <c r="G23" s="20">
        <f>200-K23</f>
        <v>88.8</v>
      </c>
      <c r="H23" s="20">
        <v>84.4</v>
      </c>
      <c r="I23" s="20"/>
      <c r="J23" s="20"/>
      <c r="K23" s="20">
        <v>111.2</v>
      </c>
      <c r="L23" s="20">
        <v>68.3</v>
      </c>
    </row>
    <row r="24" spans="1:12" ht="63" x14ac:dyDescent="0.25">
      <c r="A24" s="10">
        <f t="shared" si="9"/>
        <v>18</v>
      </c>
      <c r="B24" s="4" t="s">
        <v>37</v>
      </c>
      <c r="C24" s="20">
        <f>SUM(C26:C44)</f>
        <v>611.1</v>
      </c>
      <c r="D24" s="20">
        <f t="shared" ref="D24:L24" si="17">SUM(D26:D44)</f>
        <v>566.5</v>
      </c>
      <c r="E24" s="20">
        <f t="shared" si="17"/>
        <v>-44.6</v>
      </c>
      <c r="F24" s="20">
        <f t="shared" si="7"/>
        <v>92.7</v>
      </c>
      <c r="G24" s="20">
        <f t="shared" si="17"/>
        <v>611.1</v>
      </c>
      <c r="H24" s="20">
        <v>566.5</v>
      </c>
      <c r="I24" s="20">
        <f t="shared" si="17"/>
        <v>558.6</v>
      </c>
      <c r="J24" s="20">
        <f t="shared" si="17"/>
        <v>523.29999999999995</v>
      </c>
      <c r="K24" s="20">
        <f t="shared" si="17"/>
        <v>0</v>
      </c>
      <c r="L24" s="20">
        <f t="shared" si="17"/>
        <v>0</v>
      </c>
    </row>
    <row r="25" spans="1:12" ht="15.75" x14ac:dyDescent="0.25">
      <c r="A25" s="10">
        <f t="shared" si="9"/>
        <v>19</v>
      </c>
      <c r="B25" s="68" t="s">
        <v>2</v>
      </c>
      <c r="C25" s="20">
        <f t="shared" si="10"/>
        <v>0</v>
      </c>
      <c r="D25" s="20">
        <f t="shared" si="11"/>
        <v>0</v>
      </c>
      <c r="E25" s="20">
        <f t="shared" si="12"/>
        <v>0</v>
      </c>
      <c r="F25" s="20"/>
      <c r="G25" s="20"/>
      <c r="H25" s="20"/>
      <c r="I25" s="20"/>
      <c r="J25" s="20"/>
      <c r="K25" s="20"/>
      <c r="L25" s="20"/>
    </row>
    <row r="26" spans="1:12" ht="31.5" x14ac:dyDescent="0.25">
      <c r="A26" s="10">
        <f t="shared" si="9"/>
        <v>20</v>
      </c>
      <c r="B26" s="4" t="s">
        <v>13</v>
      </c>
      <c r="C26" s="20">
        <f t="shared" si="10"/>
        <v>0.9</v>
      </c>
      <c r="D26" s="20">
        <f t="shared" si="11"/>
        <v>0.9</v>
      </c>
      <c r="E26" s="20">
        <f t="shared" si="12"/>
        <v>0</v>
      </c>
      <c r="F26" s="20">
        <f t="shared" si="7"/>
        <v>100</v>
      </c>
      <c r="G26" s="20">
        <v>0.9</v>
      </c>
      <c r="H26" s="20">
        <v>0.9</v>
      </c>
      <c r="I26" s="20">
        <v>0.9</v>
      </c>
      <c r="J26" s="20">
        <v>0.9</v>
      </c>
      <c r="K26" s="20"/>
      <c r="L26" s="20"/>
    </row>
    <row r="27" spans="1:12" ht="15.75" x14ac:dyDescent="0.25">
      <c r="A27" s="10">
        <f t="shared" si="9"/>
        <v>21</v>
      </c>
      <c r="B27" s="4" t="s">
        <v>14</v>
      </c>
      <c r="C27" s="20">
        <f t="shared" si="10"/>
        <v>23</v>
      </c>
      <c r="D27" s="20">
        <f t="shared" si="11"/>
        <v>22.1</v>
      </c>
      <c r="E27" s="20">
        <f t="shared" si="12"/>
        <v>-0.9</v>
      </c>
      <c r="F27" s="20">
        <f t="shared" si="7"/>
        <v>96.1</v>
      </c>
      <c r="G27" s="20">
        <v>23</v>
      </c>
      <c r="H27" s="20">
        <v>22.1</v>
      </c>
      <c r="I27" s="20">
        <v>20.7</v>
      </c>
      <c r="J27" s="20">
        <v>19.8</v>
      </c>
      <c r="K27" s="20"/>
      <c r="L27" s="20"/>
    </row>
    <row r="28" spans="1:12" ht="31.5" x14ac:dyDescent="0.25">
      <c r="A28" s="10">
        <f t="shared" si="9"/>
        <v>22</v>
      </c>
      <c r="B28" s="4" t="s">
        <v>15</v>
      </c>
      <c r="C28" s="20">
        <f t="shared" si="10"/>
        <v>15.2</v>
      </c>
      <c r="D28" s="20">
        <f t="shared" si="11"/>
        <v>15.1</v>
      </c>
      <c r="E28" s="20">
        <f t="shared" si="12"/>
        <v>-0.1</v>
      </c>
      <c r="F28" s="20">
        <f t="shared" si="7"/>
        <v>99.3</v>
      </c>
      <c r="G28" s="20">
        <v>15.2</v>
      </c>
      <c r="H28" s="20">
        <v>15.1</v>
      </c>
      <c r="I28" s="20">
        <v>15</v>
      </c>
      <c r="J28" s="20">
        <v>14.9</v>
      </c>
      <c r="K28" s="20"/>
      <c r="L28" s="20"/>
    </row>
    <row r="29" spans="1:12" ht="31.5" x14ac:dyDescent="0.25">
      <c r="A29" s="10">
        <f t="shared" si="9"/>
        <v>23</v>
      </c>
      <c r="B29" s="4" t="s">
        <v>69</v>
      </c>
      <c r="C29" s="20">
        <f t="shared" si="10"/>
        <v>75.2</v>
      </c>
      <c r="D29" s="20">
        <f t="shared" si="11"/>
        <v>73.3</v>
      </c>
      <c r="E29" s="20">
        <f t="shared" si="12"/>
        <v>-1.9</v>
      </c>
      <c r="F29" s="20">
        <f t="shared" si="7"/>
        <v>97.5</v>
      </c>
      <c r="G29" s="20">
        <v>75.2</v>
      </c>
      <c r="H29" s="20">
        <v>73.3</v>
      </c>
      <c r="I29" s="20">
        <v>59.4</v>
      </c>
      <c r="J29" s="20">
        <v>58.4</v>
      </c>
      <c r="K29" s="20"/>
      <c r="L29" s="20"/>
    </row>
    <row r="30" spans="1:12" ht="31.5" x14ac:dyDescent="0.25">
      <c r="A30" s="10">
        <f t="shared" si="9"/>
        <v>24</v>
      </c>
      <c r="B30" s="4" t="s">
        <v>82</v>
      </c>
      <c r="C30" s="20">
        <f t="shared" si="10"/>
        <v>34.5</v>
      </c>
      <c r="D30" s="20">
        <f t="shared" si="11"/>
        <v>33.9</v>
      </c>
      <c r="E30" s="20">
        <f t="shared" si="12"/>
        <v>-0.6</v>
      </c>
      <c r="F30" s="20">
        <f t="shared" si="7"/>
        <v>98.3</v>
      </c>
      <c r="G30" s="20">
        <v>34.5</v>
      </c>
      <c r="H30" s="20">
        <v>33.9</v>
      </c>
      <c r="I30" s="20">
        <v>30.5</v>
      </c>
      <c r="J30" s="20">
        <v>30.4</v>
      </c>
      <c r="K30" s="20"/>
      <c r="L30" s="20"/>
    </row>
    <row r="31" spans="1:12" ht="15.75" x14ac:dyDescent="0.25">
      <c r="A31" s="10">
        <f t="shared" si="9"/>
        <v>25</v>
      </c>
      <c r="B31" s="4" t="s">
        <v>16</v>
      </c>
      <c r="C31" s="20">
        <f t="shared" si="10"/>
        <v>85.6</v>
      </c>
      <c r="D31" s="20">
        <f t="shared" si="11"/>
        <v>84.5</v>
      </c>
      <c r="E31" s="20">
        <f t="shared" si="12"/>
        <v>-1.1000000000000001</v>
      </c>
      <c r="F31" s="20">
        <f t="shared" si="7"/>
        <v>98.7</v>
      </c>
      <c r="G31" s="20">
        <v>85.6</v>
      </c>
      <c r="H31" s="20">
        <v>84.5</v>
      </c>
      <c r="I31" s="20">
        <v>84.1</v>
      </c>
      <c r="J31" s="20">
        <v>83.2</v>
      </c>
      <c r="K31" s="20"/>
      <c r="L31" s="20"/>
    </row>
    <row r="32" spans="1:12" ht="15.75" x14ac:dyDescent="0.25">
      <c r="A32" s="10">
        <f t="shared" si="9"/>
        <v>26</v>
      </c>
      <c r="B32" s="4" t="s">
        <v>17</v>
      </c>
      <c r="C32" s="20">
        <f t="shared" si="10"/>
        <v>66.400000000000006</v>
      </c>
      <c r="D32" s="20">
        <f t="shared" si="11"/>
        <v>66.3</v>
      </c>
      <c r="E32" s="20">
        <f t="shared" si="12"/>
        <v>-0.1</v>
      </c>
      <c r="F32" s="20">
        <f t="shared" si="7"/>
        <v>99.8</v>
      </c>
      <c r="G32" s="20">
        <v>66.400000000000006</v>
      </c>
      <c r="H32" s="20">
        <v>66.3</v>
      </c>
      <c r="I32" s="20">
        <v>63.2</v>
      </c>
      <c r="J32" s="20">
        <v>63.1</v>
      </c>
      <c r="K32" s="20"/>
      <c r="L32" s="20"/>
    </row>
    <row r="33" spans="1:12" ht="47.25" x14ac:dyDescent="0.25">
      <c r="A33" s="10">
        <f t="shared" si="9"/>
        <v>27</v>
      </c>
      <c r="B33" s="4" t="s">
        <v>65</v>
      </c>
      <c r="C33" s="20">
        <f t="shared" si="10"/>
        <v>23</v>
      </c>
      <c r="D33" s="20">
        <f t="shared" si="11"/>
        <v>22.9</v>
      </c>
      <c r="E33" s="20">
        <f t="shared" si="12"/>
        <v>-0.1</v>
      </c>
      <c r="F33" s="20">
        <f t="shared" si="7"/>
        <v>99.6</v>
      </c>
      <c r="G33" s="20">
        <v>23</v>
      </c>
      <c r="H33" s="20">
        <v>22.9</v>
      </c>
      <c r="I33" s="20">
        <v>22.6</v>
      </c>
      <c r="J33" s="20">
        <v>22.4</v>
      </c>
      <c r="K33" s="20"/>
      <c r="L33" s="20"/>
    </row>
    <row r="34" spans="1:12" ht="31.5" x14ac:dyDescent="0.25">
      <c r="A34" s="10">
        <f t="shared" si="9"/>
        <v>28</v>
      </c>
      <c r="B34" s="4" t="s">
        <v>18</v>
      </c>
      <c r="C34" s="20">
        <f t="shared" si="10"/>
        <v>2.6</v>
      </c>
      <c r="D34" s="20">
        <f t="shared" si="11"/>
        <v>1.6</v>
      </c>
      <c r="E34" s="20">
        <f t="shared" si="12"/>
        <v>-1</v>
      </c>
      <c r="F34" s="20">
        <f t="shared" si="7"/>
        <v>61.5</v>
      </c>
      <c r="G34" s="20">
        <v>2.6</v>
      </c>
      <c r="H34" s="20">
        <v>1.6</v>
      </c>
      <c r="I34" s="20"/>
      <c r="J34" s="20"/>
      <c r="K34" s="20"/>
      <c r="L34" s="20"/>
    </row>
    <row r="35" spans="1:12" ht="15.75" x14ac:dyDescent="0.25">
      <c r="A35" s="10">
        <f t="shared" si="9"/>
        <v>29</v>
      </c>
      <c r="B35" s="9" t="s">
        <v>38</v>
      </c>
      <c r="C35" s="20">
        <f t="shared" si="10"/>
        <v>19.7</v>
      </c>
      <c r="D35" s="20">
        <f t="shared" si="11"/>
        <v>19.100000000000001</v>
      </c>
      <c r="E35" s="20">
        <f t="shared" si="12"/>
        <v>-0.6</v>
      </c>
      <c r="F35" s="20">
        <f t="shared" si="7"/>
        <v>97</v>
      </c>
      <c r="G35" s="20">
        <v>19.7</v>
      </c>
      <c r="H35" s="20">
        <v>19.100000000000001</v>
      </c>
      <c r="I35" s="20">
        <v>19</v>
      </c>
      <c r="J35" s="20">
        <v>18.899999999999999</v>
      </c>
      <c r="K35" s="20"/>
      <c r="L35" s="20"/>
    </row>
    <row r="36" spans="1:12" ht="31.5" x14ac:dyDescent="0.25">
      <c r="A36" s="10">
        <f t="shared" si="9"/>
        <v>30</v>
      </c>
      <c r="B36" s="4" t="s">
        <v>84</v>
      </c>
      <c r="C36" s="20">
        <f t="shared" si="10"/>
        <v>10.1</v>
      </c>
      <c r="D36" s="20">
        <f t="shared" si="11"/>
        <v>7.3</v>
      </c>
      <c r="E36" s="20">
        <f t="shared" si="12"/>
        <v>-2.8</v>
      </c>
      <c r="F36" s="20">
        <f t="shared" si="7"/>
        <v>72.3</v>
      </c>
      <c r="G36" s="20">
        <v>10.1</v>
      </c>
      <c r="H36" s="20">
        <v>7.3</v>
      </c>
      <c r="I36" s="20">
        <v>9.9</v>
      </c>
      <c r="J36" s="20">
        <v>7.2</v>
      </c>
      <c r="K36" s="20"/>
      <c r="L36" s="20"/>
    </row>
    <row r="37" spans="1:12" ht="15.75" x14ac:dyDescent="0.25">
      <c r="A37" s="10">
        <f t="shared" si="9"/>
        <v>31</v>
      </c>
      <c r="B37" s="4" t="s">
        <v>39</v>
      </c>
      <c r="C37" s="20">
        <f t="shared" si="10"/>
        <v>138.6</v>
      </c>
      <c r="D37" s="20">
        <f t="shared" si="11"/>
        <v>120.9</v>
      </c>
      <c r="E37" s="20">
        <f t="shared" si="12"/>
        <v>-17.7</v>
      </c>
      <c r="F37" s="20">
        <f t="shared" si="7"/>
        <v>87.2</v>
      </c>
      <c r="G37" s="20">
        <v>138.6</v>
      </c>
      <c r="H37" s="20">
        <v>120.9</v>
      </c>
      <c r="I37" s="20">
        <v>133</v>
      </c>
      <c r="J37" s="20">
        <v>117.7</v>
      </c>
      <c r="K37" s="20"/>
      <c r="L37" s="20"/>
    </row>
    <row r="38" spans="1:12" ht="31.5" x14ac:dyDescent="0.25">
      <c r="A38" s="10">
        <f t="shared" si="9"/>
        <v>32</v>
      </c>
      <c r="B38" s="4" t="s">
        <v>40</v>
      </c>
      <c r="C38" s="20">
        <f t="shared" si="10"/>
        <v>22.9</v>
      </c>
      <c r="D38" s="20">
        <f t="shared" si="11"/>
        <v>21</v>
      </c>
      <c r="E38" s="20">
        <f t="shared" si="12"/>
        <v>-1.9</v>
      </c>
      <c r="F38" s="20">
        <f t="shared" si="7"/>
        <v>91.7</v>
      </c>
      <c r="G38" s="20">
        <v>22.9</v>
      </c>
      <c r="H38" s="20">
        <v>21</v>
      </c>
      <c r="I38" s="20">
        <v>20.7</v>
      </c>
      <c r="J38" s="20">
        <v>20.6</v>
      </c>
      <c r="K38" s="20"/>
      <c r="L38" s="20"/>
    </row>
    <row r="39" spans="1:12" ht="15.75" x14ac:dyDescent="0.25">
      <c r="A39" s="10">
        <f t="shared" si="9"/>
        <v>33</v>
      </c>
      <c r="B39" s="4" t="s">
        <v>41</v>
      </c>
      <c r="C39" s="20">
        <f t="shared" si="10"/>
        <v>37.299999999999997</v>
      </c>
      <c r="D39" s="20">
        <f t="shared" si="11"/>
        <v>23.7</v>
      </c>
      <c r="E39" s="20">
        <f t="shared" si="12"/>
        <v>-13.6</v>
      </c>
      <c r="F39" s="20">
        <f t="shared" si="7"/>
        <v>63.5</v>
      </c>
      <c r="G39" s="20">
        <v>37.299999999999997</v>
      </c>
      <c r="H39" s="20">
        <v>23.7</v>
      </c>
      <c r="I39" s="20">
        <v>35.1</v>
      </c>
      <c r="J39" s="20">
        <v>23.1</v>
      </c>
      <c r="K39" s="20"/>
      <c r="L39" s="20"/>
    </row>
    <row r="40" spans="1:12" ht="31.5" x14ac:dyDescent="0.25">
      <c r="A40" s="10">
        <f t="shared" si="9"/>
        <v>34</v>
      </c>
      <c r="B40" s="4" t="s">
        <v>85</v>
      </c>
      <c r="C40" s="20">
        <f t="shared" si="10"/>
        <v>3</v>
      </c>
      <c r="D40" s="20">
        <f t="shared" si="11"/>
        <v>1.4</v>
      </c>
      <c r="E40" s="20">
        <f t="shared" si="12"/>
        <v>-1.6</v>
      </c>
      <c r="F40" s="20">
        <f t="shared" si="7"/>
        <v>46.7</v>
      </c>
      <c r="G40" s="20">
        <v>3</v>
      </c>
      <c r="H40" s="20">
        <v>1.4</v>
      </c>
      <c r="I40" s="20">
        <v>2.9</v>
      </c>
      <c r="J40" s="20">
        <v>1.3</v>
      </c>
      <c r="K40" s="20"/>
      <c r="L40" s="20"/>
    </row>
    <row r="41" spans="1:12" ht="47.25" x14ac:dyDescent="0.25">
      <c r="A41" s="10">
        <f t="shared" si="9"/>
        <v>35</v>
      </c>
      <c r="B41" s="4" t="s">
        <v>86</v>
      </c>
      <c r="C41" s="20">
        <f t="shared" si="10"/>
        <v>1.4</v>
      </c>
      <c r="D41" s="20">
        <f t="shared" si="11"/>
        <v>1.3</v>
      </c>
      <c r="E41" s="20">
        <f t="shared" si="12"/>
        <v>-0.1</v>
      </c>
      <c r="F41" s="20">
        <f t="shared" si="7"/>
        <v>92.9</v>
      </c>
      <c r="G41" s="20">
        <v>1.4</v>
      </c>
      <c r="H41" s="20">
        <v>1.3</v>
      </c>
      <c r="I41" s="20">
        <v>1.4</v>
      </c>
      <c r="J41" s="20">
        <v>1.3</v>
      </c>
      <c r="K41" s="20"/>
      <c r="L41" s="20"/>
    </row>
    <row r="42" spans="1:12" ht="31.5" x14ac:dyDescent="0.25">
      <c r="A42" s="10">
        <f t="shared" si="9"/>
        <v>36</v>
      </c>
      <c r="B42" s="4" t="s">
        <v>100</v>
      </c>
      <c r="C42" s="20">
        <f t="shared" si="10"/>
        <v>46</v>
      </c>
      <c r="D42" s="20">
        <f t="shared" si="11"/>
        <v>45.5</v>
      </c>
      <c r="E42" s="20">
        <f t="shared" si="12"/>
        <v>-0.5</v>
      </c>
      <c r="F42" s="20">
        <f t="shared" si="7"/>
        <v>98.9</v>
      </c>
      <c r="G42" s="20">
        <v>46</v>
      </c>
      <c r="H42" s="20">
        <f>45.4+0.1</f>
        <v>45.5</v>
      </c>
      <c r="I42" s="20">
        <v>39.9</v>
      </c>
      <c r="J42" s="20">
        <v>39.799999999999997</v>
      </c>
      <c r="K42" s="20"/>
      <c r="L42" s="20"/>
    </row>
    <row r="43" spans="1:12" ht="47.25" x14ac:dyDescent="0.25">
      <c r="A43" s="10">
        <f t="shared" si="9"/>
        <v>37</v>
      </c>
      <c r="B43" s="4" t="s">
        <v>109</v>
      </c>
      <c r="C43" s="20">
        <f t="shared" si="10"/>
        <v>0.3</v>
      </c>
      <c r="D43" s="20">
        <f t="shared" si="11"/>
        <v>0.3</v>
      </c>
      <c r="E43" s="20">
        <f t="shared" si="12"/>
        <v>0</v>
      </c>
      <c r="F43" s="20">
        <f t="shared" si="7"/>
        <v>100</v>
      </c>
      <c r="G43" s="20">
        <v>0.3</v>
      </c>
      <c r="H43" s="20">
        <v>0.3</v>
      </c>
      <c r="I43" s="20">
        <v>0.3</v>
      </c>
      <c r="J43" s="20">
        <v>0.3</v>
      </c>
      <c r="K43" s="20"/>
      <c r="L43" s="20"/>
    </row>
    <row r="44" spans="1:12" ht="15.75" x14ac:dyDescent="0.25">
      <c r="A44" s="10">
        <f t="shared" si="9"/>
        <v>38</v>
      </c>
      <c r="B44" s="4" t="s">
        <v>70</v>
      </c>
      <c r="C44" s="20">
        <f t="shared" si="10"/>
        <v>5.4</v>
      </c>
      <c r="D44" s="20">
        <f t="shared" si="11"/>
        <v>5.4</v>
      </c>
      <c r="E44" s="20">
        <f t="shared" si="12"/>
        <v>0</v>
      </c>
      <c r="F44" s="20">
        <f t="shared" si="7"/>
        <v>100</v>
      </c>
      <c r="G44" s="20">
        <v>5.4</v>
      </c>
      <c r="H44" s="20">
        <v>5.4</v>
      </c>
      <c r="I44" s="20"/>
      <c r="J44" s="20"/>
      <c r="K44" s="20"/>
      <c r="L44" s="20"/>
    </row>
    <row r="45" spans="1:12" ht="47.25" x14ac:dyDescent="0.25">
      <c r="A45" s="10">
        <f t="shared" si="9"/>
        <v>39</v>
      </c>
      <c r="B45" s="25" t="s">
        <v>88</v>
      </c>
      <c r="C45" s="20">
        <f t="shared" si="10"/>
        <v>4.5</v>
      </c>
      <c r="D45" s="20">
        <f t="shared" si="11"/>
        <v>4.4000000000000004</v>
      </c>
      <c r="E45" s="20">
        <f t="shared" si="12"/>
        <v>-0.1</v>
      </c>
      <c r="F45" s="20">
        <f t="shared" si="7"/>
        <v>97.8</v>
      </c>
      <c r="G45" s="20">
        <v>4.5</v>
      </c>
      <c r="H45" s="20">
        <v>4.4000000000000004</v>
      </c>
      <c r="I45" s="20">
        <v>4.4000000000000004</v>
      </c>
      <c r="J45" s="20">
        <v>4.3</v>
      </c>
      <c r="K45" s="20"/>
      <c r="L45" s="20"/>
    </row>
    <row r="46" spans="1:12" ht="47.25" x14ac:dyDescent="0.25">
      <c r="A46" s="10">
        <f t="shared" si="9"/>
        <v>40</v>
      </c>
      <c r="B46" s="25" t="s">
        <v>127</v>
      </c>
      <c r="C46" s="20">
        <f t="shared" si="10"/>
        <v>30.3</v>
      </c>
      <c r="D46" s="20">
        <f t="shared" si="11"/>
        <v>29.3</v>
      </c>
      <c r="E46" s="20">
        <f t="shared" si="12"/>
        <v>-1</v>
      </c>
      <c r="F46" s="20">
        <f t="shared" si="7"/>
        <v>96.7</v>
      </c>
      <c r="G46" s="20">
        <v>30.3</v>
      </c>
      <c r="H46" s="20">
        <v>29.3</v>
      </c>
      <c r="I46" s="20">
        <v>29.8</v>
      </c>
      <c r="J46" s="20">
        <v>28.9</v>
      </c>
      <c r="K46" s="20"/>
      <c r="L46" s="20"/>
    </row>
    <row r="47" spans="1:12" ht="94.5" x14ac:dyDescent="0.25">
      <c r="A47" s="10">
        <f t="shared" si="9"/>
        <v>41</v>
      </c>
      <c r="B47" s="25" t="s">
        <v>153</v>
      </c>
      <c r="C47" s="20">
        <f t="shared" si="10"/>
        <v>1142.8</v>
      </c>
      <c r="D47" s="20">
        <f t="shared" si="11"/>
        <v>1139.4000000000001</v>
      </c>
      <c r="E47" s="20">
        <f t="shared" si="12"/>
        <v>-3.4</v>
      </c>
      <c r="F47" s="20">
        <f t="shared" si="7"/>
        <v>99.7</v>
      </c>
      <c r="G47" s="20">
        <v>1142.8</v>
      </c>
      <c r="H47" s="20">
        <v>1139.4000000000001</v>
      </c>
      <c r="I47" s="20"/>
      <c r="J47" s="20"/>
      <c r="K47" s="20"/>
      <c r="L47" s="20"/>
    </row>
    <row r="48" spans="1:12" ht="78.75" x14ac:dyDescent="0.25">
      <c r="A48" s="10">
        <f t="shared" si="9"/>
        <v>42</v>
      </c>
      <c r="B48" s="25" t="s">
        <v>126</v>
      </c>
      <c r="C48" s="20">
        <f t="shared" si="10"/>
        <v>5</v>
      </c>
      <c r="D48" s="20">
        <f t="shared" si="11"/>
        <v>5</v>
      </c>
      <c r="E48" s="20">
        <f t="shared" si="12"/>
        <v>0</v>
      </c>
      <c r="F48" s="20">
        <f t="shared" si="7"/>
        <v>100</v>
      </c>
      <c r="G48" s="20">
        <v>5</v>
      </c>
      <c r="H48" s="20">
        <v>5</v>
      </c>
      <c r="I48" s="20"/>
      <c r="J48" s="20"/>
      <c r="K48" s="20"/>
      <c r="L48" s="20"/>
    </row>
    <row r="49" spans="1:12" s="3" customFormat="1" ht="15.75" x14ac:dyDescent="0.25">
      <c r="A49" s="10">
        <f t="shared" si="9"/>
        <v>43</v>
      </c>
      <c r="B49" s="8" t="s">
        <v>43</v>
      </c>
      <c r="C49" s="19">
        <f>+C51+C52+C53+C54</f>
        <v>8145.8</v>
      </c>
      <c r="D49" s="19">
        <f t="shared" ref="D49:L49" si="18">+D51+D52+D53+D54</f>
        <v>7372.6</v>
      </c>
      <c r="E49" s="19">
        <f t="shared" si="18"/>
        <v>-773.2</v>
      </c>
      <c r="F49" s="19">
        <f t="shared" si="7"/>
        <v>90.5</v>
      </c>
      <c r="G49" s="19">
        <f t="shared" si="18"/>
        <v>5297.5</v>
      </c>
      <c r="H49" s="19">
        <f t="shared" si="18"/>
        <v>4947</v>
      </c>
      <c r="I49" s="19">
        <f t="shared" si="18"/>
        <v>0</v>
      </c>
      <c r="J49" s="19">
        <f t="shared" si="18"/>
        <v>0</v>
      </c>
      <c r="K49" s="19">
        <f t="shared" si="18"/>
        <v>2848.3</v>
      </c>
      <c r="L49" s="19">
        <f t="shared" si="18"/>
        <v>2425.6</v>
      </c>
    </row>
    <row r="50" spans="1:12" ht="15.75" x14ac:dyDescent="0.25">
      <c r="A50" s="10">
        <f t="shared" si="9"/>
        <v>44</v>
      </c>
      <c r="B50" s="68" t="s">
        <v>2</v>
      </c>
      <c r="C50" s="20">
        <f t="shared" si="10"/>
        <v>0</v>
      </c>
      <c r="D50" s="20">
        <f t="shared" si="11"/>
        <v>0</v>
      </c>
      <c r="E50" s="20">
        <f t="shared" si="12"/>
        <v>0</v>
      </c>
      <c r="F50" s="20"/>
      <c r="G50" s="20"/>
      <c r="H50" s="20"/>
      <c r="I50" s="20"/>
      <c r="J50" s="20"/>
      <c r="K50" s="20"/>
      <c r="L50" s="20"/>
    </row>
    <row r="51" spans="1:12" ht="31.5" x14ac:dyDescent="0.25">
      <c r="A51" s="10">
        <f t="shared" si="9"/>
        <v>45</v>
      </c>
      <c r="B51" s="9" t="s">
        <v>66</v>
      </c>
      <c r="C51" s="20">
        <f t="shared" si="10"/>
        <v>5194</v>
      </c>
      <c r="D51" s="20">
        <f t="shared" si="11"/>
        <v>4841</v>
      </c>
      <c r="E51" s="20">
        <f t="shared" si="12"/>
        <v>-353</v>
      </c>
      <c r="F51" s="20">
        <f t="shared" si="7"/>
        <v>93.2</v>
      </c>
      <c r="G51" s="20">
        <f>8.5+4861</f>
        <v>4869.5</v>
      </c>
      <c r="H51" s="20">
        <v>4570.8</v>
      </c>
      <c r="I51" s="20"/>
      <c r="J51" s="20"/>
      <c r="K51" s="20">
        <v>324.5</v>
      </c>
      <c r="L51" s="20">
        <v>270.2</v>
      </c>
    </row>
    <row r="52" spans="1:12" ht="47.25" x14ac:dyDescent="0.25">
      <c r="A52" s="10">
        <f t="shared" si="9"/>
        <v>46</v>
      </c>
      <c r="B52" s="9" t="s">
        <v>96</v>
      </c>
      <c r="C52" s="20">
        <f t="shared" si="10"/>
        <v>2449.8000000000002</v>
      </c>
      <c r="D52" s="20">
        <f t="shared" si="11"/>
        <v>2097.1</v>
      </c>
      <c r="E52" s="20">
        <f t="shared" si="12"/>
        <v>-352.7</v>
      </c>
      <c r="F52" s="20">
        <f t="shared" si="7"/>
        <v>85.6</v>
      </c>
      <c r="G52" s="20"/>
      <c r="H52" s="20"/>
      <c r="I52" s="20"/>
      <c r="J52" s="20"/>
      <c r="K52" s="20">
        <f>2289.8+160</f>
        <v>2449.8000000000002</v>
      </c>
      <c r="L52" s="20">
        <v>2097.1</v>
      </c>
    </row>
    <row r="53" spans="1:12" ht="63" x14ac:dyDescent="0.25">
      <c r="A53" s="10">
        <f t="shared" si="9"/>
        <v>47</v>
      </c>
      <c r="B53" s="9" t="s">
        <v>137</v>
      </c>
      <c r="C53" s="20">
        <f t="shared" si="10"/>
        <v>30</v>
      </c>
      <c r="D53" s="20">
        <f t="shared" si="11"/>
        <v>0</v>
      </c>
      <c r="E53" s="20">
        <f t="shared" si="12"/>
        <v>-30</v>
      </c>
      <c r="F53" s="20">
        <f t="shared" si="7"/>
        <v>0</v>
      </c>
      <c r="G53" s="20">
        <v>30</v>
      </c>
      <c r="H53" s="20"/>
      <c r="I53" s="20"/>
      <c r="J53" s="20"/>
      <c r="K53" s="20"/>
      <c r="L53" s="20"/>
    </row>
    <row r="54" spans="1:12" ht="15.75" x14ac:dyDescent="0.25">
      <c r="A54" s="10">
        <f t="shared" si="9"/>
        <v>48</v>
      </c>
      <c r="B54" s="4" t="s">
        <v>44</v>
      </c>
      <c r="C54" s="20">
        <f t="shared" si="10"/>
        <v>472</v>
      </c>
      <c r="D54" s="20">
        <f t="shared" si="11"/>
        <v>434.5</v>
      </c>
      <c r="E54" s="20">
        <f t="shared" si="12"/>
        <v>-37.5</v>
      </c>
      <c r="F54" s="20">
        <f t="shared" si="7"/>
        <v>92.1</v>
      </c>
      <c r="G54" s="20">
        <f>334.2+63.8</f>
        <v>398</v>
      </c>
      <c r="H54" s="20">
        <v>376.2</v>
      </c>
      <c r="I54" s="20"/>
      <c r="J54" s="20"/>
      <c r="K54" s="20">
        <v>74</v>
      </c>
      <c r="L54" s="20">
        <v>58.3</v>
      </c>
    </row>
    <row r="55" spans="1:12" s="3" customFormat="1" ht="31.5" x14ac:dyDescent="0.25">
      <c r="A55" s="10">
        <f t="shared" si="9"/>
        <v>49</v>
      </c>
      <c r="B55" s="5" t="s">
        <v>180</v>
      </c>
      <c r="C55" s="19">
        <f>+C57++C58+C59+C60</f>
        <v>23001.3</v>
      </c>
      <c r="D55" s="19">
        <f t="shared" ref="D55:E55" si="19">+D57++D58+D59+D60</f>
        <v>21683.200000000001</v>
      </c>
      <c r="E55" s="19">
        <f t="shared" si="19"/>
        <v>-1318.1</v>
      </c>
      <c r="F55" s="19">
        <f t="shared" si="7"/>
        <v>94.3</v>
      </c>
      <c r="G55" s="19">
        <f t="shared" ref="G55:L55" si="20">+G57++G58+G59+G60</f>
        <v>10037.299999999999</v>
      </c>
      <c r="H55" s="19">
        <f t="shared" si="20"/>
        <v>9471.4</v>
      </c>
      <c r="I55" s="19">
        <f t="shared" si="20"/>
        <v>9.1</v>
      </c>
      <c r="J55" s="19">
        <f t="shared" si="20"/>
        <v>4.8</v>
      </c>
      <c r="K55" s="19">
        <f t="shared" si="20"/>
        <v>12964</v>
      </c>
      <c r="L55" s="19">
        <f t="shared" si="20"/>
        <v>12211.8</v>
      </c>
    </row>
    <row r="56" spans="1:12" ht="15.75" x14ac:dyDescent="0.25">
      <c r="A56" s="10">
        <f t="shared" si="9"/>
        <v>50</v>
      </c>
      <c r="B56" s="68" t="s">
        <v>2</v>
      </c>
      <c r="C56" s="20">
        <f t="shared" si="10"/>
        <v>0</v>
      </c>
      <c r="D56" s="20">
        <f t="shared" si="11"/>
        <v>0</v>
      </c>
      <c r="E56" s="20">
        <f t="shared" si="12"/>
        <v>0</v>
      </c>
      <c r="F56" s="20"/>
      <c r="G56" s="20"/>
      <c r="H56" s="20"/>
      <c r="I56" s="20"/>
      <c r="J56" s="20"/>
      <c r="K56" s="20"/>
      <c r="L56" s="20"/>
    </row>
    <row r="57" spans="1:12" ht="31.5" x14ac:dyDescent="0.25">
      <c r="A57" s="10">
        <f t="shared" si="9"/>
        <v>51</v>
      </c>
      <c r="B57" s="4" t="s">
        <v>90</v>
      </c>
      <c r="C57" s="20">
        <f t="shared" si="10"/>
        <v>11073.6</v>
      </c>
      <c r="D57" s="20">
        <f t="shared" si="11"/>
        <v>10067.200000000001</v>
      </c>
      <c r="E57" s="20">
        <f t="shared" si="12"/>
        <v>-1006.4</v>
      </c>
      <c r="F57" s="20">
        <f t="shared" si="7"/>
        <v>90.9</v>
      </c>
      <c r="G57" s="20">
        <f>8278.8-1465.7+1900-580.4-47</f>
        <v>8085.7</v>
      </c>
      <c r="H57" s="20">
        <v>7765.8</v>
      </c>
      <c r="I57" s="20">
        <v>9.1</v>
      </c>
      <c r="J57" s="20">
        <v>4.8</v>
      </c>
      <c r="K57" s="20">
        <f>1465.7+580.4+47+894.8</f>
        <v>2987.9</v>
      </c>
      <c r="L57" s="20">
        <v>2301.4</v>
      </c>
    </row>
    <row r="58" spans="1:12" ht="47.25" x14ac:dyDescent="0.25">
      <c r="A58" s="10">
        <f t="shared" si="9"/>
        <v>52</v>
      </c>
      <c r="B58" s="4" t="s">
        <v>95</v>
      </c>
      <c r="C58" s="20">
        <f t="shared" si="10"/>
        <v>2912.5</v>
      </c>
      <c r="D58" s="20">
        <f t="shared" si="11"/>
        <v>2878.7</v>
      </c>
      <c r="E58" s="20">
        <f t="shared" si="12"/>
        <v>-33.799999999999997</v>
      </c>
      <c r="F58" s="20">
        <f t="shared" si="7"/>
        <v>98.8</v>
      </c>
      <c r="G58" s="20"/>
      <c r="H58" s="20"/>
      <c r="I58" s="20"/>
      <c r="J58" s="20"/>
      <c r="K58" s="20">
        <v>2912.5</v>
      </c>
      <c r="L58" s="20">
        <v>2878.7</v>
      </c>
    </row>
    <row r="59" spans="1:12" ht="78.75" x14ac:dyDescent="0.25">
      <c r="A59" s="10">
        <f t="shared" si="9"/>
        <v>53</v>
      </c>
      <c r="B59" s="4" t="s">
        <v>125</v>
      </c>
      <c r="C59" s="20">
        <f t="shared" si="10"/>
        <v>7415.2</v>
      </c>
      <c r="D59" s="20">
        <f t="shared" si="11"/>
        <v>7137.3</v>
      </c>
      <c r="E59" s="20">
        <f t="shared" si="12"/>
        <v>-277.89999999999998</v>
      </c>
      <c r="F59" s="20">
        <f t="shared" si="7"/>
        <v>96.3</v>
      </c>
      <c r="G59" s="20">
        <f>396.5+1555.1</f>
        <v>1951.6</v>
      </c>
      <c r="H59" s="20">
        <v>1705.6</v>
      </c>
      <c r="I59" s="20"/>
      <c r="J59" s="20"/>
      <c r="K59" s="20">
        <f>3475.9+85.2+1902.5</f>
        <v>5463.6</v>
      </c>
      <c r="L59" s="20">
        <v>5431.7</v>
      </c>
    </row>
    <row r="60" spans="1:12" ht="47.25" x14ac:dyDescent="0.25">
      <c r="A60" s="10">
        <f t="shared" si="9"/>
        <v>54</v>
      </c>
      <c r="B60" s="4" t="s">
        <v>142</v>
      </c>
      <c r="C60" s="20">
        <f t="shared" si="10"/>
        <v>1600</v>
      </c>
      <c r="D60" s="20">
        <f t="shared" si="11"/>
        <v>1600</v>
      </c>
      <c r="E60" s="20">
        <f t="shared" si="12"/>
        <v>0</v>
      </c>
      <c r="F60" s="20">
        <f t="shared" si="7"/>
        <v>100</v>
      </c>
      <c r="G60" s="20"/>
      <c r="H60" s="20"/>
      <c r="I60" s="20"/>
      <c r="J60" s="20"/>
      <c r="K60" s="20">
        <v>1600</v>
      </c>
      <c r="L60" s="20">
        <v>1600</v>
      </c>
    </row>
    <row r="61" spans="1:12" s="3" customFormat="1" ht="31.5" x14ac:dyDescent="0.25">
      <c r="A61" s="10">
        <f t="shared" si="9"/>
        <v>55</v>
      </c>
      <c r="B61" s="5" t="s">
        <v>181</v>
      </c>
      <c r="C61" s="19">
        <f>+C63+C64+C65+C66</f>
        <v>22799.5</v>
      </c>
      <c r="D61" s="19">
        <f t="shared" ref="D61:L61" si="21">+D63+D64+D65+D66</f>
        <v>20693</v>
      </c>
      <c r="E61" s="19">
        <f t="shared" si="21"/>
        <v>-2106.5</v>
      </c>
      <c r="F61" s="19">
        <f t="shared" si="7"/>
        <v>90.8</v>
      </c>
      <c r="G61" s="19">
        <f t="shared" si="21"/>
        <v>7192.3</v>
      </c>
      <c r="H61" s="19">
        <f t="shared" si="21"/>
        <v>6661.3</v>
      </c>
      <c r="I61" s="19">
        <f t="shared" si="21"/>
        <v>687.8</v>
      </c>
      <c r="J61" s="19">
        <f t="shared" si="21"/>
        <v>557.79999999999995</v>
      </c>
      <c r="K61" s="19">
        <f t="shared" si="21"/>
        <v>15607.2</v>
      </c>
      <c r="L61" s="19">
        <f t="shared" si="21"/>
        <v>14031.7</v>
      </c>
    </row>
    <row r="62" spans="1:12" ht="15.75" x14ac:dyDescent="0.25">
      <c r="A62" s="10">
        <f t="shared" si="9"/>
        <v>56</v>
      </c>
      <c r="B62" s="68" t="s">
        <v>2</v>
      </c>
      <c r="C62" s="20">
        <f t="shared" si="10"/>
        <v>0</v>
      </c>
      <c r="D62" s="20">
        <f t="shared" si="11"/>
        <v>0</v>
      </c>
      <c r="E62" s="20">
        <f t="shared" si="12"/>
        <v>0</v>
      </c>
      <c r="F62" s="20"/>
      <c r="G62" s="20"/>
      <c r="H62" s="20"/>
      <c r="I62" s="20"/>
      <c r="J62" s="20"/>
      <c r="K62" s="20"/>
      <c r="L62" s="20"/>
    </row>
    <row r="63" spans="1:12" ht="47.25" x14ac:dyDescent="0.25">
      <c r="A63" s="10">
        <f t="shared" si="9"/>
        <v>57</v>
      </c>
      <c r="B63" s="4" t="s">
        <v>45</v>
      </c>
      <c r="C63" s="20">
        <f t="shared" si="10"/>
        <v>10705.8</v>
      </c>
      <c r="D63" s="20">
        <f t="shared" si="11"/>
        <v>9652.2999999999993</v>
      </c>
      <c r="E63" s="20">
        <f t="shared" si="12"/>
        <v>-1053.5</v>
      </c>
      <c r="F63" s="20">
        <f t="shared" si="7"/>
        <v>90.2</v>
      </c>
      <c r="G63" s="20">
        <f>10705.8-3466.1-10.5-22.7-1.7-71.1</f>
        <v>7133.7</v>
      </c>
      <c r="H63" s="20">
        <v>6613.6</v>
      </c>
      <c r="I63" s="20">
        <v>644.29999999999995</v>
      </c>
      <c r="J63" s="20">
        <v>522.29999999999995</v>
      </c>
      <c r="K63" s="20">
        <f>3466.1+10.5+22.7+1.7+71.1</f>
        <v>3572.1</v>
      </c>
      <c r="L63" s="20">
        <v>3038.7</v>
      </c>
    </row>
    <row r="64" spans="1:12" ht="31.5" x14ac:dyDescent="0.25">
      <c r="A64" s="10">
        <f t="shared" si="9"/>
        <v>58</v>
      </c>
      <c r="B64" s="4" t="s">
        <v>140</v>
      </c>
      <c r="C64" s="20">
        <f t="shared" si="10"/>
        <v>2370</v>
      </c>
      <c r="D64" s="20">
        <f t="shared" si="11"/>
        <v>2370</v>
      </c>
      <c r="E64" s="20">
        <f t="shared" si="12"/>
        <v>0</v>
      </c>
      <c r="F64" s="20">
        <f t="shared" si="7"/>
        <v>100</v>
      </c>
      <c r="G64" s="20"/>
      <c r="H64" s="20"/>
      <c r="I64" s="20"/>
      <c r="J64" s="20"/>
      <c r="K64" s="20">
        <v>2370</v>
      </c>
      <c r="L64" s="20">
        <v>2370</v>
      </c>
    </row>
    <row r="65" spans="1:12" ht="47.25" x14ac:dyDescent="0.25">
      <c r="A65" s="10">
        <f t="shared" si="9"/>
        <v>59</v>
      </c>
      <c r="B65" s="4" t="s">
        <v>51</v>
      </c>
      <c r="C65" s="20">
        <f t="shared" si="10"/>
        <v>35.700000000000003</v>
      </c>
      <c r="D65" s="20">
        <f t="shared" si="11"/>
        <v>28.1</v>
      </c>
      <c r="E65" s="20">
        <f t="shared" si="12"/>
        <v>-7.6</v>
      </c>
      <c r="F65" s="20">
        <f t="shared" si="7"/>
        <v>78.7</v>
      </c>
      <c r="G65" s="20">
        <f>7.7+28</f>
        <v>35.700000000000003</v>
      </c>
      <c r="H65" s="20">
        <v>28.1</v>
      </c>
      <c r="I65" s="20">
        <v>22.4</v>
      </c>
      <c r="J65" s="20">
        <v>16.3</v>
      </c>
      <c r="K65" s="20"/>
      <c r="L65" s="20"/>
    </row>
    <row r="66" spans="1:12" ht="63" x14ac:dyDescent="0.25">
      <c r="A66" s="10">
        <f t="shared" si="9"/>
        <v>60</v>
      </c>
      <c r="B66" s="4" t="s">
        <v>104</v>
      </c>
      <c r="C66" s="20">
        <f t="shared" si="10"/>
        <v>9688</v>
      </c>
      <c r="D66" s="20">
        <f t="shared" si="11"/>
        <v>8642.6</v>
      </c>
      <c r="E66" s="20">
        <f t="shared" si="12"/>
        <v>-1045.4000000000001</v>
      </c>
      <c r="F66" s="20">
        <f t="shared" si="7"/>
        <v>89.2</v>
      </c>
      <c r="G66" s="20">
        <v>22.9</v>
      </c>
      <c r="H66" s="20">
        <v>19.600000000000001</v>
      </c>
      <c r="I66" s="20">
        <f>19.3+1.8</f>
        <v>21.1</v>
      </c>
      <c r="J66" s="20">
        <v>19.2</v>
      </c>
      <c r="K66" s="20">
        <v>9665.1</v>
      </c>
      <c r="L66" s="20">
        <v>8623</v>
      </c>
    </row>
    <row r="67" spans="1:12" s="3" customFormat="1" ht="15.75" x14ac:dyDescent="0.25">
      <c r="A67" s="10">
        <f t="shared" si="9"/>
        <v>61</v>
      </c>
      <c r="B67" s="5" t="s">
        <v>75</v>
      </c>
      <c r="C67" s="19">
        <f>+C69+C70</f>
        <v>8077.1</v>
      </c>
      <c r="D67" s="19">
        <f>+D69+D70</f>
        <v>7337.8</v>
      </c>
      <c r="E67" s="19">
        <f>+E69+E70</f>
        <v>-739.3</v>
      </c>
      <c r="F67" s="19">
        <f t="shared" si="7"/>
        <v>90.8</v>
      </c>
      <c r="G67" s="19">
        <f t="shared" ref="G67:L67" si="22">+G69+G70</f>
        <v>7497.8</v>
      </c>
      <c r="H67" s="19">
        <f t="shared" si="22"/>
        <v>6769.5</v>
      </c>
      <c r="I67" s="19">
        <f t="shared" si="22"/>
        <v>3797.1</v>
      </c>
      <c r="J67" s="19">
        <f t="shared" si="22"/>
        <v>3784.4</v>
      </c>
      <c r="K67" s="19">
        <f t="shared" si="22"/>
        <v>579.29999999999995</v>
      </c>
      <c r="L67" s="19">
        <f t="shared" si="22"/>
        <v>568.29999999999995</v>
      </c>
    </row>
    <row r="68" spans="1:12" ht="15.75" x14ac:dyDescent="0.25">
      <c r="A68" s="10">
        <f t="shared" si="9"/>
        <v>62</v>
      </c>
      <c r="B68" s="68" t="s">
        <v>2</v>
      </c>
      <c r="C68" s="20">
        <f t="shared" si="10"/>
        <v>0</v>
      </c>
      <c r="D68" s="20">
        <f t="shared" si="11"/>
        <v>0</v>
      </c>
      <c r="E68" s="20">
        <f t="shared" si="12"/>
        <v>0</v>
      </c>
      <c r="F68" s="20"/>
      <c r="G68" s="20"/>
      <c r="H68" s="20"/>
      <c r="I68" s="20"/>
      <c r="J68" s="20"/>
      <c r="K68" s="20"/>
      <c r="L68" s="20"/>
    </row>
    <row r="69" spans="1:12" ht="31.5" x14ac:dyDescent="0.25">
      <c r="A69" s="10">
        <f t="shared" si="9"/>
        <v>63</v>
      </c>
      <c r="B69" s="4" t="s">
        <v>74</v>
      </c>
      <c r="C69" s="20">
        <f t="shared" si="10"/>
        <v>7629.7</v>
      </c>
      <c r="D69" s="20">
        <f t="shared" si="11"/>
        <v>7157.3</v>
      </c>
      <c r="E69" s="20">
        <f t="shared" si="12"/>
        <v>-472.4</v>
      </c>
      <c r="F69" s="20">
        <f t="shared" si="7"/>
        <v>93.8</v>
      </c>
      <c r="G69" s="20">
        <v>7078.8</v>
      </c>
      <c r="H69" s="20">
        <v>6612</v>
      </c>
      <c r="I69" s="20">
        <v>3778.8</v>
      </c>
      <c r="J69" s="20">
        <v>3777.1</v>
      </c>
      <c r="K69" s="20">
        <v>550.9</v>
      </c>
      <c r="L69" s="20">
        <v>545.29999999999995</v>
      </c>
    </row>
    <row r="70" spans="1:12" ht="31.5" x14ac:dyDescent="0.25">
      <c r="A70" s="10">
        <f t="shared" si="9"/>
        <v>64</v>
      </c>
      <c r="B70" s="4" t="s">
        <v>76</v>
      </c>
      <c r="C70" s="20">
        <f t="shared" si="10"/>
        <v>447.4</v>
      </c>
      <c r="D70" s="20">
        <f t="shared" si="11"/>
        <v>180.5</v>
      </c>
      <c r="E70" s="20">
        <f t="shared" si="12"/>
        <v>-266.89999999999998</v>
      </c>
      <c r="F70" s="20">
        <f t="shared" si="7"/>
        <v>40.299999999999997</v>
      </c>
      <c r="G70" s="20">
        <f>54.9-14.5+388.9-4.1-4.8-5+3.6</f>
        <v>419</v>
      </c>
      <c r="H70" s="20">
        <v>157.5</v>
      </c>
      <c r="I70" s="20">
        <v>18.3</v>
      </c>
      <c r="J70" s="20">
        <v>7.3</v>
      </c>
      <c r="K70" s="20">
        <f>4.1+4.8+5+14.5</f>
        <v>28.4</v>
      </c>
      <c r="L70" s="20">
        <v>23</v>
      </c>
    </row>
    <row r="71" spans="1:12" s="7" customFormat="1" ht="31.5" x14ac:dyDescent="0.25">
      <c r="A71" s="10">
        <f t="shared" si="9"/>
        <v>65</v>
      </c>
      <c r="B71" s="57" t="s">
        <v>235</v>
      </c>
      <c r="C71" s="19">
        <f t="shared" ref="C71:C127" si="23">+G71+K71</f>
        <v>109.5</v>
      </c>
      <c r="D71" s="19">
        <f t="shared" ref="D71:D127" si="24">+H71+L71</f>
        <v>97.5</v>
      </c>
      <c r="E71" s="19">
        <f t="shared" ref="E71:E127" si="25">+D71-C71</f>
        <v>-12</v>
      </c>
      <c r="F71" s="19">
        <f t="shared" ref="F71:F127" si="26">+D71/C71*100</f>
        <v>89</v>
      </c>
      <c r="G71" s="19">
        <v>109.5</v>
      </c>
      <c r="H71" s="19">
        <v>97.5</v>
      </c>
      <c r="I71" s="19"/>
      <c r="J71" s="19"/>
      <c r="K71" s="19"/>
      <c r="L71" s="19"/>
    </row>
    <row r="72" spans="1:12" ht="15.75" x14ac:dyDescent="0.25">
      <c r="A72" s="10">
        <f t="shared" si="9"/>
        <v>66</v>
      </c>
      <c r="B72" s="5" t="s">
        <v>46</v>
      </c>
      <c r="C72" s="19">
        <f>SUM(C74:C84)</f>
        <v>101324.7</v>
      </c>
      <c r="D72" s="19">
        <f t="shared" ref="D72:L72" si="27">SUM(D74:D84)</f>
        <v>97190.3</v>
      </c>
      <c r="E72" s="19">
        <f t="shared" si="27"/>
        <v>-4134.3999999999996</v>
      </c>
      <c r="F72" s="19">
        <f t="shared" si="26"/>
        <v>95.9</v>
      </c>
      <c r="G72" s="19">
        <f t="shared" si="27"/>
        <v>98353.3</v>
      </c>
      <c r="H72" s="19">
        <f t="shared" si="27"/>
        <v>95151.2</v>
      </c>
      <c r="I72" s="19">
        <f t="shared" si="27"/>
        <v>81167.8</v>
      </c>
      <c r="J72" s="19">
        <f t="shared" si="27"/>
        <v>80397.2</v>
      </c>
      <c r="K72" s="19">
        <f t="shared" si="27"/>
        <v>2971.4</v>
      </c>
      <c r="L72" s="19">
        <f t="shared" si="27"/>
        <v>2039.1</v>
      </c>
    </row>
    <row r="73" spans="1:12" ht="15.75" x14ac:dyDescent="0.25">
      <c r="A73" s="10">
        <f t="shared" ref="A73:A128" si="28">+A72+1</f>
        <v>67</v>
      </c>
      <c r="B73" s="68" t="s">
        <v>2</v>
      </c>
      <c r="C73" s="20">
        <f t="shared" si="23"/>
        <v>0</v>
      </c>
      <c r="D73" s="20">
        <f t="shared" si="24"/>
        <v>0</v>
      </c>
      <c r="E73" s="20">
        <f t="shared" si="25"/>
        <v>0</v>
      </c>
      <c r="F73" s="20"/>
      <c r="G73" s="20"/>
      <c r="H73" s="20"/>
      <c r="I73" s="20"/>
      <c r="J73" s="20"/>
      <c r="K73" s="20"/>
      <c r="L73" s="20"/>
    </row>
    <row r="74" spans="1:12" ht="31.5" x14ac:dyDescent="0.25">
      <c r="A74" s="10">
        <f t="shared" si="28"/>
        <v>68</v>
      </c>
      <c r="B74" s="4" t="s">
        <v>47</v>
      </c>
      <c r="C74" s="20">
        <f t="shared" si="23"/>
        <v>43887.6</v>
      </c>
      <c r="D74" s="20">
        <f t="shared" si="24"/>
        <v>42451.9</v>
      </c>
      <c r="E74" s="20">
        <f t="shared" si="25"/>
        <v>-1435.7</v>
      </c>
      <c r="F74" s="20">
        <f t="shared" si="26"/>
        <v>96.7</v>
      </c>
      <c r="G74" s="20">
        <f>43887.6-K74</f>
        <v>42276.6</v>
      </c>
      <c r="H74" s="20">
        <v>41593.599999999999</v>
      </c>
      <c r="I74" s="20">
        <v>33453.699999999997</v>
      </c>
      <c r="J74" s="20">
        <v>33376.1</v>
      </c>
      <c r="K74" s="20">
        <v>1611</v>
      </c>
      <c r="L74" s="20">
        <f>858.4-0.1</f>
        <v>858.3</v>
      </c>
    </row>
    <row r="75" spans="1:12" ht="31.5" x14ac:dyDescent="0.25">
      <c r="A75" s="10">
        <f t="shared" si="28"/>
        <v>69</v>
      </c>
      <c r="B75" s="4" t="s">
        <v>54</v>
      </c>
      <c r="C75" s="20">
        <f t="shared" si="23"/>
        <v>5390</v>
      </c>
      <c r="D75" s="20">
        <f t="shared" si="24"/>
        <v>3602.8</v>
      </c>
      <c r="E75" s="20">
        <f t="shared" si="25"/>
        <v>-1787.2</v>
      </c>
      <c r="F75" s="20">
        <f t="shared" si="26"/>
        <v>66.8</v>
      </c>
      <c r="G75" s="20">
        <f>62.4+214.1-K75+423.5+4023.5+666.5</f>
        <v>5361.4</v>
      </c>
      <c r="H75" s="20">
        <v>3592.4</v>
      </c>
      <c r="I75" s="20">
        <f>5.7+179.6+1398.1+290.8</f>
        <v>1874.2</v>
      </c>
      <c r="J75" s="20">
        <v>1216.3</v>
      </c>
      <c r="K75" s="20">
        <f>15.554+13.046</f>
        <v>28.6</v>
      </c>
      <c r="L75" s="20">
        <v>10.4</v>
      </c>
    </row>
    <row r="76" spans="1:12" ht="47.25" x14ac:dyDescent="0.25">
      <c r="A76" s="10">
        <f t="shared" si="28"/>
        <v>70</v>
      </c>
      <c r="B76" s="4" t="s">
        <v>101</v>
      </c>
      <c r="C76" s="20">
        <f t="shared" si="23"/>
        <v>46847.9</v>
      </c>
      <c r="D76" s="20">
        <f t="shared" si="24"/>
        <v>46814.3</v>
      </c>
      <c r="E76" s="20">
        <f t="shared" si="25"/>
        <v>-33.6</v>
      </c>
      <c r="F76" s="20">
        <f t="shared" si="26"/>
        <v>99.9</v>
      </c>
      <c r="G76" s="20">
        <v>46745.4</v>
      </c>
      <c r="H76" s="20">
        <v>46712</v>
      </c>
      <c r="I76" s="20">
        <v>44536.1</v>
      </c>
      <c r="J76" s="20">
        <v>44532.6</v>
      </c>
      <c r="K76" s="20">
        <v>102.5</v>
      </c>
      <c r="L76" s="20">
        <v>102.3</v>
      </c>
    </row>
    <row r="77" spans="1:12" ht="47.25" x14ac:dyDescent="0.25">
      <c r="A77" s="10">
        <f t="shared" si="28"/>
        <v>71</v>
      </c>
      <c r="B77" s="25" t="s">
        <v>52</v>
      </c>
      <c r="C77" s="20">
        <f t="shared" si="23"/>
        <v>1106</v>
      </c>
      <c r="D77" s="20">
        <f t="shared" si="24"/>
        <v>1082.0999999999999</v>
      </c>
      <c r="E77" s="20">
        <f t="shared" si="25"/>
        <v>-23.9</v>
      </c>
      <c r="F77" s="20">
        <f t="shared" si="26"/>
        <v>97.8</v>
      </c>
      <c r="G77" s="20">
        <f>1106.9-0.9</f>
        <v>1106</v>
      </c>
      <c r="H77" s="20">
        <v>1082.0999999999999</v>
      </c>
      <c r="I77" s="20">
        <v>874.4</v>
      </c>
      <c r="J77" s="20">
        <v>855.5</v>
      </c>
      <c r="K77" s="20"/>
      <c r="L77" s="20"/>
    </row>
    <row r="78" spans="1:12" ht="63" x14ac:dyDescent="0.25">
      <c r="A78" s="10">
        <f t="shared" si="28"/>
        <v>72</v>
      </c>
      <c r="B78" s="25" t="s">
        <v>53</v>
      </c>
      <c r="C78" s="20">
        <f t="shared" si="23"/>
        <v>0.9</v>
      </c>
      <c r="D78" s="20">
        <f t="shared" si="24"/>
        <v>0.9</v>
      </c>
      <c r="E78" s="20">
        <f t="shared" si="25"/>
        <v>0</v>
      </c>
      <c r="F78" s="20">
        <f t="shared" si="26"/>
        <v>100</v>
      </c>
      <c r="G78" s="20">
        <v>0.9</v>
      </c>
      <c r="H78" s="20">
        <v>0.9</v>
      </c>
      <c r="I78" s="20"/>
      <c r="J78" s="20"/>
      <c r="K78" s="20"/>
      <c r="L78" s="20"/>
    </row>
    <row r="79" spans="1:12" ht="31.5" x14ac:dyDescent="0.25">
      <c r="A79" s="10">
        <f t="shared" si="28"/>
        <v>73</v>
      </c>
      <c r="B79" s="4" t="s">
        <v>106</v>
      </c>
      <c r="C79" s="20">
        <f t="shared" si="23"/>
        <v>385.6</v>
      </c>
      <c r="D79" s="20">
        <f t="shared" si="24"/>
        <v>385.5</v>
      </c>
      <c r="E79" s="20">
        <f t="shared" si="25"/>
        <v>-0.1</v>
      </c>
      <c r="F79" s="20">
        <f t="shared" si="26"/>
        <v>100</v>
      </c>
      <c r="G79" s="20">
        <v>385.6</v>
      </c>
      <c r="H79" s="20">
        <v>385.5</v>
      </c>
      <c r="I79" s="20">
        <v>380</v>
      </c>
      <c r="J79" s="20">
        <v>380</v>
      </c>
      <c r="K79" s="20"/>
      <c r="L79" s="20"/>
    </row>
    <row r="80" spans="1:12" ht="47.25" x14ac:dyDescent="0.25">
      <c r="A80" s="10">
        <f t="shared" si="28"/>
        <v>74</v>
      </c>
      <c r="B80" s="4" t="s">
        <v>115</v>
      </c>
      <c r="C80" s="20">
        <f t="shared" si="23"/>
        <v>861.3</v>
      </c>
      <c r="D80" s="20">
        <f t="shared" si="24"/>
        <v>859.2</v>
      </c>
      <c r="E80" s="20">
        <f t="shared" si="25"/>
        <v>-2.1</v>
      </c>
      <c r="F80" s="20">
        <f t="shared" si="26"/>
        <v>99.8</v>
      </c>
      <c r="G80" s="20"/>
      <c r="H80" s="20"/>
      <c r="I80" s="20"/>
      <c r="J80" s="20"/>
      <c r="K80" s="20">
        <v>861.3</v>
      </c>
      <c r="L80" s="20">
        <f>859.1+0.1</f>
        <v>859.2</v>
      </c>
    </row>
    <row r="81" spans="1:12" ht="63" x14ac:dyDescent="0.25">
      <c r="A81" s="10">
        <f t="shared" si="28"/>
        <v>75</v>
      </c>
      <c r="B81" s="4" t="s">
        <v>139</v>
      </c>
      <c r="C81" s="20">
        <f t="shared" si="23"/>
        <v>518.29999999999995</v>
      </c>
      <c r="D81" s="20">
        <f t="shared" si="24"/>
        <v>518.29999999999995</v>
      </c>
      <c r="E81" s="20">
        <f t="shared" si="25"/>
        <v>0</v>
      </c>
      <c r="F81" s="20">
        <f t="shared" si="26"/>
        <v>100</v>
      </c>
      <c r="G81" s="20">
        <f>156.8+361.5</f>
        <v>518.29999999999995</v>
      </c>
      <c r="H81" s="20">
        <v>518.29999999999995</v>
      </c>
      <c r="I81" s="20"/>
      <c r="J81" s="20"/>
      <c r="K81" s="20"/>
      <c r="L81" s="20"/>
    </row>
    <row r="82" spans="1:12" ht="47.25" x14ac:dyDescent="0.25">
      <c r="A82" s="10">
        <f t="shared" si="28"/>
        <v>76</v>
      </c>
      <c r="B82" s="4" t="s">
        <v>150</v>
      </c>
      <c r="C82" s="20">
        <f t="shared" si="23"/>
        <v>25.6</v>
      </c>
      <c r="D82" s="20">
        <f t="shared" si="24"/>
        <v>25.2</v>
      </c>
      <c r="E82" s="20">
        <f t="shared" si="25"/>
        <v>-0.4</v>
      </c>
      <c r="F82" s="20">
        <f t="shared" si="26"/>
        <v>98.4</v>
      </c>
      <c r="G82" s="20">
        <v>25.6</v>
      </c>
      <c r="H82" s="20">
        <v>25.2</v>
      </c>
      <c r="I82" s="20">
        <v>25.4</v>
      </c>
      <c r="J82" s="20">
        <v>25.1</v>
      </c>
      <c r="K82" s="20"/>
      <c r="L82" s="20"/>
    </row>
    <row r="83" spans="1:12" ht="66.75" customHeight="1" x14ac:dyDescent="0.25">
      <c r="A83" s="10">
        <f t="shared" si="28"/>
        <v>77</v>
      </c>
      <c r="B83" s="4" t="s">
        <v>132</v>
      </c>
      <c r="C83" s="20">
        <f t="shared" si="23"/>
        <v>304.8</v>
      </c>
      <c r="D83" s="20">
        <f t="shared" si="24"/>
        <v>299</v>
      </c>
      <c r="E83" s="20">
        <f t="shared" si="25"/>
        <v>-5.8</v>
      </c>
      <c r="F83" s="20">
        <f t="shared" si="26"/>
        <v>98.1</v>
      </c>
      <c r="G83" s="20">
        <v>304.8</v>
      </c>
      <c r="H83" s="20">
        <v>299</v>
      </c>
      <c r="I83" s="20"/>
      <c r="J83" s="20"/>
      <c r="K83" s="20"/>
      <c r="L83" s="20"/>
    </row>
    <row r="84" spans="1:12" ht="47.25" x14ac:dyDescent="0.25">
      <c r="A84" s="10">
        <f t="shared" si="28"/>
        <v>78</v>
      </c>
      <c r="B84" s="4" t="s">
        <v>93</v>
      </c>
      <c r="C84" s="20">
        <f t="shared" si="23"/>
        <v>1996.7</v>
      </c>
      <c r="D84" s="20">
        <f t="shared" si="24"/>
        <v>1151.0999999999999</v>
      </c>
      <c r="E84" s="20">
        <f t="shared" si="25"/>
        <v>-845.6</v>
      </c>
      <c r="F84" s="20">
        <f t="shared" si="26"/>
        <v>57.7</v>
      </c>
      <c r="G84" s="20">
        <f>1962.6-K84+30.7+3.4</f>
        <v>1628.7</v>
      </c>
      <c r="H84" s="20">
        <v>942.2</v>
      </c>
      <c r="I84" s="20">
        <v>24</v>
      </c>
      <c r="J84" s="20">
        <v>11.6</v>
      </c>
      <c r="K84" s="20">
        <f>313.7+25.5+27.6+1.2</f>
        <v>368</v>
      </c>
      <c r="L84" s="20">
        <v>208.9</v>
      </c>
    </row>
    <row r="85" spans="1:12" ht="15.75" x14ac:dyDescent="0.25">
      <c r="A85" s="10">
        <f t="shared" si="28"/>
        <v>79</v>
      </c>
      <c r="B85" s="8" t="s">
        <v>48</v>
      </c>
      <c r="C85" s="19">
        <f>SUM(C87:C91)</f>
        <v>14237.6</v>
      </c>
      <c r="D85" s="19">
        <f t="shared" ref="D85:L85" si="29">SUM(D87:D91)</f>
        <v>11848</v>
      </c>
      <c r="E85" s="19">
        <f t="shared" si="29"/>
        <v>-2389.6</v>
      </c>
      <c r="F85" s="19">
        <f t="shared" si="26"/>
        <v>83.2</v>
      </c>
      <c r="G85" s="19">
        <f t="shared" si="29"/>
        <v>8284.7999999999993</v>
      </c>
      <c r="H85" s="19">
        <f t="shared" si="29"/>
        <v>7701.3</v>
      </c>
      <c r="I85" s="19">
        <f t="shared" si="29"/>
        <v>4218.8999999999996</v>
      </c>
      <c r="J85" s="19">
        <f t="shared" si="29"/>
        <v>4104.8999999999996</v>
      </c>
      <c r="K85" s="19">
        <f t="shared" si="29"/>
        <v>5952.8</v>
      </c>
      <c r="L85" s="19">
        <f t="shared" si="29"/>
        <v>4146.7</v>
      </c>
    </row>
    <row r="86" spans="1:12" ht="15.75" x14ac:dyDescent="0.25">
      <c r="A86" s="10">
        <f t="shared" si="28"/>
        <v>80</v>
      </c>
      <c r="B86" s="68" t="s">
        <v>2</v>
      </c>
      <c r="C86" s="20">
        <f t="shared" si="23"/>
        <v>0</v>
      </c>
      <c r="D86" s="20">
        <f t="shared" si="24"/>
        <v>0</v>
      </c>
      <c r="E86" s="20">
        <f t="shared" si="25"/>
        <v>0</v>
      </c>
      <c r="F86" s="20"/>
      <c r="G86" s="20"/>
      <c r="H86" s="20"/>
      <c r="I86" s="20"/>
      <c r="J86" s="20"/>
      <c r="K86" s="20"/>
      <c r="L86" s="20"/>
    </row>
    <row r="87" spans="1:12" ht="31.5" x14ac:dyDescent="0.25">
      <c r="A87" s="10">
        <f t="shared" si="28"/>
        <v>81</v>
      </c>
      <c r="B87" s="9" t="s">
        <v>49</v>
      </c>
      <c r="C87" s="20">
        <f t="shared" si="23"/>
        <v>10900</v>
      </c>
      <c r="D87" s="20">
        <f t="shared" si="24"/>
        <v>8833.7000000000007</v>
      </c>
      <c r="E87" s="20">
        <f t="shared" si="25"/>
        <v>-2066.3000000000002</v>
      </c>
      <c r="F87" s="20">
        <f t="shared" si="26"/>
        <v>81</v>
      </c>
      <c r="G87" s="20">
        <f>10900-K87</f>
        <v>7954</v>
      </c>
      <c r="H87" s="20">
        <v>7584.5</v>
      </c>
      <c r="I87" s="20">
        <v>4218.8999999999996</v>
      </c>
      <c r="J87" s="20">
        <v>4104.8999999999996</v>
      </c>
      <c r="K87" s="20">
        <v>2946</v>
      </c>
      <c r="L87" s="20">
        <v>1249.2</v>
      </c>
    </row>
    <row r="88" spans="1:12" ht="31.5" x14ac:dyDescent="0.25">
      <c r="A88" s="10">
        <f t="shared" si="28"/>
        <v>82</v>
      </c>
      <c r="B88" s="4" t="s">
        <v>55</v>
      </c>
      <c r="C88" s="20">
        <f t="shared" si="23"/>
        <v>330.8</v>
      </c>
      <c r="D88" s="20">
        <f t="shared" si="24"/>
        <v>116.8</v>
      </c>
      <c r="E88" s="20">
        <f t="shared" si="25"/>
        <v>-214</v>
      </c>
      <c r="F88" s="20">
        <f t="shared" si="26"/>
        <v>35.299999999999997</v>
      </c>
      <c r="G88" s="20">
        <f>10.4+220-K88+100.4</f>
        <v>330.8</v>
      </c>
      <c r="H88" s="20">
        <v>116.8</v>
      </c>
      <c r="I88" s="20"/>
      <c r="J88" s="20"/>
      <c r="K88" s="20"/>
      <c r="L88" s="20"/>
    </row>
    <row r="89" spans="1:12" ht="31.5" x14ac:dyDescent="0.25">
      <c r="A89" s="10">
        <f t="shared" si="28"/>
        <v>83</v>
      </c>
      <c r="B89" s="9" t="s">
        <v>114</v>
      </c>
      <c r="C89" s="20">
        <f t="shared" si="23"/>
        <v>2375.8000000000002</v>
      </c>
      <c r="D89" s="20">
        <f t="shared" si="24"/>
        <v>2375.8000000000002</v>
      </c>
      <c r="E89" s="20">
        <f t="shared" si="25"/>
        <v>0</v>
      </c>
      <c r="F89" s="20">
        <f t="shared" si="26"/>
        <v>100</v>
      </c>
      <c r="G89" s="20"/>
      <c r="H89" s="20"/>
      <c r="I89" s="20"/>
      <c r="J89" s="20"/>
      <c r="K89" s="20">
        <v>2375.8000000000002</v>
      </c>
      <c r="L89" s="20">
        <v>2375.8000000000002</v>
      </c>
    </row>
    <row r="90" spans="1:12" ht="47.25" x14ac:dyDescent="0.25">
      <c r="A90" s="10">
        <f t="shared" si="28"/>
        <v>84</v>
      </c>
      <c r="B90" s="9" t="s">
        <v>159</v>
      </c>
      <c r="C90" s="20">
        <f t="shared" si="23"/>
        <v>160</v>
      </c>
      <c r="D90" s="20">
        <f t="shared" si="24"/>
        <v>158.6</v>
      </c>
      <c r="E90" s="20">
        <f t="shared" si="25"/>
        <v>-1.4</v>
      </c>
      <c r="F90" s="20">
        <f t="shared" si="26"/>
        <v>99.1</v>
      </c>
      <c r="G90" s="20"/>
      <c r="H90" s="20"/>
      <c r="I90" s="20"/>
      <c r="J90" s="20"/>
      <c r="K90" s="20">
        <v>160</v>
      </c>
      <c r="L90" s="20">
        <v>158.6</v>
      </c>
    </row>
    <row r="91" spans="1:12" ht="47.25" x14ac:dyDescent="0.25">
      <c r="A91" s="10">
        <f t="shared" si="28"/>
        <v>85</v>
      </c>
      <c r="B91" s="9" t="s">
        <v>94</v>
      </c>
      <c r="C91" s="20">
        <f t="shared" si="23"/>
        <v>471</v>
      </c>
      <c r="D91" s="20">
        <f t="shared" si="24"/>
        <v>363.1</v>
      </c>
      <c r="E91" s="20">
        <f t="shared" si="25"/>
        <v>-107.9</v>
      </c>
      <c r="F91" s="20">
        <f t="shared" si="26"/>
        <v>77.099999999999994</v>
      </c>
      <c r="G91" s="20"/>
      <c r="H91" s="20"/>
      <c r="I91" s="20"/>
      <c r="J91" s="20"/>
      <c r="K91" s="20">
        <f>432.9+38.1</f>
        <v>471</v>
      </c>
      <c r="L91" s="20">
        <v>363.1</v>
      </c>
    </row>
    <row r="92" spans="1:12" ht="15.75" x14ac:dyDescent="0.25">
      <c r="A92" s="10">
        <f t="shared" si="28"/>
        <v>86</v>
      </c>
      <c r="B92" s="8" t="s">
        <v>77</v>
      </c>
      <c r="C92" s="19">
        <f>+C94+C95+C96+C97+C98+C99+C100+C101+C102+C103</f>
        <v>24423.1</v>
      </c>
      <c r="D92" s="19">
        <f t="shared" ref="D92:L92" si="30">+D94+D95+D96+D97+D98+D99+D100+D101+D102+D103</f>
        <v>20893.599999999999</v>
      </c>
      <c r="E92" s="19">
        <f t="shared" si="30"/>
        <v>-3529.5</v>
      </c>
      <c r="F92" s="19">
        <f t="shared" si="26"/>
        <v>85.5</v>
      </c>
      <c r="G92" s="19">
        <f t="shared" si="30"/>
        <v>21844.1</v>
      </c>
      <c r="H92" s="19">
        <f t="shared" si="30"/>
        <v>18797.3</v>
      </c>
      <c r="I92" s="19">
        <f t="shared" si="30"/>
        <v>8266.7999999999993</v>
      </c>
      <c r="J92" s="19">
        <f t="shared" si="30"/>
        <v>8186</v>
      </c>
      <c r="K92" s="19">
        <f t="shared" si="30"/>
        <v>2579</v>
      </c>
      <c r="L92" s="19">
        <f t="shared" si="30"/>
        <v>2096.3000000000002</v>
      </c>
    </row>
    <row r="93" spans="1:12" ht="15.75" x14ac:dyDescent="0.25">
      <c r="A93" s="10">
        <f t="shared" si="28"/>
        <v>87</v>
      </c>
      <c r="B93" s="68" t="s">
        <v>2</v>
      </c>
      <c r="C93" s="20">
        <f t="shared" si="23"/>
        <v>0</v>
      </c>
      <c r="D93" s="20">
        <f t="shared" si="24"/>
        <v>0</v>
      </c>
      <c r="E93" s="20">
        <f t="shared" si="25"/>
        <v>0</v>
      </c>
      <c r="F93" s="20"/>
      <c r="G93" s="20"/>
      <c r="H93" s="20"/>
      <c r="I93" s="20"/>
      <c r="J93" s="20"/>
      <c r="K93" s="20"/>
      <c r="L93" s="20"/>
    </row>
    <row r="94" spans="1:12" ht="31.5" x14ac:dyDescent="0.25">
      <c r="A94" s="10">
        <f t="shared" si="28"/>
        <v>88</v>
      </c>
      <c r="B94" s="9" t="s">
        <v>50</v>
      </c>
      <c r="C94" s="20">
        <f>+G94+K94</f>
        <v>11194.2</v>
      </c>
      <c r="D94" s="20">
        <f t="shared" si="24"/>
        <v>8943.4</v>
      </c>
      <c r="E94" s="20">
        <f t="shared" si="25"/>
        <v>-2250.8000000000002</v>
      </c>
      <c r="F94" s="20">
        <f t="shared" si="26"/>
        <v>79.900000000000006</v>
      </c>
      <c r="G94" s="20">
        <f>10894.2-207.6</f>
        <v>10686.6</v>
      </c>
      <c r="H94" s="20">
        <v>8812.7999999999993</v>
      </c>
      <c r="I94" s="20">
        <v>4921.5</v>
      </c>
      <c r="J94" s="20">
        <v>4879.1000000000004</v>
      </c>
      <c r="K94" s="20">
        <f>207.6+300</f>
        <v>507.6</v>
      </c>
      <c r="L94" s="20">
        <v>130.6</v>
      </c>
    </row>
    <row r="95" spans="1:12" ht="31.5" x14ac:dyDescent="0.25">
      <c r="A95" s="10">
        <f t="shared" si="28"/>
        <v>89</v>
      </c>
      <c r="B95" s="25" t="s">
        <v>59</v>
      </c>
      <c r="C95" s="20">
        <f t="shared" si="23"/>
        <v>668.5</v>
      </c>
      <c r="D95" s="20">
        <f t="shared" si="24"/>
        <v>598.79999999999995</v>
      </c>
      <c r="E95" s="20">
        <f t="shared" si="25"/>
        <v>-69.7</v>
      </c>
      <c r="F95" s="20">
        <f t="shared" si="26"/>
        <v>89.6</v>
      </c>
      <c r="G95" s="20">
        <f>185.3-K95+483.2</f>
        <v>660</v>
      </c>
      <c r="H95" s="20">
        <v>590.29999999999995</v>
      </c>
      <c r="I95" s="20">
        <f>62.9+147.1</f>
        <v>210</v>
      </c>
      <c r="J95" s="20">
        <v>203.6</v>
      </c>
      <c r="K95" s="20">
        <f>1.7+4.7+2.1</f>
        <v>8.5</v>
      </c>
      <c r="L95" s="20">
        <f>1.7+4.7+2.1</f>
        <v>8.5</v>
      </c>
    </row>
    <row r="96" spans="1:12" ht="47.25" x14ac:dyDescent="0.25">
      <c r="A96" s="10">
        <f t="shared" si="28"/>
        <v>90</v>
      </c>
      <c r="B96" s="4" t="s">
        <v>60</v>
      </c>
      <c r="C96" s="20">
        <f t="shared" si="23"/>
        <v>1021.3</v>
      </c>
      <c r="D96" s="20">
        <f t="shared" si="24"/>
        <v>657.5</v>
      </c>
      <c r="E96" s="20">
        <f t="shared" si="25"/>
        <v>-363.8</v>
      </c>
      <c r="F96" s="20">
        <f t="shared" si="26"/>
        <v>64.400000000000006</v>
      </c>
      <c r="G96" s="20">
        <f>1021.3-K96</f>
        <v>974.3</v>
      </c>
      <c r="H96" s="20">
        <v>617.29999999999995</v>
      </c>
      <c r="I96" s="20"/>
      <c r="J96" s="20"/>
      <c r="K96" s="20">
        <v>47</v>
      </c>
      <c r="L96" s="20">
        <v>40.200000000000003</v>
      </c>
    </row>
    <row r="97" spans="1:12" ht="47.25" x14ac:dyDescent="0.25">
      <c r="A97" s="10">
        <f t="shared" si="28"/>
        <v>91</v>
      </c>
      <c r="B97" s="9" t="s">
        <v>92</v>
      </c>
      <c r="C97" s="20">
        <f t="shared" si="23"/>
        <v>2712.1</v>
      </c>
      <c r="D97" s="20">
        <f t="shared" si="24"/>
        <v>2430.6999999999998</v>
      </c>
      <c r="E97" s="20">
        <f t="shared" si="25"/>
        <v>-281.39999999999998</v>
      </c>
      <c r="F97" s="20">
        <f t="shared" si="26"/>
        <v>89.6</v>
      </c>
      <c r="G97" s="20">
        <f>2567.5-K97+57+87.6</f>
        <v>746.2</v>
      </c>
      <c r="H97" s="20">
        <v>560.9</v>
      </c>
      <c r="I97" s="20">
        <f>153.6+5.5+76.5</f>
        <v>235.6</v>
      </c>
      <c r="J97" s="20">
        <v>218.5</v>
      </c>
      <c r="K97" s="20">
        <v>1965.9</v>
      </c>
      <c r="L97" s="20">
        <v>1869.8</v>
      </c>
    </row>
    <row r="98" spans="1:12" ht="47.25" x14ac:dyDescent="0.25">
      <c r="A98" s="10">
        <f t="shared" si="28"/>
        <v>92</v>
      </c>
      <c r="B98" s="25" t="s">
        <v>58</v>
      </c>
      <c r="C98" s="20">
        <f t="shared" si="23"/>
        <v>74</v>
      </c>
      <c r="D98" s="20">
        <f t="shared" si="24"/>
        <v>73.5</v>
      </c>
      <c r="E98" s="20">
        <f t="shared" si="25"/>
        <v>-0.5</v>
      </c>
      <c r="F98" s="20">
        <f t="shared" si="26"/>
        <v>99.3</v>
      </c>
      <c r="G98" s="20">
        <v>74</v>
      </c>
      <c r="H98" s="20">
        <v>73.5</v>
      </c>
      <c r="I98" s="20"/>
      <c r="J98" s="20"/>
      <c r="K98" s="20"/>
      <c r="L98" s="20"/>
    </row>
    <row r="99" spans="1:12" ht="63" x14ac:dyDescent="0.25">
      <c r="A99" s="10">
        <f t="shared" si="28"/>
        <v>93</v>
      </c>
      <c r="B99" s="25" t="s">
        <v>128</v>
      </c>
      <c r="C99" s="20">
        <f t="shared" ref="C99" si="31">+G99+K99</f>
        <v>50</v>
      </c>
      <c r="D99" s="20">
        <f t="shared" ref="D99" si="32">+H99+L99</f>
        <v>47.2</v>
      </c>
      <c r="E99" s="20">
        <f t="shared" si="25"/>
        <v>-2.8</v>
      </c>
      <c r="F99" s="20">
        <f t="shared" si="26"/>
        <v>94.4</v>
      </c>
      <c r="G99" s="20"/>
      <c r="H99" s="20"/>
      <c r="I99" s="20"/>
      <c r="J99" s="20"/>
      <c r="K99" s="20">
        <v>50</v>
      </c>
      <c r="L99" s="20">
        <v>47.2</v>
      </c>
    </row>
    <row r="100" spans="1:12" ht="94.5" x14ac:dyDescent="0.25">
      <c r="A100" s="10">
        <f t="shared" si="28"/>
        <v>94</v>
      </c>
      <c r="B100" s="25" t="s">
        <v>130</v>
      </c>
      <c r="C100" s="20">
        <f t="shared" si="23"/>
        <v>187.9</v>
      </c>
      <c r="D100" s="20">
        <f t="shared" si="24"/>
        <v>187.8</v>
      </c>
      <c r="E100" s="20">
        <f t="shared" si="25"/>
        <v>-0.1</v>
      </c>
      <c r="F100" s="20">
        <f t="shared" si="26"/>
        <v>99.9</v>
      </c>
      <c r="G100" s="20">
        <v>187.9</v>
      </c>
      <c r="H100" s="20">
        <v>187.8</v>
      </c>
      <c r="I100" s="20">
        <v>185.2</v>
      </c>
      <c r="J100" s="20">
        <v>185.2</v>
      </c>
      <c r="K100" s="20"/>
      <c r="L100" s="20"/>
    </row>
    <row r="101" spans="1:12" ht="47.25" x14ac:dyDescent="0.25">
      <c r="A101" s="10">
        <f t="shared" si="28"/>
        <v>95</v>
      </c>
      <c r="B101" s="25" t="s">
        <v>145</v>
      </c>
      <c r="C101" s="20">
        <f t="shared" ref="C101" si="33">+G101+K101</f>
        <v>927.5</v>
      </c>
      <c r="D101" s="20">
        <f t="shared" ref="D101" si="34">+H101+L101</f>
        <v>720.7</v>
      </c>
      <c r="E101" s="20">
        <f t="shared" si="25"/>
        <v>-206.8</v>
      </c>
      <c r="F101" s="20">
        <f t="shared" si="26"/>
        <v>77.7</v>
      </c>
      <c r="G101" s="20">
        <v>927.5</v>
      </c>
      <c r="H101" s="20">
        <v>720.7</v>
      </c>
      <c r="I101" s="20"/>
      <c r="J101" s="20"/>
      <c r="K101" s="20"/>
      <c r="L101" s="20"/>
    </row>
    <row r="102" spans="1:12" ht="47.25" x14ac:dyDescent="0.25">
      <c r="A102" s="10">
        <f t="shared" si="28"/>
        <v>96</v>
      </c>
      <c r="B102" s="25" t="s">
        <v>147</v>
      </c>
      <c r="C102" s="20">
        <f t="shared" si="23"/>
        <v>47</v>
      </c>
      <c r="D102" s="20">
        <f t="shared" si="24"/>
        <v>46.6</v>
      </c>
      <c r="E102" s="20">
        <f t="shared" si="25"/>
        <v>-0.4</v>
      </c>
      <c r="F102" s="20">
        <f t="shared" si="26"/>
        <v>99.1</v>
      </c>
      <c r="G102" s="20">
        <v>47</v>
      </c>
      <c r="H102" s="20">
        <v>46.6</v>
      </c>
      <c r="I102" s="20"/>
      <c r="J102" s="20"/>
      <c r="K102" s="20"/>
      <c r="L102" s="20"/>
    </row>
    <row r="103" spans="1:12" ht="63" x14ac:dyDescent="0.25">
      <c r="A103" s="10">
        <f t="shared" si="28"/>
        <v>97</v>
      </c>
      <c r="B103" s="25" t="s">
        <v>56</v>
      </c>
      <c r="C103" s="20">
        <f>+C105+C106+C107+C108+C109</f>
        <v>7540.6</v>
      </c>
      <c r="D103" s="20">
        <f t="shared" ref="D103:L103" si="35">+D105+D106+D107+D108+D109</f>
        <v>7187.4</v>
      </c>
      <c r="E103" s="20">
        <f t="shared" si="35"/>
        <v>-353.2</v>
      </c>
      <c r="F103" s="20">
        <f t="shared" si="26"/>
        <v>95.3</v>
      </c>
      <c r="G103" s="20">
        <f t="shared" si="35"/>
        <v>7540.6</v>
      </c>
      <c r="H103" s="20">
        <f t="shared" si="35"/>
        <v>7187.4</v>
      </c>
      <c r="I103" s="20">
        <f t="shared" si="35"/>
        <v>2714.5</v>
      </c>
      <c r="J103" s="20">
        <f t="shared" si="35"/>
        <v>2699.6</v>
      </c>
      <c r="K103" s="20">
        <f t="shared" si="35"/>
        <v>0</v>
      </c>
      <c r="L103" s="20">
        <f t="shared" si="35"/>
        <v>0</v>
      </c>
    </row>
    <row r="104" spans="1:12" ht="15.75" x14ac:dyDescent="0.25">
      <c r="A104" s="10">
        <f t="shared" si="28"/>
        <v>98</v>
      </c>
      <c r="B104" s="68" t="s">
        <v>2</v>
      </c>
      <c r="C104" s="20">
        <f t="shared" si="23"/>
        <v>0</v>
      </c>
      <c r="D104" s="20">
        <f t="shared" si="24"/>
        <v>0</v>
      </c>
      <c r="E104" s="20">
        <f t="shared" si="25"/>
        <v>0</v>
      </c>
      <c r="F104" s="20"/>
      <c r="G104" s="20"/>
      <c r="H104" s="20"/>
      <c r="I104" s="20"/>
      <c r="J104" s="20"/>
      <c r="K104" s="20"/>
      <c r="L104" s="20"/>
    </row>
    <row r="105" spans="1:12" ht="15.75" x14ac:dyDescent="0.25">
      <c r="A105" s="10">
        <f t="shared" si="28"/>
        <v>99</v>
      </c>
      <c r="B105" s="4" t="s">
        <v>19</v>
      </c>
      <c r="C105" s="20">
        <f t="shared" si="23"/>
        <v>5516</v>
      </c>
      <c r="D105" s="20">
        <f t="shared" si="24"/>
        <v>5485.2</v>
      </c>
      <c r="E105" s="20">
        <f t="shared" si="25"/>
        <v>-30.8</v>
      </c>
      <c r="F105" s="20">
        <f t="shared" si="26"/>
        <v>99.4</v>
      </c>
      <c r="G105" s="20">
        <v>5516</v>
      </c>
      <c r="H105" s="20">
        <v>5485.2</v>
      </c>
      <c r="I105" s="20">
        <v>2714.5</v>
      </c>
      <c r="J105" s="20">
        <v>2699.6</v>
      </c>
      <c r="K105" s="20"/>
      <c r="L105" s="20"/>
    </row>
    <row r="106" spans="1:12" ht="31.5" x14ac:dyDescent="0.25">
      <c r="A106" s="10">
        <f t="shared" si="28"/>
        <v>100</v>
      </c>
      <c r="B106" s="4" t="s">
        <v>57</v>
      </c>
      <c r="C106" s="20">
        <f t="shared" si="23"/>
        <v>764</v>
      </c>
      <c r="D106" s="20">
        <f t="shared" si="24"/>
        <v>715.9</v>
      </c>
      <c r="E106" s="20">
        <f t="shared" si="25"/>
        <v>-48.1</v>
      </c>
      <c r="F106" s="20">
        <f t="shared" si="26"/>
        <v>93.7</v>
      </c>
      <c r="G106" s="20">
        <v>764</v>
      </c>
      <c r="H106" s="20">
        <f>716-0.1</f>
        <v>715.9</v>
      </c>
      <c r="I106" s="20"/>
      <c r="J106" s="20"/>
      <c r="K106" s="20"/>
      <c r="L106" s="20"/>
    </row>
    <row r="107" spans="1:12" ht="15.75" x14ac:dyDescent="0.25">
      <c r="A107" s="10">
        <f t="shared" si="28"/>
        <v>101</v>
      </c>
      <c r="B107" s="4" t="s">
        <v>21</v>
      </c>
      <c r="C107" s="20">
        <f t="shared" si="23"/>
        <v>931.9</v>
      </c>
      <c r="D107" s="20">
        <f t="shared" si="24"/>
        <v>733.1</v>
      </c>
      <c r="E107" s="20">
        <f t="shared" si="25"/>
        <v>-198.8</v>
      </c>
      <c r="F107" s="20">
        <f t="shared" si="26"/>
        <v>78.7</v>
      </c>
      <c r="G107" s="20">
        <v>931.9</v>
      </c>
      <c r="H107" s="20">
        <f>733+0.1</f>
        <v>733.1</v>
      </c>
      <c r="I107" s="20"/>
      <c r="J107" s="20"/>
      <c r="K107" s="20"/>
      <c r="L107" s="20"/>
    </row>
    <row r="108" spans="1:12" ht="31.5" x14ac:dyDescent="0.25">
      <c r="A108" s="10">
        <f t="shared" si="28"/>
        <v>102</v>
      </c>
      <c r="B108" s="4" t="s">
        <v>81</v>
      </c>
      <c r="C108" s="20">
        <f t="shared" si="23"/>
        <v>253.3</v>
      </c>
      <c r="D108" s="20">
        <f t="shared" si="24"/>
        <v>181.4</v>
      </c>
      <c r="E108" s="20">
        <f t="shared" si="25"/>
        <v>-71.900000000000006</v>
      </c>
      <c r="F108" s="20">
        <f t="shared" si="26"/>
        <v>71.599999999999994</v>
      </c>
      <c r="G108" s="20">
        <v>253.3</v>
      </c>
      <c r="H108" s="20">
        <v>181.4</v>
      </c>
      <c r="I108" s="20"/>
      <c r="J108" s="20"/>
      <c r="K108" s="20"/>
      <c r="L108" s="20"/>
    </row>
    <row r="109" spans="1:12" ht="15.75" x14ac:dyDescent="0.25">
      <c r="A109" s="10">
        <f t="shared" si="28"/>
        <v>103</v>
      </c>
      <c r="B109" s="25" t="s">
        <v>83</v>
      </c>
      <c r="C109" s="20">
        <f t="shared" si="23"/>
        <v>75.400000000000006</v>
      </c>
      <c r="D109" s="20">
        <f t="shared" si="24"/>
        <v>71.8</v>
      </c>
      <c r="E109" s="20">
        <f t="shared" si="25"/>
        <v>-3.6</v>
      </c>
      <c r="F109" s="20">
        <f t="shared" si="26"/>
        <v>95.2</v>
      </c>
      <c r="G109" s="20">
        <v>75.400000000000006</v>
      </c>
      <c r="H109" s="20">
        <v>71.8</v>
      </c>
      <c r="I109" s="20"/>
      <c r="J109" s="20"/>
      <c r="K109" s="20"/>
      <c r="L109" s="20"/>
    </row>
    <row r="110" spans="1:12" ht="15.75" x14ac:dyDescent="0.25">
      <c r="A110" s="10">
        <f t="shared" si="28"/>
        <v>104</v>
      </c>
      <c r="B110" s="5" t="s">
        <v>61</v>
      </c>
      <c r="C110" s="19">
        <f t="shared" ref="C110:E110" si="36">SUM(C112:C119)</f>
        <v>6191.2</v>
      </c>
      <c r="D110" s="19">
        <f t="shared" si="36"/>
        <v>5791.5</v>
      </c>
      <c r="E110" s="19">
        <f t="shared" si="36"/>
        <v>-399.7</v>
      </c>
      <c r="F110" s="19">
        <f t="shared" si="26"/>
        <v>93.5</v>
      </c>
      <c r="G110" s="19">
        <f t="shared" ref="G110:L110" si="37">SUM(G112:G119)</f>
        <v>2857.5</v>
      </c>
      <c r="H110" s="19">
        <f t="shared" si="37"/>
        <v>2627.8</v>
      </c>
      <c r="I110" s="19">
        <f t="shared" si="37"/>
        <v>2091.3000000000002</v>
      </c>
      <c r="J110" s="19">
        <f t="shared" si="37"/>
        <v>2083.9</v>
      </c>
      <c r="K110" s="19">
        <f t="shared" si="37"/>
        <v>3333.7</v>
      </c>
      <c r="L110" s="19">
        <f t="shared" si="37"/>
        <v>3163.7</v>
      </c>
    </row>
    <row r="111" spans="1:12" ht="15.75" x14ac:dyDescent="0.25">
      <c r="A111" s="10">
        <f t="shared" si="28"/>
        <v>105</v>
      </c>
      <c r="B111" s="68" t="s">
        <v>2</v>
      </c>
      <c r="C111" s="20">
        <f t="shared" si="23"/>
        <v>0</v>
      </c>
      <c r="D111" s="20">
        <f t="shared" si="24"/>
        <v>0</v>
      </c>
      <c r="E111" s="20">
        <f t="shared" si="25"/>
        <v>0</v>
      </c>
      <c r="F111" s="20"/>
      <c r="G111" s="20"/>
      <c r="H111" s="20"/>
      <c r="I111" s="20"/>
      <c r="J111" s="20"/>
      <c r="K111" s="20"/>
      <c r="L111" s="20"/>
    </row>
    <row r="112" spans="1:12" ht="31.5" x14ac:dyDescent="0.25">
      <c r="A112" s="10">
        <f t="shared" si="28"/>
        <v>106</v>
      </c>
      <c r="B112" s="4" t="s">
        <v>67</v>
      </c>
      <c r="C112" s="20">
        <f t="shared" si="23"/>
        <v>1465.4</v>
      </c>
      <c r="D112" s="20">
        <f t="shared" si="24"/>
        <v>1356.4</v>
      </c>
      <c r="E112" s="20">
        <f t="shared" si="25"/>
        <v>-109</v>
      </c>
      <c r="F112" s="20">
        <f t="shared" si="26"/>
        <v>92.6</v>
      </c>
      <c r="G112" s="20">
        <f>1495.4-K112-30</f>
        <v>1382.7</v>
      </c>
      <c r="H112" s="20">
        <v>1292.8</v>
      </c>
      <c r="I112" s="20">
        <v>1132.2</v>
      </c>
      <c r="J112" s="20">
        <v>1128.4000000000001</v>
      </c>
      <c r="K112" s="20">
        <f>11.5+40+1.7+29.5</f>
        <v>82.7</v>
      </c>
      <c r="L112" s="20">
        <f>63.7-0.1</f>
        <v>63.6</v>
      </c>
    </row>
    <row r="113" spans="1:12" ht="31.5" x14ac:dyDescent="0.25">
      <c r="A113" s="10">
        <f t="shared" si="28"/>
        <v>107</v>
      </c>
      <c r="B113" s="4" t="s">
        <v>68</v>
      </c>
      <c r="C113" s="20">
        <f t="shared" si="23"/>
        <v>22.6</v>
      </c>
      <c r="D113" s="20">
        <f t="shared" si="24"/>
        <v>20.9</v>
      </c>
      <c r="E113" s="20">
        <f t="shared" si="25"/>
        <v>-1.7</v>
      </c>
      <c r="F113" s="20">
        <f t="shared" si="26"/>
        <v>92.5</v>
      </c>
      <c r="G113" s="20">
        <f>9.1+13.5</f>
        <v>22.6</v>
      </c>
      <c r="H113" s="20">
        <v>20.9</v>
      </c>
      <c r="I113" s="20">
        <f>1.1+13.2</f>
        <v>14.3</v>
      </c>
      <c r="J113" s="20">
        <f>1.1+13.2</f>
        <v>14.3</v>
      </c>
      <c r="K113" s="20"/>
      <c r="L113" s="20"/>
    </row>
    <row r="114" spans="1:12" ht="31.5" x14ac:dyDescent="0.25">
      <c r="A114" s="10">
        <f t="shared" si="28"/>
        <v>108</v>
      </c>
      <c r="B114" s="4" t="s">
        <v>63</v>
      </c>
      <c r="C114" s="20">
        <f t="shared" si="23"/>
        <v>118</v>
      </c>
      <c r="D114" s="20">
        <f t="shared" si="24"/>
        <v>114.8</v>
      </c>
      <c r="E114" s="20">
        <f t="shared" si="25"/>
        <v>-3.2</v>
      </c>
      <c r="F114" s="20">
        <f t="shared" si="26"/>
        <v>97.3</v>
      </c>
      <c r="G114" s="20">
        <v>118</v>
      </c>
      <c r="H114" s="20">
        <v>114.8</v>
      </c>
      <c r="I114" s="20"/>
      <c r="J114" s="20"/>
      <c r="K114" s="20"/>
      <c r="L114" s="20"/>
    </row>
    <row r="115" spans="1:12" ht="31.5" x14ac:dyDescent="0.25">
      <c r="A115" s="10">
        <f t="shared" si="28"/>
        <v>109</v>
      </c>
      <c r="B115" s="9" t="s">
        <v>64</v>
      </c>
      <c r="C115" s="20">
        <f t="shared" si="23"/>
        <v>30</v>
      </c>
      <c r="D115" s="20">
        <f t="shared" si="24"/>
        <v>30</v>
      </c>
      <c r="E115" s="20">
        <f t="shared" si="25"/>
        <v>0</v>
      </c>
      <c r="F115" s="20">
        <f t="shared" si="26"/>
        <v>100</v>
      </c>
      <c r="G115" s="20">
        <v>30</v>
      </c>
      <c r="H115" s="20">
        <v>30</v>
      </c>
      <c r="I115" s="20"/>
      <c r="J115" s="20"/>
      <c r="K115" s="20"/>
      <c r="L115" s="20"/>
    </row>
    <row r="116" spans="1:12" ht="47.25" x14ac:dyDescent="0.25">
      <c r="A116" s="10">
        <f t="shared" si="28"/>
        <v>110</v>
      </c>
      <c r="B116" s="4" t="s">
        <v>91</v>
      </c>
      <c r="C116" s="20">
        <f t="shared" si="23"/>
        <v>200</v>
      </c>
      <c r="D116" s="20">
        <f t="shared" si="24"/>
        <v>65.599999999999994</v>
      </c>
      <c r="E116" s="20">
        <f t="shared" si="25"/>
        <v>-134.4</v>
      </c>
      <c r="F116" s="20">
        <f t="shared" si="26"/>
        <v>32.799999999999997</v>
      </c>
      <c r="G116" s="20">
        <f>25.3+4.5+170.2</f>
        <v>200</v>
      </c>
      <c r="H116" s="20">
        <v>65.599999999999994</v>
      </c>
      <c r="I116" s="20">
        <v>16.600000000000001</v>
      </c>
      <c r="J116" s="20">
        <v>13</v>
      </c>
      <c r="K116" s="20"/>
      <c r="L116" s="20"/>
    </row>
    <row r="117" spans="1:12" ht="47.25" x14ac:dyDescent="0.25">
      <c r="A117" s="10">
        <f t="shared" si="28"/>
        <v>111</v>
      </c>
      <c r="B117" s="4" t="s">
        <v>143</v>
      </c>
      <c r="C117" s="20">
        <f t="shared" si="23"/>
        <v>3251</v>
      </c>
      <c r="D117" s="20">
        <f t="shared" si="24"/>
        <v>3100.1</v>
      </c>
      <c r="E117" s="20">
        <f t="shared" si="25"/>
        <v>-150.9</v>
      </c>
      <c r="F117" s="20">
        <f t="shared" si="26"/>
        <v>95.4</v>
      </c>
      <c r="G117" s="20"/>
      <c r="H117" s="20"/>
      <c r="I117" s="20"/>
      <c r="J117" s="20"/>
      <c r="K117" s="20">
        <v>3251</v>
      </c>
      <c r="L117" s="20">
        <f>3100+0.1</f>
        <v>3100.1</v>
      </c>
    </row>
    <row r="118" spans="1:12" ht="63" x14ac:dyDescent="0.25">
      <c r="A118" s="10">
        <f t="shared" si="28"/>
        <v>112</v>
      </c>
      <c r="B118" s="4" t="s">
        <v>156</v>
      </c>
      <c r="C118" s="20">
        <v>28.1</v>
      </c>
      <c r="D118" s="20">
        <f t="shared" si="24"/>
        <v>28.1</v>
      </c>
      <c r="E118" s="20">
        <f t="shared" si="25"/>
        <v>0</v>
      </c>
      <c r="F118" s="20">
        <f t="shared" si="26"/>
        <v>100</v>
      </c>
      <c r="G118" s="20">
        <v>28.1</v>
      </c>
      <c r="H118" s="20">
        <v>28.1</v>
      </c>
      <c r="I118" s="20"/>
      <c r="J118" s="20"/>
      <c r="K118" s="20"/>
      <c r="L118" s="20"/>
    </row>
    <row r="119" spans="1:12" ht="63" x14ac:dyDescent="0.25">
      <c r="A119" s="10">
        <f t="shared" si="28"/>
        <v>113</v>
      </c>
      <c r="B119" s="25" t="s">
        <v>62</v>
      </c>
      <c r="C119" s="20">
        <f t="shared" ref="C119:L119" si="38">SUM(C121:C124)</f>
        <v>1076.0999999999999</v>
      </c>
      <c r="D119" s="20">
        <f t="shared" si="38"/>
        <v>1075.5999999999999</v>
      </c>
      <c r="E119" s="20">
        <f t="shared" si="38"/>
        <v>-0.5</v>
      </c>
      <c r="F119" s="20">
        <f t="shared" si="26"/>
        <v>100</v>
      </c>
      <c r="G119" s="20">
        <f t="shared" si="38"/>
        <v>1076.0999999999999</v>
      </c>
      <c r="H119" s="20">
        <f t="shared" si="38"/>
        <v>1075.5999999999999</v>
      </c>
      <c r="I119" s="20">
        <f t="shared" si="38"/>
        <v>928.2</v>
      </c>
      <c r="J119" s="20">
        <f t="shared" si="38"/>
        <v>928.2</v>
      </c>
      <c r="K119" s="20">
        <f t="shared" si="38"/>
        <v>0</v>
      </c>
      <c r="L119" s="20">
        <f t="shared" si="38"/>
        <v>0</v>
      </c>
    </row>
    <row r="120" spans="1:12" ht="15.75" x14ac:dyDescent="0.25">
      <c r="A120" s="10">
        <f t="shared" si="28"/>
        <v>114</v>
      </c>
      <c r="B120" s="68" t="s">
        <v>2</v>
      </c>
      <c r="C120" s="20">
        <f t="shared" si="23"/>
        <v>0</v>
      </c>
      <c r="D120" s="20">
        <f t="shared" si="24"/>
        <v>0</v>
      </c>
      <c r="E120" s="20">
        <f t="shared" si="25"/>
        <v>0</v>
      </c>
      <c r="F120" s="20"/>
      <c r="G120" s="20"/>
      <c r="H120" s="20"/>
      <c r="I120" s="20"/>
      <c r="J120" s="20"/>
      <c r="K120" s="20"/>
      <c r="L120" s="20"/>
    </row>
    <row r="121" spans="1:12" ht="31.5" x14ac:dyDescent="0.25">
      <c r="A121" s="10">
        <f t="shared" si="28"/>
        <v>115</v>
      </c>
      <c r="B121" s="4" t="s">
        <v>87</v>
      </c>
      <c r="C121" s="20">
        <f t="shared" si="23"/>
        <v>796.1</v>
      </c>
      <c r="D121" s="20">
        <f t="shared" si="24"/>
        <v>795.8</v>
      </c>
      <c r="E121" s="20">
        <f t="shared" si="25"/>
        <v>-0.3</v>
      </c>
      <c r="F121" s="20">
        <f t="shared" si="26"/>
        <v>100</v>
      </c>
      <c r="G121" s="20">
        <v>796.1</v>
      </c>
      <c r="H121" s="20">
        <v>795.8</v>
      </c>
      <c r="I121" s="20">
        <v>729.7</v>
      </c>
      <c r="J121" s="20">
        <v>729.7</v>
      </c>
      <c r="K121" s="20"/>
      <c r="L121" s="20"/>
    </row>
    <row r="122" spans="1:12" ht="47.25" x14ac:dyDescent="0.25">
      <c r="A122" s="10">
        <f t="shared" si="28"/>
        <v>116</v>
      </c>
      <c r="B122" s="4" t="s">
        <v>86</v>
      </c>
      <c r="C122" s="20">
        <f t="shared" si="23"/>
        <v>205.7</v>
      </c>
      <c r="D122" s="20">
        <f t="shared" si="24"/>
        <v>205.6</v>
      </c>
      <c r="E122" s="20">
        <f t="shared" si="25"/>
        <v>-0.1</v>
      </c>
      <c r="F122" s="20">
        <f t="shared" si="26"/>
        <v>100</v>
      </c>
      <c r="G122" s="20">
        <v>205.7</v>
      </c>
      <c r="H122" s="20">
        <v>205.6</v>
      </c>
      <c r="I122" s="20">
        <v>194.5</v>
      </c>
      <c r="J122" s="20">
        <v>194.5</v>
      </c>
      <c r="K122" s="20"/>
      <c r="L122" s="20"/>
    </row>
    <row r="123" spans="1:12" ht="31.5" x14ac:dyDescent="0.25">
      <c r="A123" s="10">
        <f t="shared" si="28"/>
        <v>117</v>
      </c>
      <c r="B123" s="4" t="s">
        <v>103</v>
      </c>
      <c r="C123" s="20">
        <f t="shared" si="23"/>
        <v>69.8</v>
      </c>
      <c r="D123" s="20">
        <f t="shared" si="24"/>
        <v>69.8</v>
      </c>
      <c r="E123" s="20">
        <f>+D123-C123</f>
        <v>0</v>
      </c>
      <c r="F123" s="20">
        <f t="shared" si="26"/>
        <v>100</v>
      </c>
      <c r="G123" s="20">
        <v>69.8</v>
      </c>
      <c r="H123" s="20">
        <v>69.8</v>
      </c>
      <c r="I123" s="20"/>
      <c r="J123" s="20"/>
      <c r="K123" s="20"/>
      <c r="L123" s="20"/>
    </row>
    <row r="124" spans="1:12" ht="33" customHeight="1" x14ac:dyDescent="0.25">
      <c r="A124" s="10">
        <f t="shared" si="28"/>
        <v>118</v>
      </c>
      <c r="B124" s="25" t="s">
        <v>73</v>
      </c>
      <c r="C124" s="20">
        <f t="shared" si="23"/>
        <v>4.5</v>
      </c>
      <c r="D124" s="20">
        <f t="shared" si="24"/>
        <v>4.4000000000000004</v>
      </c>
      <c r="E124" s="20">
        <f t="shared" si="25"/>
        <v>-0.1</v>
      </c>
      <c r="F124" s="20">
        <f t="shared" si="26"/>
        <v>97.8</v>
      </c>
      <c r="G124" s="20">
        <v>4.5</v>
      </c>
      <c r="H124" s="20">
        <v>4.4000000000000004</v>
      </c>
      <c r="I124" s="20">
        <v>4</v>
      </c>
      <c r="J124" s="20">
        <v>4</v>
      </c>
      <c r="K124" s="20"/>
      <c r="L124" s="20"/>
    </row>
    <row r="125" spans="1:12" s="3" customFormat="1" ht="15.75" x14ac:dyDescent="0.25">
      <c r="A125" s="10">
        <f t="shared" si="28"/>
        <v>119</v>
      </c>
      <c r="B125" s="5" t="s">
        <v>121</v>
      </c>
      <c r="C125" s="19">
        <f>+C7+C11</f>
        <v>227490.8</v>
      </c>
      <c r="D125" s="19">
        <f>+D7+D11</f>
        <v>210130</v>
      </c>
      <c r="E125" s="19">
        <f>+E7+E11</f>
        <v>-17360.8</v>
      </c>
      <c r="F125" s="19">
        <f t="shared" si="26"/>
        <v>92.4</v>
      </c>
      <c r="G125" s="19">
        <f t="shared" ref="G125:L125" si="39">+G7+G11</f>
        <v>176232</v>
      </c>
      <c r="H125" s="19">
        <f t="shared" si="39"/>
        <v>165145.9</v>
      </c>
      <c r="I125" s="19">
        <f t="shared" si="39"/>
        <v>109528</v>
      </c>
      <c r="J125" s="19">
        <f t="shared" si="39"/>
        <v>108105.2</v>
      </c>
      <c r="K125" s="19">
        <f t="shared" si="39"/>
        <v>51258.8</v>
      </c>
      <c r="L125" s="19">
        <f t="shared" si="39"/>
        <v>44984.1</v>
      </c>
    </row>
    <row r="126" spans="1:12" ht="15.75" x14ac:dyDescent="0.25">
      <c r="A126" s="10">
        <f t="shared" si="28"/>
        <v>120</v>
      </c>
      <c r="B126" s="68" t="s">
        <v>2</v>
      </c>
      <c r="C126" s="20">
        <f t="shared" si="23"/>
        <v>0</v>
      </c>
      <c r="D126" s="20">
        <f t="shared" si="24"/>
        <v>0</v>
      </c>
      <c r="E126" s="20">
        <f t="shared" si="25"/>
        <v>0</v>
      </c>
      <c r="F126" s="20"/>
      <c r="G126" s="20"/>
      <c r="H126" s="20"/>
      <c r="I126" s="20"/>
      <c r="J126" s="20"/>
      <c r="K126" s="20"/>
      <c r="L126" s="20"/>
    </row>
    <row r="127" spans="1:12" ht="15.75" x14ac:dyDescent="0.25">
      <c r="A127" s="10">
        <f t="shared" si="28"/>
        <v>121</v>
      </c>
      <c r="B127" s="4" t="s">
        <v>108</v>
      </c>
      <c r="C127" s="20">
        <f t="shared" si="23"/>
        <v>3245.8</v>
      </c>
      <c r="D127" s="20">
        <f t="shared" si="24"/>
        <v>3245.8</v>
      </c>
      <c r="E127" s="20">
        <f t="shared" si="25"/>
        <v>0</v>
      </c>
      <c r="F127" s="20">
        <f t="shared" si="26"/>
        <v>100</v>
      </c>
      <c r="G127" s="20"/>
      <c r="H127" s="20"/>
      <c r="I127" s="20"/>
      <c r="J127" s="20"/>
      <c r="K127" s="20">
        <v>3245.8</v>
      </c>
      <c r="L127" s="20">
        <v>3245.8</v>
      </c>
    </row>
    <row r="128" spans="1:12" s="3" customFormat="1" ht="15.75" x14ac:dyDescent="0.25">
      <c r="A128" s="10">
        <f t="shared" si="28"/>
        <v>122</v>
      </c>
      <c r="B128" s="5" t="s">
        <v>232</v>
      </c>
      <c r="C128" s="19">
        <f>+C125-C127</f>
        <v>224245</v>
      </c>
      <c r="D128" s="19">
        <f t="shared" ref="D128:E128" si="40">+D125-D127</f>
        <v>206884.2</v>
      </c>
      <c r="E128" s="19">
        <f t="shared" si="40"/>
        <v>-17360.8</v>
      </c>
      <c r="F128" s="19">
        <f>+D128/C128*100</f>
        <v>92.3</v>
      </c>
      <c r="G128" s="19">
        <f t="shared" ref="G128" si="41">+G125-G127</f>
        <v>176232</v>
      </c>
      <c r="H128" s="19">
        <f t="shared" ref="H128" si="42">+H125-H127</f>
        <v>165145.9</v>
      </c>
      <c r="I128" s="19">
        <f t="shared" ref="I128" si="43">+I125-I127</f>
        <v>109528</v>
      </c>
      <c r="J128" s="19">
        <f t="shared" ref="J128" si="44">+J125-J127</f>
        <v>108105.2</v>
      </c>
      <c r="K128" s="19">
        <f t="shared" ref="K128" si="45">+K125-K127</f>
        <v>48013</v>
      </c>
      <c r="L128" s="19">
        <f t="shared" ref="L128" si="46">+L125-L127</f>
        <v>41738.300000000003</v>
      </c>
    </row>
    <row r="129" spans="1:12" x14ac:dyDescent="0.2">
      <c r="A129" s="72"/>
      <c r="B129" s="53"/>
      <c r="C129" s="71"/>
      <c r="D129" s="71"/>
      <c r="E129" s="71"/>
      <c r="F129" s="71"/>
      <c r="G129" s="71"/>
      <c r="H129" s="71"/>
      <c r="I129" s="71"/>
      <c r="J129" s="71"/>
      <c r="K129" s="71"/>
      <c r="L129" s="71"/>
    </row>
    <row r="130" spans="1:12" x14ac:dyDescent="0.2">
      <c r="A130" s="72"/>
      <c r="B130" s="7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x14ac:dyDescent="0.2">
      <c r="A131" s="72"/>
      <c r="B131" s="53"/>
      <c r="C131" s="71">
        <f>+C130-C129</f>
        <v>0</v>
      </c>
      <c r="D131" s="71">
        <f t="shared" ref="D131:L131" si="47">+D130-D129</f>
        <v>0</v>
      </c>
      <c r="E131" s="71"/>
      <c r="F131" s="71">
        <f t="shared" si="47"/>
        <v>0</v>
      </c>
      <c r="G131" s="71"/>
      <c r="H131" s="71"/>
      <c r="I131" s="71">
        <f t="shared" si="47"/>
        <v>0</v>
      </c>
      <c r="J131" s="71">
        <f t="shared" si="47"/>
        <v>0</v>
      </c>
      <c r="K131" s="71">
        <f t="shared" si="47"/>
        <v>0</v>
      </c>
      <c r="L131" s="71">
        <f t="shared" si="47"/>
        <v>0</v>
      </c>
    </row>
  </sheetData>
  <mergeCells count="14">
    <mergeCell ref="F2:F5"/>
    <mergeCell ref="G2:L2"/>
    <mergeCell ref="G3:J3"/>
    <mergeCell ref="K3:L3"/>
    <mergeCell ref="G4:G5"/>
    <mergeCell ref="H4:H5"/>
    <mergeCell ref="I4:J4"/>
    <mergeCell ref="K4:K5"/>
    <mergeCell ref="L4:L5"/>
    <mergeCell ref="A2:A5"/>
    <mergeCell ref="B2:B5"/>
    <mergeCell ref="C2:C5"/>
    <mergeCell ref="D2:D5"/>
    <mergeCell ref="E2:E5"/>
  </mergeCells>
  <pageMargins left="0.94488188976377963" right="0.35433070866141736" top="0.74803149606299213" bottom="0.39370078740157483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Zeros="0" tabSelected="1" zoomScaleNormal="100" workbookViewId="0">
      <selection activeCell="I16" sqref="I16"/>
    </sheetView>
  </sheetViews>
  <sheetFormatPr defaultColWidth="10.140625" defaultRowHeight="15.75" x14ac:dyDescent="0.25"/>
  <cols>
    <col min="1" max="1" width="6" style="37" customWidth="1"/>
    <col min="2" max="2" width="63.140625" customWidth="1"/>
    <col min="3" max="3" width="12" customWidth="1"/>
    <col min="4" max="4" width="11.140625" customWidth="1"/>
    <col min="6" max="6" width="11.7109375" customWidth="1"/>
    <col min="249" max="249" width="6" customWidth="1"/>
    <col min="250" max="250" width="54.28515625" customWidth="1"/>
    <col min="251" max="251" width="15.140625" customWidth="1"/>
    <col min="252" max="252" width="10.85546875" customWidth="1"/>
    <col min="253" max="253" width="11.140625" customWidth="1"/>
    <col min="505" max="505" width="6" customWidth="1"/>
    <col min="506" max="506" width="54.28515625" customWidth="1"/>
    <col min="507" max="507" width="15.140625" customWidth="1"/>
    <col min="508" max="508" width="10.85546875" customWidth="1"/>
    <col min="509" max="509" width="11.140625" customWidth="1"/>
    <col min="761" max="761" width="6" customWidth="1"/>
    <col min="762" max="762" width="54.28515625" customWidth="1"/>
    <col min="763" max="763" width="15.140625" customWidth="1"/>
    <col min="764" max="764" width="10.85546875" customWidth="1"/>
    <col min="765" max="765" width="11.140625" customWidth="1"/>
    <col min="1017" max="1017" width="6" customWidth="1"/>
    <col min="1018" max="1018" width="54.28515625" customWidth="1"/>
    <col min="1019" max="1019" width="15.140625" customWidth="1"/>
    <col min="1020" max="1020" width="10.85546875" customWidth="1"/>
    <col min="1021" max="1021" width="11.140625" customWidth="1"/>
    <col min="1273" max="1273" width="6" customWidth="1"/>
    <col min="1274" max="1274" width="54.28515625" customWidth="1"/>
    <col min="1275" max="1275" width="15.140625" customWidth="1"/>
    <col min="1276" max="1276" width="10.85546875" customWidth="1"/>
    <col min="1277" max="1277" width="11.140625" customWidth="1"/>
    <col min="1529" max="1529" width="6" customWidth="1"/>
    <col min="1530" max="1530" width="54.28515625" customWidth="1"/>
    <col min="1531" max="1531" width="15.140625" customWidth="1"/>
    <col min="1532" max="1532" width="10.85546875" customWidth="1"/>
    <col min="1533" max="1533" width="11.140625" customWidth="1"/>
    <col min="1785" max="1785" width="6" customWidth="1"/>
    <col min="1786" max="1786" width="54.28515625" customWidth="1"/>
    <col min="1787" max="1787" width="15.140625" customWidth="1"/>
    <col min="1788" max="1788" width="10.85546875" customWidth="1"/>
    <col min="1789" max="1789" width="11.140625" customWidth="1"/>
    <col min="2041" max="2041" width="6" customWidth="1"/>
    <col min="2042" max="2042" width="54.28515625" customWidth="1"/>
    <col min="2043" max="2043" width="15.140625" customWidth="1"/>
    <col min="2044" max="2044" width="10.85546875" customWidth="1"/>
    <col min="2045" max="2045" width="11.140625" customWidth="1"/>
    <col min="2297" max="2297" width="6" customWidth="1"/>
    <col min="2298" max="2298" width="54.28515625" customWidth="1"/>
    <col min="2299" max="2299" width="15.140625" customWidth="1"/>
    <col min="2300" max="2300" width="10.85546875" customWidth="1"/>
    <col min="2301" max="2301" width="11.140625" customWidth="1"/>
    <col min="2553" max="2553" width="6" customWidth="1"/>
    <col min="2554" max="2554" width="54.28515625" customWidth="1"/>
    <col min="2555" max="2555" width="15.140625" customWidth="1"/>
    <col min="2556" max="2556" width="10.85546875" customWidth="1"/>
    <col min="2557" max="2557" width="11.140625" customWidth="1"/>
    <col min="2809" max="2809" width="6" customWidth="1"/>
    <col min="2810" max="2810" width="54.28515625" customWidth="1"/>
    <col min="2811" max="2811" width="15.140625" customWidth="1"/>
    <col min="2812" max="2812" width="10.85546875" customWidth="1"/>
    <col min="2813" max="2813" width="11.140625" customWidth="1"/>
    <col min="3065" max="3065" width="6" customWidth="1"/>
    <col min="3066" max="3066" width="54.28515625" customWidth="1"/>
    <col min="3067" max="3067" width="15.140625" customWidth="1"/>
    <col min="3068" max="3068" width="10.85546875" customWidth="1"/>
    <col min="3069" max="3069" width="11.140625" customWidth="1"/>
    <col min="3321" max="3321" width="6" customWidth="1"/>
    <col min="3322" max="3322" width="54.28515625" customWidth="1"/>
    <col min="3323" max="3323" width="15.140625" customWidth="1"/>
    <col min="3324" max="3324" width="10.85546875" customWidth="1"/>
    <col min="3325" max="3325" width="11.140625" customWidth="1"/>
    <col min="3577" max="3577" width="6" customWidth="1"/>
    <col min="3578" max="3578" width="54.28515625" customWidth="1"/>
    <col min="3579" max="3579" width="15.140625" customWidth="1"/>
    <col min="3580" max="3580" width="10.85546875" customWidth="1"/>
    <col min="3581" max="3581" width="11.140625" customWidth="1"/>
    <col min="3833" max="3833" width="6" customWidth="1"/>
    <col min="3834" max="3834" width="54.28515625" customWidth="1"/>
    <col min="3835" max="3835" width="15.140625" customWidth="1"/>
    <col min="3836" max="3836" width="10.85546875" customWidth="1"/>
    <col min="3837" max="3837" width="11.140625" customWidth="1"/>
    <col min="4089" max="4089" width="6" customWidth="1"/>
    <col min="4090" max="4090" width="54.28515625" customWidth="1"/>
    <col min="4091" max="4091" width="15.140625" customWidth="1"/>
    <col min="4092" max="4092" width="10.85546875" customWidth="1"/>
    <col min="4093" max="4093" width="11.140625" customWidth="1"/>
    <col min="4345" max="4345" width="6" customWidth="1"/>
    <col min="4346" max="4346" width="54.28515625" customWidth="1"/>
    <col min="4347" max="4347" width="15.140625" customWidth="1"/>
    <col min="4348" max="4348" width="10.85546875" customWidth="1"/>
    <col min="4349" max="4349" width="11.140625" customWidth="1"/>
    <col min="4601" max="4601" width="6" customWidth="1"/>
    <col min="4602" max="4602" width="54.28515625" customWidth="1"/>
    <col min="4603" max="4603" width="15.140625" customWidth="1"/>
    <col min="4604" max="4604" width="10.85546875" customWidth="1"/>
    <col min="4605" max="4605" width="11.140625" customWidth="1"/>
    <col min="4857" max="4857" width="6" customWidth="1"/>
    <col min="4858" max="4858" width="54.28515625" customWidth="1"/>
    <col min="4859" max="4859" width="15.140625" customWidth="1"/>
    <col min="4860" max="4860" width="10.85546875" customWidth="1"/>
    <col min="4861" max="4861" width="11.140625" customWidth="1"/>
    <col min="5113" max="5113" width="6" customWidth="1"/>
    <col min="5114" max="5114" width="54.28515625" customWidth="1"/>
    <col min="5115" max="5115" width="15.140625" customWidth="1"/>
    <col min="5116" max="5116" width="10.85546875" customWidth="1"/>
    <col min="5117" max="5117" width="11.140625" customWidth="1"/>
    <col min="5369" max="5369" width="6" customWidth="1"/>
    <col min="5370" max="5370" width="54.28515625" customWidth="1"/>
    <col min="5371" max="5371" width="15.140625" customWidth="1"/>
    <col min="5372" max="5372" width="10.85546875" customWidth="1"/>
    <col min="5373" max="5373" width="11.140625" customWidth="1"/>
    <col min="5625" max="5625" width="6" customWidth="1"/>
    <col min="5626" max="5626" width="54.28515625" customWidth="1"/>
    <col min="5627" max="5627" width="15.140625" customWidth="1"/>
    <col min="5628" max="5628" width="10.85546875" customWidth="1"/>
    <col min="5629" max="5629" width="11.140625" customWidth="1"/>
    <col min="5881" max="5881" width="6" customWidth="1"/>
    <col min="5882" max="5882" width="54.28515625" customWidth="1"/>
    <col min="5883" max="5883" width="15.140625" customWidth="1"/>
    <col min="5884" max="5884" width="10.85546875" customWidth="1"/>
    <col min="5885" max="5885" width="11.140625" customWidth="1"/>
    <col min="6137" max="6137" width="6" customWidth="1"/>
    <col min="6138" max="6138" width="54.28515625" customWidth="1"/>
    <col min="6139" max="6139" width="15.140625" customWidth="1"/>
    <col min="6140" max="6140" width="10.85546875" customWidth="1"/>
    <col min="6141" max="6141" width="11.140625" customWidth="1"/>
    <col min="6393" max="6393" width="6" customWidth="1"/>
    <col min="6394" max="6394" width="54.28515625" customWidth="1"/>
    <col min="6395" max="6395" width="15.140625" customWidth="1"/>
    <col min="6396" max="6396" width="10.85546875" customWidth="1"/>
    <col min="6397" max="6397" width="11.140625" customWidth="1"/>
    <col min="6649" max="6649" width="6" customWidth="1"/>
    <col min="6650" max="6650" width="54.28515625" customWidth="1"/>
    <col min="6651" max="6651" width="15.140625" customWidth="1"/>
    <col min="6652" max="6652" width="10.85546875" customWidth="1"/>
    <col min="6653" max="6653" width="11.140625" customWidth="1"/>
    <col min="6905" max="6905" width="6" customWidth="1"/>
    <col min="6906" max="6906" width="54.28515625" customWidth="1"/>
    <col min="6907" max="6907" width="15.140625" customWidth="1"/>
    <col min="6908" max="6908" width="10.85546875" customWidth="1"/>
    <col min="6909" max="6909" width="11.140625" customWidth="1"/>
    <col min="7161" max="7161" width="6" customWidth="1"/>
    <col min="7162" max="7162" width="54.28515625" customWidth="1"/>
    <col min="7163" max="7163" width="15.140625" customWidth="1"/>
    <col min="7164" max="7164" width="10.85546875" customWidth="1"/>
    <col min="7165" max="7165" width="11.140625" customWidth="1"/>
    <col min="7417" max="7417" width="6" customWidth="1"/>
    <col min="7418" max="7418" width="54.28515625" customWidth="1"/>
    <col min="7419" max="7419" width="15.140625" customWidth="1"/>
    <col min="7420" max="7420" width="10.85546875" customWidth="1"/>
    <col min="7421" max="7421" width="11.140625" customWidth="1"/>
    <col min="7673" max="7673" width="6" customWidth="1"/>
    <col min="7674" max="7674" width="54.28515625" customWidth="1"/>
    <col min="7675" max="7675" width="15.140625" customWidth="1"/>
    <col min="7676" max="7676" width="10.85546875" customWidth="1"/>
    <col min="7677" max="7677" width="11.140625" customWidth="1"/>
    <col min="7929" max="7929" width="6" customWidth="1"/>
    <col min="7930" max="7930" width="54.28515625" customWidth="1"/>
    <col min="7931" max="7931" width="15.140625" customWidth="1"/>
    <col min="7932" max="7932" width="10.85546875" customWidth="1"/>
    <col min="7933" max="7933" width="11.140625" customWidth="1"/>
    <col min="8185" max="8185" width="6" customWidth="1"/>
    <col min="8186" max="8186" width="54.28515625" customWidth="1"/>
    <col min="8187" max="8187" width="15.140625" customWidth="1"/>
    <col min="8188" max="8188" width="10.85546875" customWidth="1"/>
    <col min="8189" max="8189" width="11.140625" customWidth="1"/>
    <col min="8441" max="8441" width="6" customWidth="1"/>
    <col min="8442" max="8442" width="54.28515625" customWidth="1"/>
    <col min="8443" max="8443" width="15.140625" customWidth="1"/>
    <col min="8444" max="8444" width="10.85546875" customWidth="1"/>
    <col min="8445" max="8445" width="11.140625" customWidth="1"/>
    <col min="8697" max="8697" width="6" customWidth="1"/>
    <col min="8698" max="8698" width="54.28515625" customWidth="1"/>
    <col min="8699" max="8699" width="15.140625" customWidth="1"/>
    <col min="8700" max="8700" width="10.85546875" customWidth="1"/>
    <col min="8701" max="8701" width="11.140625" customWidth="1"/>
    <col min="8953" max="8953" width="6" customWidth="1"/>
    <col min="8954" max="8954" width="54.28515625" customWidth="1"/>
    <col min="8955" max="8955" width="15.140625" customWidth="1"/>
    <col min="8956" max="8956" width="10.85546875" customWidth="1"/>
    <col min="8957" max="8957" width="11.140625" customWidth="1"/>
    <col min="9209" max="9209" width="6" customWidth="1"/>
    <col min="9210" max="9210" width="54.28515625" customWidth="1"/>
    <col min="9211" max="9211" width="15.140625" customWidth="1"/>
    <col min="9212" max="9212" width="10.85546875" customWidth="1"/>
    <col min="9213" max="9213" width="11.140625" customWidth="1"/>
    <col min="9465" max="9465" width="6" customWidth="1"/>
    <col min="9466" max="9466" width="54.28515625" customWidth="1"/>
    <col min="9467" max="9467" width="15.140625" customWidth="1"/>
    <col min="9468" max="9468" width="10.85546875" customWidth="1"/>
    <col min="9469" max="9469" width="11.140625" customWidth="1"/>
    <col min="9721" max="9721" width="6" customWidth="1"/>
    <col min="9722" max="9722" width="54.28515625" customWidth="1"/>
    <col min="9723" max="9723" width="15.140625" customWidth="1"/>
    <col min="9724" max="9724" width="10.85546875" customWidth="1"/>
    <col min="9725" max="9725" width="11.140625" customWidth="1"/>
    <col min="9977" max="9977" width="6" customWidth="1"/>
    <col min="9978" max="9978" width="54.28515625" customWidth="1"/>
    <col min="9979" max="9979" width="15.140625" customWidth="1"/>
    <col min="9980" max="9980" width="10.85546875" customWidth="1"/>
    <col min="9981" max="9981" width="11.140625" customWidth="1"/>
    <col min="10233" max="10233" width="6" customWidth="1"/>
    <col min="10234" max="10234" width="54.28515625" customWidth="1"/>
    <col min="10235" max="10235" width="15.140625" customWidth="1"/>
    <col min="10236" max="10236" width="10.85546875" customWidth="1"/>
    <col min="10237" max="10237" width="11.140625" customWidth="1"/>
    <col min="10489" max="10489" width="6" customWidth="1"/>
    <col min="10490" max="10490" width="54.28515625" customWidth="1"/>
    <col min="10491" max="10491" width="15.140625" customWidth="1"/>
    <col min="10492" max="10492" width="10.85546875" customWidth="1"/>
    <col min="10493" max="10493" width="11.140625" customWidth="1"/>
    <col min="10745" max="10745" width="6" customWidth="1"/>
    <col min="10746" max="10746" width="54.28515625" customWidth="1"/>
    <col min="10747" max="10747" width="15.140625" customWidth="1"/>
    <col min="10748" max="10748" width="10.85546875" customWidth="1"/>
    <col min="10749" max="10749" width="11.140625" customWidth="1"/>
    <col min="11001" max="11001" width="6" customWidth="1"/>
    <col min="11002" max="11002" width="54.28515625" customWidth="1"/>
    <col min="11003" max="11003" width="15.140625" customWidth="1"/>
    <col min="11004" max="11004" width="10.85546875" customWidth="1"/>
    <col min="11005" max="11005" width="11.140625" customWidth="1"/>
    <col min="11257" max="11257" width="6" customWidth="1"/>
    <col min="11258" max="11258" width="54.28515625" customWidth="1"/>
    <col min="11259" max="11259" width="15.140625" customWidth="1"/>
    <col min="11260" max="11260" width="10.85546875" customWidth="1"/>
    <col min="11261" max="11261" width="11.140625" customWidth="1"/>
    <col min="11513" max="11513" width="6" customWidth="1"/>
    <col min="11514" max="11514" width="54.28515625" customWidth="1"/>
    <col min="11515" max="11515" width="15.140625" customWidth="1"/>
    <col min="11516" max="11516" width="10.85546875" customWidth="1"/>
    <col min="11517" max="11517" width="11.140625" customWidth="1"/>
    <col min="11769" max="11769" width="6" customWidth="1"/>
    <col min="11770" max="11770" width="54.28515625" customWidth="1"/>
    <col min="11771" max="11771" width="15.140625" customWidth="1"/>
    <col min="11772" max="11772" width="10.85546875" customWidth="1"/>
    <col min="11773" max="11773" width="11.140625" customWidth="1"/>
    <col min="12025" max="12025" width="6" customWidth="1"/>
    <col min="12026" max="12026" width="54.28515625" customWidth="1"/>
    <col min="12027" max="12027" width="15.140625" customWidth="1"/>
    <col min="12028" max="12028" width="10.85546875" customWidth="1"/>
    <col min="12029" max="12029" width="11.140625" customWidth="1"/>
    <col min="12281" max="12281" width="6" customWidth="1"/>
    <col min="12282" max="12282" width="54.28515625" customWidth="1"/>
    <col min="12283" max="12283" width="15.140625" customWidth="1"/>
    <col min="12284" max="12284" width="10.85546875" customWidth="1"/>
    <col min="12285" max="12285" width="11.140625" customWidth="1"/>
    <col min="12537" max="12537" width="6" customWidth="1"/>
    <col min="12538" max="12538" width="54.28515625" customWidth="1"/>
    <col min="12539" max="12539" width="15.140625" customWidth="1"/>
    <col min="12540" max="12540" width="10.85546875" customWidth="1"/>
    <col min="12541" max="12541" width="11.140625" customWidth="1"/>
    <col min="12793" max="12793" width="6" customWidth="1"/>
    <col min="12794" max="12794" width="54.28515625" customWidth="1"/>
    <col min="12795" max="12795" width="15.140625" customWidth="1"/>
    <col min="12796" max="12796" width="10.85546875" customWidth="1"/>
    <col min="12797" max="12797" width="11.140625" customWidth="1"/>
    <col min="13049" max="13049" width="6" customWidth="1"/>
    <col min="13050" max="13050" width="54.28515625" customWidth="1"/>
    <col min="13051" max="13051" width="15.140625" customWidth="1"/>
    <col min="13052" max="13052" width="10.85546875" customWidth="1"/>
    <col min="13053" max="13053" width="11.140625" customWidth="1"/>
    <col min="13305" max="13305" width="6" customWidth="1"/>
    <col min="13306" max="13306" width="54.28515625" customWidth="1"/>
    <col min="13307" max="13307" width="15.140625" customWidth="1"/>
    <col min="13308" max="13308" width="10.85546875" customWidth="1"/>
    <col min="13309" max="13309" width="11.140625" customWidth="1"/>
    <col min="13561" max="13561" width="6" customWidth="1"/>
    <col min="13562" max="13562" width="54.28515625" customWidth="1"/>
    <col min="13563" max="13563" width="15.140625" customWidth="1"/>
    <col min="13564" max="13564" width="10.85546875" customWidth="1"/>
    <col min="13565" max="13565" width="11.140625" customWidth="1"/>
    <col min="13817" max="13817" width="6" customWidth="1"/>
    <col min="13818" max="13818" width="54.28515625" customWidth="1"/>
    <col min="13819" max="13819" width="15.140625" customWidth="1"/>
    <col min="13820" max="13820" width="10.85546875" customWidth="1"/>
    <col min="13821" max="13821" width="11.140625" customWidth="1"/>
    <col min="14073" max="14073" width="6" customWidth="1"/>
    <col min="14074" max="14074" width="54.28515625" customWidth="1"/>
    <col min="14075" max="14075" width="15.140625" customWidth="1"/>
    <col min="14076" max="14076" width="10.85546875" customWidth="1"/>
    <col min="14077" max="14077" width="11.140625" customWidth="1"/>
    <col min="14329" max="14329" width="6" customWidth="1"/>
    <col min="14330" max="14330" width="54.28515625" customWidth="1"/>
    <col min="14331" max="14331" width="15.140625" customWidth="1"/>
    <col min="14332" max="14332" width="10.85546875" customWidth="1"/>
    <col min="14333" max="14333" width="11.140625" customWidth="1"/>
    <col min="14585" max="14585" width="6" customWidth="1"/>
    <col min="14586" max="14586" width="54.28515625" customWidth="1"/>
    <col min="14587" max="14587" width="15.140625" customWidth="1"/>
    <col min="14588" max="14588" width="10.85546875" customWidth="1"/>
    <col min="14589" max="14589" width="11.140625" customWidth="1"/>
    <col min="14841" max="14841" width="6" customWidth="1"/>
    <col min="14842" max="14842" width="54.28515625" customWidth="1"/>
    <col min="14843" max="14843" width="15.140625" customWidth="1"/>
    <col min="14844" max="14844" width="10.85546875" customWidth="1"/>
    <col min="14845" max="14845" width="11.140625" customWidth="1"/>
    <col min="15097" max="15097" width="6" customWidth="1"/>
    <col min="15098" max="15098" width="54.28515625" customWidth="1"/>
    <col min="15099" max="15099" width="15.140625" customWidth="1"/>
    <col min="15100" max="15100" width="10.85546875" customWidth="1"/>
    <col min="15101" max="15101" width="11.140625" customWidth="1"/>
    <col min="15353" max="15353" width="6" customWidth="1"/>
    <col min="15354" max="15354" width="54.28515625" customWidth="1"/>
    <col min="15355" max="15355" width="15.140625" customWidth="1"/>
    <col min="15356" max="15356" width="10.85546875" customWidth="1"/>
    <col min="15357" max="15357" width="11.140625" customWidth="1"/>
    <col min="15609" max="15609" width="6" customWidth="1"/>
    <col min="15610" max="15610" width="54.28515625" customWidth="1"/>
    <col min="15611" max="15611" width="15.140625" customWidth="1"/>
    <col min="15612" max="15612" width="10.85546875" customWidth="1"/>
    <col min="15613" max="15613" width="11.140625" customWidth="1"/>
    <col min="15865" max="15865" width="6" customWidth="1"/>
    <col min="15866" max="15866" width="54.28515625" customWidth="1"/>
    <col min="15867" max="15867" width="15.140625" customWidth="1"/>
    <col min="15868" max="15868" width="10.85546875" customWidth="1"/>
    <col min="15869" max="15869" width="11.140625" customWidth="1"/>
    <col min="16121" max="16121" width="6" customWidth="1"/>
    <col min="16122" max="16122" width="54.28515625" customWidth="1"/>
    <col min="16123" max="16123" width="15.140625" customWidth="1"/>
    <col min="16124" max="16124" width="10.85546875" customWidth="1"/>
    <col min="16125" max="16125" width="11.140625" customWidth="1"/>
  </cols>
  <sheetData>
    <row r="1" spans="1:8" ht="45.75" customHeight="1" x14ac:dyDescent="0.25">
      <c r="A1" s="88" t="s">
        <v>227</v>
      </c>
      <c r="B1" s="88"/>
      <c r="C1" s="88"/>
      <c r="D1" s="88"/>
      <c r="E1" s="88"/>
      <c r="F1" s="88"/>
      <c r="G1" s="31"/>
      <c r="H1" s="31"/>
    </row>
    <row r="2" spans="1:8" ht="15" customHeight="1" x14ac:dyDescent="0.25">
      <c r="A2" s="76"/>
      <c r="B2" s="38"/>
      <c r="C2" s="77"/>
      <c r="D2" s="78"/>
      <c r="E2" s="50" t="s">
        <v>228</v>
      </c>
      <c r="F2" s="78"/>
    </row>
    <row r="3" spans="1:8" ht="17.25" customHeight="1" x14ac:dyDescent="0.25">
      <c r="A3" s="84" t="s">
        <v>0</v>
      </c>
      <c r="B3" s="84" t="s">
        <v>29</v>
      </c>
      <c r="C3" s="87" t="s">
        <v>183</v>
      </c>
      <c r="D3" s="87"/>
      <c r="E3" s="87"/>
      <c r="F3" s="87"/>
    </row>
    <row r="4" spans="1:8" ht="45.75" customHeight="1" x14ac:dyDescent="0.25">
      <c r="A4" s="84"/>
      <c r="B4" s="84"/>
      <c r="C4" s="55" t="s">
        <v>174</v>
      </c>
      <c r="D4" s="55" t="s">
        <v>175</v>
      </c>
      <c r="E4" s="55" t="s">
        <v>229</v>
      </c>
      <c r="F4" s="55" t="s">
        <v>177</v>
      </c>
    </row>
    <row r="5" spans="1:8" x14ac:dyDescent="0.25">
      <c r="A5" s="70">
        <v>1</v>
      </c>
      <c r="B5" s="69">
        <v>2</v>
      </c>
      <c r="C5" s="70">
        <v>3</v>
      </c>
      <c r="D5" s="69">
        <v>4</v>
      </c>
      <c r="E5" s="70">
        <v>5</v>
      </c>
      <c r="F5" s="69">
        <v>6</v>
      </c>
    </row>
    <row r="6" spans="1:8" x14ac:dyDescent="0.25">
      <c r="A6" s="33">
        <v>1</v>
      </c>
      <c r="B6" s="5" t="s">
        <v>3</v>
      </c>
      <c r="C6" s="79">
        <f>+C7+C8</f>
        <v>4745.8</v>
      </c>
      <c r="D6" s="79">
        <f t="shared" ref="D6:E6" si="0">+D7+D8</f>
        <v>4745.8</v>
      </c>
      <c r="E6" s="79">
        <f t="shared" si="0"/>
        <v>0</v>
      </c>
      <c r="F6" s="79">
        <f>+D6/C6*100</f>
        <v>100</v>
      </c>
    </row>
    <row r="7" spans="1:8" x14ac:dyDescent="0.25">
      <c r="A7" s="33" t="s">
        <v>184</v>
      </c>
      <c r="B7" s="4" t="s">
        <v>181</v>
      </c>
      <c r="C7" s="80">
        <v>2370</v>
      </c>
      <c r="D7" s="80">
        <v>2370</v>
      </c>
      <c r="E7" s="80">
        <f t="shared" ref="E7:E8" si="1">+D7-C7</f>
        <v>0</v>
      </c>
      <c r="F7" s="80">
        <f t="shared" ref="F7:F9" si="2">+D7/C7*100</f>
        <v>100</v>
      </c>
    </row>
    <row r="8" spans="1:8" x14ac:dyDescent="0.25">
      <c r="A8" s="33" t="s">
        <v>185</v>
      </c>
      <c r="B8" s="9" t="s">
        <v>186</v>
      </c>
      <c r="C8" s="80">
        <v>2375.8000000000002</v>
      </c>
      <c r="D8" s="80">
        <v>2375.8000000000002</v>
      </c>
      <c r="E8" s="80">
        <f t="shared" si="1"/>
        <v>0</v>
      </c>
      <c r="F8" s="80">
        <f t="shared" si="2"/>
        <v>100</v>
      </c>
    </row>
    <row r="9" spans="1:8" x14ac:dyDescent="0.25">
      <c r="A9" s="33" t="s">
        <v>187</v>
      </c>
      <c r="B9" s="34" t="s">
        <v>188</v>
      </c>
      <c r="C9" s="79">
        <f>+C6</f>
        <v>4745.8</v>
      </c>
      <c r="D9" s="79">
        <f t="shared" ref="D9:E9" si="3">+D6</f>
        <v>4745.8</v>
      </c>
      <c r="E9" s="79">
        <f t="shared" si="3"/>
        <v>0</v>
      </c>
      <c r="F9" s="79">
        <f t="shared" si="2"/>
        <v>100</v>
      </c>
    </row>
    <row r="10" spans="1:8" x14ac:dyDescent="0.25">
      <c r="A10" s="35"/>
      <c r="B10" s="32"/>
    </row>
    <row r="11" spans="1:8" x14ac:dyDescent="0.25">
      <c r="A11" s="35"/>
      <c r="B11" s="36"/>
    </row>
    <row r="12" spans="1:8" x14ac:dyDescent="0.25">
      <c r="A12" s="35"/>
      <c r="B12" s="32"/>
    </row>
  </sheetData>
  <mergeCells count="4">
    <mergeCell ref="C3:F3"/>
    <mergeCell ref="A1:F1"/>
    <mergeCell ref="A3:A4"/>
    <mergeCell ref="B3:B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Zeros="0" zoomScale="80" zoomScaleNormal="8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F81" sqref="F81"/>
    </sheetView>
  </sheetViews>
  <sheetFormatPr defaultRowHeight="15" x14ac:dyDescent="0.25"/>
  <cols>
    <col min="1" max="1" width="6.140625" customWidth="1"/>
    <col min="2" max="2" width="45.7109375" customWidth="1"/>
    <col min="3" max="3" width="10.42578125" customWidth="1"/>
    <col min="4" max="4" width="10.28515625" bestFit="1" customWidth="1"/>
    <col min="5" max="5" width="11.28515625" customWidth="1"/>
    <col min="6" max="6" width="9.5703125" customWidth="1"/>
    <col min="7" max="7" width="9.85546875" customWidth="1"/>
    <col min="8" max="8" width="10.140625" customWidth="1"/>
    <col min="9" max="9" width="11.85546875" customWidth="1"/>
    <col min="10" max="10" width="9.7109375" customWidth="1"/>
    <col min="11" max="11" width="10.42578125" customWidth="1"/>
    <col min="12" max="12" width="10" customWidth="1"/>
    <col min="13" max="14" width="11.28515625" customWidth="1"/>
  </cols>
  <sheetData>
    <row r="1" spans="1:14" ht="15.75" x14ac:dyDescent="0.25">
      <c r="A1" s="38"/>
      <c r="B1" s="38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ht="15.75" x14ac:dyDescent="0.25">
      <c r="A2" s="89" t="s">
        <v>226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s="2" customFormat="1" ht="15.75" x14ac:dyDescent="0.25">
      <c r="A3" s="81"/>
      <c r="B3" s="8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2" customFormat="1" ht="15.75" x14ac:dyDescent="0.25">
      <c r="A4" s="62"/>
      <c r="B4" s="62"/>
      <c r="C4" s="1"/>
      <c r="D4" s="1"/>
      <c r="E4" s="1"/>
      <c r="F4" s="1"/>
      <c r="G4" s="1"/>
      <c r="H4" s="1"/>
      <c r="I4" s="1"/>
      <c r="J4" s="1"/>
      <c r="K4" s="1" t="s">
        <v>215</v>
      </c>
      <c r="L4" s="1"/>
    </row>
    <row r="5" spans="1:14" s="40" customFormat="1" ht="15.75" x14ac:dyDescent="0.25">
      <c r="A5" s="83" t="s">
        <v>0</v>
      </c>
      <c r="B5" s="83" t="s">
        <v>189</v>
      </c>
      <c r="C5" s="84" t="s">
        <v>219</v>
      </c>
      <c r="D5" s="84" t="s">
        <v>175</v>
      </c>
      <c r="E5" s="84" t="s">
        <v>176</v>
      </c>
      <c r="F5" s="85" t="s">
        <v>234</v>
      </c>
      <c r="G5" s="86" t="s">
        <v>178</v>
      </c>
      <c r="H5" s="86"/>
      <c r="I5" s="86"/>
      <c r="J5" s="86"/>
      <c r="K5" s="86"/>
      <c r="L5" s="86"/>
    </row>
    <row r="6" spans="1:14" s="2" customFormat="1" ht="15.75" customHeight="1" x14ac:dyDescent="0.25">
      <c r="A6" s="83"/>
      <c r="B6" s="83"/>
      <c r="C6" s="84"/>
      <c r="D6" s="84"/>
      <c r="E6" s="84"/>
      <c r="F6" s="85"/>
      <c r="G6" s="84" t="s">
        <v>30</v>
      </c>
      <c r="H6" s="84"/>
      <c r="I6" s="84"/>
      <c r="J6" s="84"/>
      <c r="K6" s="84" t="s">
        <v>31</v>
      </c>
      <c r="L6" s="84"/>
    </row>
    <row r="7" spans="1:14" s="2" customFormat="1" ht="15.75" customHeight="1" x14ac:dyDescent="0.25">
      <c r="A7" s="83"/>
      <c r="B7" s="83"/>
      <c r="C7" s="84"/>
      <c r="D7" s="84"/>
      <c r="E7" s="84"/>
      <c r="F7" s="85"/>
      <c r="G7" s="84" t="s">
        <v>233</v>
      </c>
      <c r="H7" s="84" t="s">
        <v>175</v>
      </c>
      <c r="I7" s="85" t="s">
        <v>179</v>
      </c>
      <c r="J7" s="85"/>
      <c r="K7" s="84" t="s">
        <v>233</v>
      </c>
      <c r="L7" s="84" t="s">
        <v>175</v>
      </c>
    </row>
    <row r="8" spans="1:14" s="2" customFormat="1" ht="31.5" x14ac:dyDescent="0.25">
      <c r="A8" s="83"/>
      <c r="B8" s="83"/>
      <c r="C8" s="84"/>
      <c r="D8" s="84"/>
      <c r="E8" s="84"/>
      <c r="F8" s="85"/>
      <c r="G8" s="84"/>
      <c r="H8" s="84"/>
      <c r="I8" s="21" t="s">
        <v>165</v>
      </c>
      <c r="J8" s="21" t="s">
        <v>175</v>
      </c>
      <c r="K8" s="84"/>
      <c r="L8" s="84"/>
    </row>
    <row r="9" spans="1:14" s="2" customFormat="1" ht="15.75" x14ac:dyDescent="0.25">
      <c r="A9" s="63">
        <v>1</v>
      </c>
      <c r="B9" s="63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</row>
    <row r="10" spans="1:14" s="2" customFormat="1" ht="31.5" x14ac:dyDescent="0.25">
      <c r="A10" s="10">
        <v>1</v>
      </c>
      <c r="B10" s="8" t="s">
        <v>190</v>
      </c>
      <c r="C10" s="29">
        <f>+C12</f>
        <v>1353.1</v>
      </c>
      <c r="D10" s="29">
        <f t="shared" ref="D10:L10" si="0">+D12</f>
        <v>1190.8</v>
      </c>
      <c r="E10" s="29">
        <f t="shared" si="0"/>
        <v>-162.30000000000001</v>
      </c>
      <c r="F10" s="29">
        <f>+D10/C10*100</f>
        <v>88</v>
      </c>
      <c r="G10" s="29">
        <f t="shared" si="0"/>
        <v>1146.0999999999999</v>
      </c>
      <c r="H10" s="29">
        <f t="shared" si="0"/>
        <v>1062.0999999999999</v>
      </c>
      <c r="I10" s="29">
        <f t="shared" si="0"/>
        <v>106</v>
      </c>
      <c r="J10" s="29">
        <f t="shared" si="0"/>
        <v>105</v>
      </c>
      <c r="K10" s="29">
        <f t="shared" si="0"/>
        <v>207</v>
      </c>
      <c r="L10" s="29">
        <f t="shared" si="0"/>
        <v>128.69999999999999</v>
      </c>
      <c r="M10" s="30"/>
      <c r="N10" s="30"/>
    </row>
    <row r="11" spans="1:14" s="2" customFormat="1" ht="15.75" x14ac:dyDescent="0.25">
      <c r="A11" s="10">
        <v>2</v>
      </c>
      <c r="B11" s="63" t="s">
        <v>2</v>
      </c>
      <c r="C11" s="28">
        <f t="shared" ref="C11:C74" si="1">+G11+K11</f>
        <v>0</v>
      </c>
      <c r="D11" s="28">
        <f t="shared" ref="D11:D74" si="2">+H11+L11</f>
        <v>0</v>
      </c>
      <c r="E11" s="28">
        <f t="shared" ref="E11:E74" si="3">+D11-C11</f>
        <v>0</v>
      </c>
      <c r="F11" s="28"/>
      <c r="G11" s="28"/>
      <c r="H11" s="28"/>
      <c r="I11" s="28"/>
      <c r="J11" s="28"/>
      <c r="K11" s="28"/>
      <c r="L11" s="28"/>
      <c r="M11" s="30"/>
      <c r="N11" s="30"/>
    </row>
    <row r="12" spans="1:14" s="2" customFormat="1" ht="15.75" x14ac:dyDescent="0.25">
      <c r="A12" s="10">
        <v>3</v>
      </c>
      <c r="B12" s="5" t="s">
        <v>3</v>
      </c>
      <c r="C12" s="29">
        <f>+C13+C14+C16+C18+C20+C21+C23</f>
        <v>1353.1</v>
      </c>
      <c r="D12" s="29">
        <f t="shared" ref="D12:E12" si="4">+D13+D14+D16+D18+D20+D21+D23</f>
        <v>1190.8</v>
      </c>
      <c r="E12" s="29">
        <f t="shared" si="4"/>
        <v>-162.30000000000001</v>
      </c>
      <c r="F12" s="29">
        <f t="shared" ref="F12:F74" si="5">+D12/C12*100</f>
        <v>88</v>
      </c>
      <c r="G12" s="29">
        <f t="shared" ref="G12" si="6">+G13+G14+G16+G18+G20+G21+G23</f>
        <v>1146.0999999999999</v>
      </c>
      <c r="H12" s="29">
        <f t="shared" ref="H12" si="7">+H13+H14+H16+H18+H20+H21+H23</f>
        <v>1062.0999999999999</v>
      </c>
      <c r="I12" s="29">
        <f t="shared" ref="I12" si="8">+I13+I14+I16+I18+I20+I21+I23</f>
        <v>106</v>
      </c>
      <c r="J12" s="29">
        <f t="shared" ref="J12" si="9">+J13+J14+J16+J18+J20+J21+J23</f>
        <v>105</v>
      </c>
      <c r="K12" s="29">
        <f t="shared" ref="K12" si="10">+K13+K14+K16+K18+K20+K21+K23</f>
        <v>207</v>
      </c>
      <c r="L12" s="29">
        <f t="shared" ref="L12" si="11">+L13+L14+L16+L18+L20+L21+L23</f>
        <v>128.69999999999999</v>
      </c>
      <c r="M12" s="30"/>
      <c r="N12" s="30"/>
    </row>
    <row r="13" spans="1:14" s="2" customFormat="1" ht="15.75" x14ac:dyDescent="0.25">
      <c r="A13" s="10">
        <v>4</v>
      </c>
      <c r="B13" s="4" t="s">
        <v>33</v>
      </c>
      <c r="C13" s="28">
        <f t="shared" si="1"/>
        <v>354.6</v>
      </c>
      <c r="D13" s="28">
        <f t="shared" si="2"/>
        <v>202.9</v>
      </c>
      <c r="E13" s="28">
        <f t="shared" si="3"/>
        <v>-151.69999999999999</v>
      </c>
      <c r="F13" s="28">
        <f t="shared" si="5"/>
        <v>57.2</v>
      </c>
      <c r="G13" s="28">
        <f>354.6-142.6</f>
        <v>212</v>
      </c>
      <c r="H13" s="28">
        <v>138.19999999999999</v>
      </c>
      <c r="I13" s="28"/>
      <c r="J13" s="28"/>
      <c r="K13" s="28">
        <v>142.6</v>
      </c>
      <c r="L13" s="28">
        <v>64.7</v>
      </c>
      <c r="M13" s="30"/>
      <c r="N13" s="30"/>
    </row>
    <row r="14" spans="1:14" s="2" customFormat="1" ht="31.5" x14ac:dyDescent="0.25">
      <c r="A14" s="10">
        <v>5</v>
      </c>
      <c r="B14" s="4" t="s">
        <v>181</v>
      </c>
      <c r="C14" s="28">
        <f t="shared" si="1"/>
        <v>6.6</v>
      </c>
      <c r="D14" s="28">
        <f t="shared" si="2"/>
        <v>6.6</v>
      </c>
      <c r="E14" s="28">
        <f t="shared" si="3"/>
        <v>0</v>
      </c>
      <c r="F14" s="28">
        <f t="shared" si="5"/>
        <v>100</v>
      </c>
      <c r="G14" s="28">
        <f>0.1+6.5</f>
        <v>6.6</v>
      </c>
      <c r="H14" s="28">
        <v>6.6</v>
      </c>
      <c r="I14" s="28"/>
      <c r="J14" s="28"/>
      <c r="K14" s="28"/>
      <c r="L14" s="28"/>
      <c r="M14" s="30"/>
      <c r="N14" s="30"/>
    </row>
    <row r="15" spans="1:14" s="2" customFormat="1" ht="15.75" x14ac:dyDescent="0.25">
      <c r="A15" s="10">
        <v>6</v>
      </c>
      <c r="B15" s="41" t="s">
        <v>191</v>
      </c>
      <c r="C15" s="28">
        <f t="shared" si="1"/>
        <v>0.1</v>
      </c>
      <c r="D15" s="28">
        <f t="shared" si="2"/>
        <v>0.1</v>
      </c>
      <c r="E15" s="28">
        <f t="shared" si="3"/>
        <v>0</v>
      </c>
      <c r="F15" s="28">
        <f t="shared" si="5"/>
        <v>100</v>
      </c>
      <c r="G15" s="28">
        <v>0.1</v>
      </c>
      <c r="H15" s="28">
        <v>0.1</v>
      </c>
      <c r="I15" s="28"/>
      <c r="J15" s="28"/>
      <c r="K15" s="28"/>
      <c r="L15" s="28"/>
      <c r="M15" s="30"/>
      <c r="N15" s="30"/>
    </row>
    <row r="16" spans="1:14" s="2" customFormat="1" ht="15.75" x14ac:dyDescent="0.25">
      <c r="A16" s="10">
        <v>7</v>
      </c>
      <c r="B16" s="4" t="s">
        <v>75</v>
      </c>
      <c r="C16" s="28">
        <f t="shared" si="1"/>
        <v>122.1</v>
      </c>
      <c r="D16" s="28">
        <f t="shared" si="2"/>
        <v>115.1</v>
      </c>
      <c r="E16" s="28">
        <f t="shared" si="3"/>
        <v>-7</v>
      </c>
      <c r="F16" s="28">
        <f t="shared" si="5"/>
        <v>94.3</v>
      </c>
      <c r="G16" s="28">
        <f>2.3+5.1+107.9-3.9-0.4+6.8</f>
        <v>117.8</v>
      </c>
      <c r="H16" s="28">
        <v>110.8</v>
      </c>
      <c r="I16" s="28"/>
      <c r="J16" s="28"/>
      <c r="K16" s="28">
        <f>3.9+0.4</f>
        <v>4.3</v>
      </c>
      <c r="L16" s="28">
        <v>4.3</v>
      </c>
      <c r="M16" s="30"/>
      <c r="N16" s="30"/>
    </row>
    <row r="17" spans="1:14" s="2" customFormat="1" ht="15.75" x14ac:dyDescent="0.25">
      <c r="A17" s="10">
        <v>8</v>
      </c>
      <c r="B17" s="41" t="s">
        <v>191</v>
      </c>
      <c r="C17" s="28">
        <f t="shared" si="1"/>
        <v>5.0999999999999996</v>
      </c>
      <c r="D17" s="28">
        <f t="shared" si="2"/>
        <v>5.0999999999999996</v>
      </c>
      <c r="E17" s="28">
        <f t="shared" si="3"/>
        <v>0</v>
      </c>
      <c r="F17" s="28">
        <f t="shared" si="5"/>
        <v>100</v>
      </c>
      <c r="G17" s="28">
        <v>5.0999999999999996</v>
      </c>
      <c r="H17" s="28">
        <v>5.0999999999999996</v>
      </c>
      <c r="I17" s="28"/>
      <c r="J17" s="28"/>
      <c r="K17" s="28"/>
      <c r="L17" s="28"/>
      <c r="M17" s="30"/>
      <c r="N17" s="30"/>
    </row>
    <row r="18" spans="1:14" s="2" customFormat="1" ht="15.75" x14ac:dyDescent="0.25">
      <c r="A18" s="10">
        <v>9</v>
      </c>
      <c r="B18" s="42" t="s">
        <v>46</v>
      </c>
      <c r="C18" s="28">
        <f t="shared" si="1"/>
        <v>415.4</v>
      </c>
      <c r="D18" s="28">
        <f t="shared" si="2"/>
        <v>413.6</v>
      </c>
      <c r="E18" s="28">
        <f t="shared" si="3"/>
        <v>-1.8</v>
      </c>
      <c r="F18" s="28">
        <f t="shared" si="5"/>
        <v>99.6</v>
      </c>
      <c r="G18" s="28">
        <f>415.4-46.6</f>
        <v>368.8</v>
      </c>
      <c r="H18" s="28">
        <v>367.1</v>
      </c>
      <c r="I18" s="28">
        <f>4.9+46.9+54.2</f>
        <v>106</v>
      </c>
      <c r="J18" s="28">
        <v>105</v>
      </c>
      <c r="K18" s="28">
        <f>2.2+23.8+1.4+7.2+12</f>
        <v>46.6</v>
      </c>
      <c r="L18" s="28">
        <v>46.5</v>
      </c>
      <c r="M18" s="30"/>
      <c r="N18" s="30"/>
    </row>
    <row r="19" spans="1:14" s="2" customFormat="1" ht="15.75" x14ac:dyDescent="0.25">
      <c r="A19" s="10">
        <v>10</v>
      </c>
      <c r="B19" s="41" t="s">
        <v>191</v>
      </c>
      <c r="C19" s="28">
        <f t="shared" si="1"/>
        <v>38.700000000000003</v>
      </c>
      <c r="D19" s="28">
        <f t="shared" si="2"/>
        <v>38.700000000000003</v>
      </c>
      <c r="E19" s="28">
        <f t="shared" si="3"/>
        <v>0</v>
      </c>
      <c r="F19" s="28">
        <f t="shared" si="5"/>
        <v>100</v>
      </c>
      <c r="G19" s="28">
        <f>6.8+31.9</f>
        <v>38.700000000000003</v>
      </c>
      <c r="H19" s="28">
        <f>6.8+31.9</f>
        <v>38.700000000000003</v>
      </c>
      <c r="I19" s="28"/>
      <c r="J19" s="28"/>
      <c r="K19" s="28"/>
      <c r="L19" s="28"/>
      <c r="M19" s="30"/>
      <c r="N19" s="30"/>
    </row>
    <row r="20" spans="1:14" s="2" customFormat="1" ht="15.75" x14ac:dyDescent="0.25">
      <c r="A20" s="10">
        <v>11</v>
      </c>
      <c r="B20" s="42" t="s">
        <v>186</v>
      </c>
      <c r="C20" s="28">
        <f t="shared" si="1"/>
        <v>124.2</v>
      </c>
      <c r="D20" s="28">
        <f t="shared" si="2"/>
        <v>122.7</v>
      </c>
      <c r="E20" s="28">
        <f t="shared" si="3"/>
        <v>-1.5</v>
      </c>
      <c r="F20" s="28">
        <f t="shared" si="5"/>
        <v>98.8</v>
      </c>
      <c r="G20" s="28">
        <f>1.7+65.8+56.7</f>
        <v>124.2</v>
      </c>
      <c r="H20" s="28">
        <v>122.7</v>
      </c>
      <c r="I20" s="28"/>
      <c r="J20" s="28"/>
      <c r="K20" s="28"/>
      <c r="L20" s="28"/>
      <c r="M20" s="30"/>
      <c r="N20" s="30"/>
    </row>
    <row r="21" spans="1:14" s="2" customFormat="1" ht="15.75" x14ac:dyDescent="0.25">
      <c r="A21" s="10">
        <v>12</v>
      </c>
      <c r="B21" s="42" t="s">
        <v>192</v>
      </c>
      <c r="C21" s="28">
        <f t="shared" si="1"/>
        <v>316</v>
      </c>
      <c r="D21" s="28">
        <f t="shared" si="2"/>
        <v>315.7</v>
      </c>
      <c r="E21" s="28">
        <f t="shared" si="3"/>
        <v>-0.3</v>
      </c>
      <c r="F21" s="28">
        <f t="shared" si="5"/>
        <v>99.9</v>
      </c>
      <c r="G21" s="28">
        <f>34.7+48.4-0.3-13.2+13+209.9+10</f>
        <v>302.5</v>
      </c>
      <c r="H21" s="28">
        <v>302.5</v>
      </c>
      <c r="I21" s="28"/>
      <c r="J21" s="28"/>
      <c r="K21" s="28">
        <v>13.5</v>
      </c>
      <c r="L21" s="28">
        <v>13.2</v>
      </c>
      <c r="M21" s="30"/>
      <c r="N21" s="30"/>
    </row>
    <row r="22" spans="1:14" s="2" customFormat="1" ht="15.75" x14ac:dyDescent="0.25">
      <c r="A22" s="10">
        <v>13</v>
      </c>
      <c r="B22" s="41" t="s">
        <v>191</v>
      </c>
      <c r="C22" s="28">
        <f t="shared" si="1"/>
        <v>23</v>
      </c>
      <c r="D22" s="28">
        <f t="shared" si="2"/>
        <v>23</v>
      </c>
      <c r="E22" s="28">
        <f t="shared" si="3"/>
        <v>0</v>
      </c>
      <c r="F22" s="28">
        <f t="shared" si="5"/>
        <v>100</v>
      </c>
      <c r="G22" s="28">
        <f>13+10</f>
        <v>23</v>
      </c>
      <c r="H22" s="28">
        <f>13+10</f>
        <v>23</v>
      </c>
      <c r="I22" s="28"/>
      <c r="J22" s="28"/>
      <c r="K22" s="28"/>
      <c r="L22" s="28"/>
      <c r="M22" s="30"/>
      <c r="N22" s="30"/>
    </row>
    <row r="23" spans="1:14" s="2" customFormat="1" ht="15.75" x14ac:dyDescent="0.25">
      <c r="A23" s="10">
        <v>14</v>
      </c>
      <c r="B23" s="42" t="s">
        <v>61</v>
      </c>
      <c r="C23" s="28">
        <f t="shared" si="1"/>
        <v>14.2</v>
      </c>
      <c r="D23" s="28">
        <f t="shared" si="2"/>
        <v>14.2</v>
      </c>
      <c r="E23" s="28">
        <f t="shared" si="3"/>
        <v>0</v>
      </c>
      <c r="F23" s="28">
        <f t="shared" si="5"/>
        <v>100</v>
      </c>
      <c r="G23" s="28">
        <f>7.5+6.7</f>
        <v>14.2</v>
      </c>
      <c r="H23" s="28">
        <f>7.5+6.7</f>
        <v>14.2</v>
      </c>
      <c r="I23" s="28"/>
      <c r="J23" s="28"/>
      <c r="K23" s="28"/>
      <c r="L23" s="28"/>
      <c r="M23" s="30"/>
      <c r="N23" s="30"/>
    </row>
    <row r="24" spans="1:14" s="2" customFormat="1" ht="31.5" x14ac:dyDescent="0.25">
      <c r="A24" s="10">
        <v>15</v>
      </c>
      <c r="B24" s="8" t="s">
        <v>193</v>
      </c>
      <c r="C24" s="29">
        <f>+C26+C28+C30+C33+C36+C38+C40+C44+C46</f>
        <v>4397.8999999999996</v>
      </c>
      <c r="D24" s="29">
        <f t="shared" ref="D24:L24" si="12">+D26+D28+D30+D33+D36+D38+D40+D44+D46</f>
        <v>3650.3</v>
      </c>
      <c r="E24" s="29">
        <f t="shared" si="12"/>
        <v>-747.6</v>
      </c>
      <c r="F24" s="29">
        <f t="shared" si="5"/>
        <v>83</v>
      </c>
      <c r="G24" s="29">
        <f t="shared" si="12"/>
        <v>1650.4</v>
      </c>
      <c r="H24" s="29">
        <f t="shared" si="12"/>
        <v>1214.9000000000001</v>
      </c>
      <c r="I24" s="29">
        <f t="shared" si="12"/>
        <v>105.2</v>
      </c>
      <c r="J24" s="29">
        <f t="shared" si="12"/>
        <v>100.8</v>
      </c>
      <c r="K24" s="29">
        <f t="shared" si="12"/>
        <v>2747.5</v>
      </c>
      <c r="L24" s="29">
        <f t="shared" si="12"/>
        <v>2435.4</v>
      </c>
      <c r="M24" s="30"/>
      <c r="N24" s="30"/>
    </row>
    <row r="25" spans="1:14" s="2" customFormat="1" ht="15.75" x14ac:dyDescent="0.25">
      <c r="A25" s="10">
        <v>16</v>
      </c>
      <c r="B25" s="63" t="s">
        <v>2</v>
      </c>
      <c r="C25" s="28">
        <f t="shared" si="1"/>
        <v>0</v>
      </c>
      <c r="D25" s="28">
        <f t="shared" si="2"/>
        <v>0</v>
      </c>
      <c r="E25" s="28">
        <f t="shared" si="3"/>
        <v>0</v>
      </c>
      <c r="F25" s="28"/>
      <c r="G25" s="28"/>
      <c r="H25" s="28"/>
      <c r="I25" s="28"/>
      <c r="J25" s="28"/>
      <c r="K25" s="28"/>
      <c r="L25" s="28"/>
      <c r="M25" s="30"/>
      <c r="N25" s="30"/>
    </row>
    <row r="26" spans="1:14" s="2" customFormat="1" ht="31.5" x14ac:dyDescent="0.25">
      <c r="A26" s="10">
        <v>17</v>
      </c>
      <c r="B26" s="8" t="s">
        <v>194</v>
      </c>
      <c r="C26" s="29">
        <f>+C27</f>
        <v>552.5</v>
      </c>
      <c r="D26" s="29">
        <f t="shared" ref="D26:E26" si="13">+D27</f>
        <v>492.9</v>
      </c>
      <c r="E26" s="29">
        <f t="shared" si="13"/>
        <v>-59.6</v>
      </c>
      <c r="F26" s="29">
        <f t="shared" si="5"/>
        <v>89.2</v>
      </c>
      <c r="G26" s="29">
        <f t="shared" ref="G26" si="14">+G27</f>
        <v>284.8</v>
      </c>
      <c r="H26" s="29">
        <f t="shared" ref="H26" si="15">+H27</f>
        <v>236.4</v>
      </c>
      <c r="I26" s="29">
        <f t="shared" ref="I26" si="16">+I27</f>
        <v>0</v>
      </c>
      <c r="J26" s="29">
        <f t="shared" ref="J26" si="17">+J27</f>
        <v>0</v>
      </c>
      <c r="K26" s="29">
        <f t="shared" ref="K26" si="18">+K27</f>
        <v>267.7</v>
      </c>
      <c r="L26" s="29">
        <f t="shared" ref="L26" si="19">+L27</f>
        <v>256.5</v>
      </c>
      <c r="M26" s="30"/>
      <c r="N26" s="30"/>
    </row>
    <row r="27" spans="1:14" s="2" customFormat="1" ht="15.75" x14ac:dyDescent="0.25">
      <c r="A27" s="10">
        <v>18</v>
      </c>
      <c r="B27" s="42" t="s">
        <v>195</v>
      </c>
      <c r="C27" s="28">
        <f t="shared" si="1"/>
        <v>552.5</v>
      </c>
      <c r="D27" s="28">
        <f t="shared" si="2"/>
        <v>492.9</v>
      </c>
      <c r="E27" s="28">
        <f t="shared" si="3"/>
        <v>-59.6</v>
      </c>
      <c r="F27" s="28">
        <f t="shared" si="5"/>
        <v>89.2</v>
      </c>
      <c r="G27" s="28">
        <f>552.5-267.7</f>
        <v>284.8</v>
      </c>
      <c r="H27" s="28">
        <v>236.4</v>
      </c>
      <c r="I27" s="28"/>
      <c r="J27" s="28"/>
      <c r="K27" s="28">
        <v>267.7</v>
      </c>
      <c r="L27" s="28">
        <v>256.5</v>
      </c>
      <c r="M27" s="30"/>
      <c r="N27" s="30"/>
    </row>
    <row r="28" spans="1:14" s="2" customFormat="1" ht="47.25" x14ac:dyDescent="0.25">
      <c r="A28" s="10">
        <v>19</v>
      </c>
      <c r="B28" s="5" t="s">
        <v>196</v>
      </c>
      <c r="C28" s="29">
        <f>+C29</f>
        <v>29.2</v>
      </c>
      <c r="D28" s="29">
        <f t="shared" ref="D28:E28" si="20">+D29</f>
        <v>21.1</v>
      </c>
      <c r="E28" s="29">
        <f t="shared" si="20"/>
        <v>-8.1</v>
      </c>
      <c r="F28" s="29">
        <f t="shared" si="5"/>
        <v>72.3</v>
      </c>
      <c r="G28" s="29">
        <f t="shared" ref="G28" si="21">+G29</f>
        <v>29.2</v>
      </c>
      <c r="H28" s="29">
        <f t="shared" ref="H28" si="22">+H29</f>
        <v>21.1</v>
      </c>
      <c r="I28" s="29">
        <f t="shared" ref="I28" si="23">+I29</f>
        <v>0</v>
      </c>
      <c r="J28" s="29">
        <f t="shared" ref="J28" si="24">+J29</f>
        <v>0</v>
      </c>
      <c r="K28" s="29">
        <f t="shared" ref="K28" si="25">+K29</f>
        <v>0</v>
      </c>
      <c r="L28" s="29">
        <f t="shared" ref="L28" si="26">+L29</f>
        <v>0</v>
      </c>
      <c r="M28" s="30"/>
      <c r="N28" s="30"/>
    </row>
    <row r="29" spans="1:14" s="2" customFormat="1" ht="15.75" x14ac:dyDescent="0.25">
      <c r="A29" s="10">
        <v>20</v>
      </c>
      <c r="B29" s="4" t="s">
        <v>61</v>
      </c>
      <c r="C29" s="28">
        <f t="shared" si="1"/>
        <v>29.2</v>
      </c>
      <c r="D29" s="28">
        <f t="shared" si="2"/>
        <v>21.1</v>
      </c>
      <c r="E29" s="28">
        <f t="shared" si="3"/>
        <v>-8.1</v>
      </c>
      <c r="F29" s="28">
        <f t="shared" si="5"/>
        <v>72.3</v>
      </c>
      <c r="G29" s="28">
        <v>29.2</v>
      </c>
      <c r="H29" s="28">
        <v>21.1</v>
      </c>
      <c r="I29" s="28"/>
      <c r="J29" s="28"/>
      <c r="K29" s="28"/>
      <c r="L29" s="28"/>
      <c r="M29" s="30"/>
      <c r="N29" s="30"/>
    </row>
    <row r="30" spans="1:14" s="2" customFormat="1" ht="47.25" x14ac:dyDescent="0.25">
      <c r="A30" s="10">
        <v>21</v>
      </c>
      <c r="B30" s="8" t="s">
        <v>197</v>
      </c>
      <c r="C30" s="29">
        <f>+C31</f>
        <v>329.4</v>
      </c>
      <c r="D30" s="29">
        <f t="shared" ref="D30:E30" si="27">+D31</f>
        <v>111.1</v>
      </c>
      <c r="E30" s="29">
        <f t="shared" si="27"/>
        <v>-218.3</v>
      </c>
      <c r="F30" s="29">
        <f t="shared" si="5"/>
        <v>33.700000000000003</v>
      </c>
      <c r="G30" s="29">
        <f t="shared" ref="G30" si="28">+G31</f>
        <v>329.4</v>
      </c>
      <c r="H30" s="29">
        <f t="shared" ref="H30" si="29">+H31</f>
        <v>111.1</v>
      </c>
      <c r="I30" s="29">
        <f t="shared" ref="I30" si="30">+I31</f>
        <v>0</v>
      </c>
      <c r="J30" s="29">
        <f t="shared" ref="J30" si="31">+J31</f>
        <v>0</v>
      </c>
      <c r="K30" s="29">
        <f t="shared" ref="K30" si="32">+K31</f>
        <v>0</v>
      </c>
      <c r="L30" s="29">
        <f t="shared" ref="L30" si="33">+L31</f>
        <v>0</v>
      </c>
      <c r="M30" s="30"/>
      <c r="N30" s="30"/>
    </row>
    <row r="31" spans="1:14" s="2" customFormat="1" ht="15.75" x14ac:dyDescent="0.25">
      <c r="A31" s="10">
        <v>22</v>
      </c>
      <c r="B31" s="9" t="s">
        <v>195</v>
      </c>
      <c r="C31" s="28">
        <f t="shared" si="1"/>
        <v>329.4</v>
      </c>
      <c r="D31" s="28">
        <f t="shared" si="2"/>
        <v>111.1</v>
      </c>
      <c r="E31" s="28">
        <f t="shared" si="3"/>
        <v>-218.3</v>
      </c>
      <c r="F31" s="28">
        <f t="shared" si="5"/>
        <v>33.700000000000003</v>
      </c>
      <c r="G31" s="28">
        <f>34.4+295</f>
        <v>329.4</v>
      </c>
      <c r="H31" s="28">
        <v>111.1</v>
      </c>
      <c r="I31" s="28"/>
      <c r="J31" s="28"/>
      <c r="K31" s="28"/>
      <c r="L31" s="28"/>
      <c r="M31" s="30"/>
      <c r="N31" s="30"/>
    </row>
    <row r="32" spans="1:14" s="2" customFormat="1" ht="15.75" x14ac:dyDescent="0.25">
      <c r="A32" s="10">
        <v>23</v>
      </c>
      <c r="B32" s="41" t="s">
        <v>191</v>
      </c>
      <c r="C32" s="28">
        <f t="shared" si="1"/>
        <v>34.4</v>
      </c>
      <c r="D32" s="28">
        <f t="shared" si="2"/>
        <v>34.4</v>
      </c>
      <c r="E32" s="28">
        <f t="shared" si="3"/>
        <v>0</v>
      </c>
      <c r="F32" s="28">
        <f t="shared" si="5"/>
        <v>100</v>
      </c>
      <c r="G32" s="28">
        <v>34.4</v>
      </c>
      <c r="H32" s="28">
        <v>34.4</v>
      </c>
      <c r="I32" s="28"/>
      <c r="J32" s="28"/>
      <c r="K32" s="28"/>
      <c r="L32" s="28"/>
      <c r="M32" s="30"/>
      <c r="N32" s="30"/>
    </row>
    <row r="33" spans="1:14" s="2" customFormat="1" ht="63" x14ac:dyDescent="0.25">
      <c r="A33" s="10">
        <v>24</v>
      </c>
      <c r="B33" s="8" t="s">
        <v>198</v>
      </c>
      <c r="C33" s="29">
        <f>+C34</f>
        <v>270.89999999999998</v>
      </c>
      <c r="D33" s="29">
        <f t="shared" ref="D33:E33" si="34">+D34</f>
        <v>270.89999999999998</v>
      </c>
      <c r="E33" s="29">
        <f t="shared" si="34"/>
        <v>0</v>
      </c>
      <c r="F33" s="29">
        <f t="shared" si="5"/>
        <v>100</v>
      </c>
      <c r="G33" s="29">
        <f t="shared" ref="G33" si="35">+G34</f>
        <v>115.6</v>
      </c>
      <c r="H33" s="29">
        <f t="shared" ref="H33" si="36">+H34</f>
        <v>115.6</v>
      </c>
      <c r="I33" s="29">
        <f t="shared" ref="I33" si="37">+I34</f>
        <v>0</v>
      </c>
      <c r="J33" s="29">
        <f t="shared" ref="J33" si="38">+J34</f>
        <v>0</v>
      </c>
      <c r="K33" s="29">
        <f t="shared" ref="K33" si="39">+K34</f>
        <v>155.30000000000001</v>
      </c>
      <c r="L33" s="29">
        <f t="shared" ref="L33" si="40">+L34</f>
        <v>155.30000000000001</v>
      </c>
      <c r="M33" s="30"/>
      <c r="N33" s="30"/>
    </row>
    <row r="34" spans="1:14" s="2" customFormat="1" ht="31.5" x14ac:dyDescent="0.25">
      <c r="A34" s="10">
        <v>25</v>
      </c>
      <c r="B34" s="9" t="s">
        <v>199</v>
      </c>
      <c r="C34" s="28">
        <f t="shared" si="1"/>
        <v>270.89999999999998</v>
      </c>
      <c r="D34" s="28">
        <f t="shared" si="2"/>
        <v>270.89999999999998</v>
      </c>
      <c r="E34" s="28">
        <f t="shared" si="3"/>
        <v>0</v>
      </c>
      <c r="F34" s="28">
        <f t="shared" si="5"/>
        <v>100</v>
      </c>
      <c r="G34" s="28">
        <f>239.6+31.3-155.3</f>
        <v>115.6</v>
      </c>
      <c r="H34" s="28">
        <f>239.6+31.3-155.3</f>
        <v>115.6</v>
      </c>
      <c r="I34" s="28"/>
      <c r="J34" s="28"/>
      <c r="K34" s="28">
        <v>155.30000000000001</v>
      </c>
      <c r="L34" s="28">
        <v>155.30000000000001</v>
      </c>
      <c r="M34" s="30"/>
      <c r="N34" s="30"/>
    </row>
    <row r="35" spans="1:14" s="2" customFormat="1" ht="15.75" x14ac:dyDescent="0.25">
      <c r="A35" s="10">
        <v>26</v>
      </c>
      <c r="B35" s="41" t="s">
        <v>191</v>
      </c>
      <c r="C35" s="28">
        <f t="shared" si="1"/>
        <v>31.3</v>
      </c>
      <c r="D35" s="28">
        <f t="shared" si="2"/>
        <v>31.3</v>
      </c>
      <c r="E35" s="28">
        <f t="shared" si="3"/>
        <v>0</v>
      </c>
      <c r="F35" s="28">
        <f t="shared" si="5"/>
        <v>100</v>
      </c>
      <c r="G35" s="28">
        <v>31.3</v>
      </c>
      <c r="H35" s="28">
        <v>31.3</v>
      </c>
      <c r="I35" s="28"/>
      <c r="J35" s="28"/>
      <c r="K35" s="28"/>
      <c r="L35" s="28"/>
      <c r="M35" s="30"/>
      <c r="N35" s="30"/>
    </row>
    <row r="36" spans="1:14" s="2" customFormat="1" ht="63" x14ac:dyDescent="0.25">
      <c r="A36" s="10">
        <v>27</v>
      </c>
      <c r="B36" s="5" t="s">
        <v>200</v>
      </c>
      <c r="C36" s="29">
        <f>+C37</f>
        <v>28.3</v>
      </c>
      <c r="D36" s="29">
        <f t="shared" ref="D36:E36" si="41">+D37</f>
        <v>28</v>
      </c>
      <c r="E36" s="29">
        <f t="shared" si="41"/>
        <v>-0.3</v>
      </c>
      <c r="F36" s="29">
        <f t="shared" si="5"/>
        <v>98.9</v>
      </c>
      <c r="G36" s="29">
        <f t="shared" ref="G36" si="42">+G37</f>
        <v>28.3</v>
      </c>
      <c r="H36" s="29">
        <f t="shared" ref="H36" si="43">+H37</f>
        <v>28</v>
      </c>
      <c r="I36" s="29">
        <f t="shared" ref="I36" si="44">+I37</f>
        <v>27.8</v>
      </c>
      <c r="J36" s="29">
        <f t="shared" ref="J36" si="45">+J37</f>
        <v>27.6</v>
      </c>
      <c r="K36" s="29">
        <f t="shared" ref="K36" si="46">+K37</f>
        <v>0</v>
      </c>
      <c r="L36" s="29">
        <f t="shared" ref="L36" si="47">+L37</f>
        <v>0</v>
      </c>
      <c r="M36" s="30"/>
      <c r="N36" s="30"/>
    </row>
    <row r="37" spans="1:14" s="2" customFormat="1" ht="15.75" x14ac:dyDescent="0.25">
      <c r="A37" s="10">
        <v>28</v>
      </c>
      <c r="B37" s="4" t="s">
        <v>33</v>
      </c>
      <c r="C37" s="28">
        <f t="shared" si="1"/>
        <v>28.3</v>
      </c>
      <c r="D37" s="28">
        <f t="shared" si="2"/>
        <v>28</v>
      </c>
      <c r="E37" s="28">
        <f t="shared" si="3"/>
        <v>-0.3</v>
      </c>
      <c r="F37" s="28">
        <f t="shared" si="5"/>
        <v>98.9</v>
      </c>
      <c r="G37" s="28">
        <v>28.3</v>
      </c>
      <c r="H37" s="28">
        <v>28</v>
      </c>
      <c r="I37" s="28">
        <v>27.8</v>
      </c>
      <c r="J37" s="28">
        <v>27.6</v>
      </c>
      <c r="K37" s="28"/>
      <c r="L37" s="28"/>
      <c r="M37" s="30"/>
      <c r="N37" s="30"/>
    </row>
    <row r="38" spans="1:14" s="2" customFormat="1" ht="47.25" x14ac:dyDescent="0.25">
      <c r="A38" s="10">
        <v>29</v>
      </c>
      <c r="B38" s="43" t="s">
        <v>201</v>
      </c>
      <c r="C38" s="29">
        <f>+C39</f>
        <v>22.3</v>
      </c>
      <c r="D38" s="29">
        <f t="shared" ref="D38:E38" si="48">+D39</f>
        <v>22.3</v>
      </c>
      <c r="E38" s="29">
        <f t="shared" si="48"/>
        <v>0</v>
      </c>
      <c r="F38" s="29">
        <f t="shared" si="5"/>
        <v>100</v>
      </c>
      <c r="G38" s="29">
        <f t="shared" ref="G38" si="49">+G39</f>
        <v>22.3</v>
      </c>
      <c r="H38" s="29">
        <f t="shared" ref="H38" si="50">+H39</f>
        <v>22.3</v>
      </c>
      <c r="I38" s="29">
        <f t="shared" ref="I38" si="51">+I39</f>
        <v>0</v>
      </c>
      <c r="J38" s="29">
        <f t="shared" ref="J38" si="52">+J39</f>
        <v>0</v>
      </c>
      <c r="K38" s="29">
        <f t="shared" ref="K38" si="53">+K39</f>
        <v>0</v>
      </c>
      <c r="L38" s="29">
        <f t="shared" ref="L38" si="54">+L39</f>
        <v>0</v>
      </c>
      <c r="M38" s="30"/>
      <c r="N38" s="30"/>
    </row>
    <row r="39" spans="1:14" s="2" customFormat="1" ht="15.75" x14ac:dyDescent="0.25">
      <c r="A39" s="10">
        <v>30</v>
      </c>
      <c r="B39" s="4" t="s">
        <v>202</v>
      </c>
      <c r="C39" s="28">
        <f t="shared" si="1"/>
        <v>22.3</v>
      </c>
      <c r="D39" s="28">
        <f t="shared" si="2"/>
        <v>22.3</v>
      </c>
      <c r="E39" s="28">
        <f t="shared" si="3"/>
        <v>0</v>
      </c>
      <c r="F39" s="28">
        <f t="shared" si="5"/>
        <v>100</v>
      </c>
      <c r="G39" s="28">
        <v>22.3</v>
      </c>
      <c r="H39" s="28">
        <v>22.3</v>
      </c>
      <c r="I39" s="28"/>
      <c r="J39" s="28"/>
      <c r="K39" s="28"/>
      <c r="L39" s="28"/>
      <c r="M39" s="30"/>
      <c r="N39" s="30"/>
    </row>
    <row r="40" spans="1:14" s="2" customFormat="1" ht="31.5" x14ac:dyDescent="0.25">
      <c r="A40" s="10">
        <v>31</v>
      </c>
      <c r="B40" s="8" t="s">
        <v>203</v>
      </c>
      <c r="C40" s="29">
        <f>+C41+C42+C43</f>
        <v>1149.5</v>
      </c>
      <c r="D40" s="29">
        <f t="shared" ref="D40:E40" si="55">+D41+D42+D43</f>
        <v>896.7</v>
      </c>
      <c r="E40" s="29">
        <f t="shared" si="55"/>
        <v>-252.8</v>
      </c>
      <c r="F40" s="29">
        <f t="shared" si="5"/>
        <v>78</v>
      </c>
      <c r="G40" s="29">
        <f t="shared" ref="G40" si="56">+G41+G42+G43</f>
        <v>10</v>
      </c>
      <c r="H40" s="29">
        <f t="shared" ref="H40" si="57">+H41+H42+H43</f>
        <v>10</v>
      </c>
      <c r="I40" s="29">
        <f t="shared" ref="I40" si="58">+I41+I42+I43</f>
        <v>0</v>
      </c>
      <c r="J40" s="29">
        <f t="shared" ref="J40" si="59">+J41+J42+J43</f>
        <v>0</v>
      </c>
      <c r="K40" s="29">
        <f t="shared" ref="K40" si="60">+K41+K42+K43</f>
        <v>1139.5</v>
      </c>
      <c r="L40" s="29">
        <f t="shared" ref="L40" si="61">+L41+L42+L43</f>
        <v>886.7</v>
      </c>
      <c r="M40" s="30"/>
      <c r="N40" s="30"/>
    </row>
    <row r="41" spans="1:14" s="2" customFormat="1" ht="15.75" x14ac:dyDescent="0.25">
      <c r="A41" s="10">
        <v>32</v>
      </c>
      <c r="B41" s="4" t="s">
        <v>204</v>
      </c>
      <c r="C41" s="28">
        <f t="shared" si="1"/>
        <v>387.2</v>
      </c>
      <c r="D41" s="28">
        <f t="shared" si="2"/>
        <v>134.4</v>
      </c>
      <c r="E41" s="28">
        <f t="shared" si="3"/>
        <v>-252.8</v>
      </c>
      <c r="F41" s="28">
        <f t="shared" si="5"/>
        <v>34.700000000000003</v>
      </c>
      <c r="G41" s="28">
        <v>10</v>
      </c>
      <c r="H41" s="28">
        <v>10</v>
      </c>
      <c r="I41" s="28"/>
      <c r="J41" s="28"/>
      <c r="K41" s="28">
        <f>305.1+72.1</f>
        <v>377.2</v>
      </c>
      <c r="L41" s="28">
        <v>124.4</v>
      </c>
      <c r="M41" s="30"/>
      <c r="N41" s="30"/>
    </row>
    <row r="42" spans="1:14" s="2" customFormat="1" ht="15.75" x14ac:dyDescent="0.25">
      <c r="A42" s="10">
        <v>33</v>
      </c>
      <c r="B42" s="4" t="s">
        <v>33</v>
      </c>
      <c r="C42" s="28">
        <f t="shared" si="1"/>
        <v>72.2</v>
      </c>
      <c r="D42" s="28">
        <f t="shared" si="2"/>
        <v>72.2</v>
      </c>
      <c r="E42" s="28">
        <f t="shared" si="3"/>
        <v>0</v>
      </c>
      <c r="F42" s="28">
        <f t="shared" si="5"/>
        <v>100</v>
      </c>
      <c r="G42" s="28"/>
      <c r="H42" s="28"/>
      <c r="I42" s="28"/>
      <c r="J42" s="28"/>
      <c r="K42" s="28">
        <v>72.2</v>
      </c>
      <c r="L42" s="28">
        <v>72.2</v>
      </c>
      <c r="M42" s="30"/>
      <c r="N42" s="30"/>
    </row>
    <row r="43" spans="1:14" s="2" customFormat="1" ht="31.5" x14ac:dyDescent="0.25">
      <c r="A43" s="10">
        <v>34</v>
      </c>
      <c r="B43" s="9" t="s">
        <v>199</v>
      </c>
      <c r="C43" s="28">
        <f t="shared" si="1"/>
        <v>690.1</v>
      </c>
      <c r="D43" s="28">
        <f t="shared" si="2"/>
        <v>690.1</v>
      </c>
      <c r="E43" s="28">
        <f t="shared" si="3"/>
        <v>0</v>
      </c>
      <c r="F43" s="28">
        <f t="shared" si="5"/>
        <v>100</v>
      </c>
      <c r="G43" s="28"/>
      <c r="H43" s="28"/>
      <c r="I43" s="28"/>
      <c r="J43" s="28"/>
      <c r="K43" s="28">
        <v>690.1</v>
      </c>
      <c r="L43" s="28">
        <v>690.1</v>
      </c>
      <c r="M43" s="30"/>
      <c r="N43" s="30"/>
    </row>
    <row r="44" spans="1:14" s="2" customFormat="1" ht="31.5" x14ac:dyDescent="0.25">
      <c r="A44" s="10">
        <v>35</v>
      </c>
      <c r="B44" s="5" t="s">
        <v>205</v>
      </c>
      <c r="C44" s="29">
        <f>+C45</f>
        <v>270.60000000000002</v>
      </c>
      <c r="D44" s="29">
        <f t="shared" ref="D44:E44" si="62">+D45</f>
        <v>231.1</v>
      </c>
      <c r="E44" s="29">
        <f t="shared" si="62"/>
        <v>-39.5</v>
      </c>
      <c r="F44" s="29">
        <f t="shared" si="5"/>
        <v>85.4</v>
      </c>
      <c r="G44" s="29">
        <f t="shared" ref="G44" si="63">+G45</f>
        <v>0</v>
      </c>
      <c r="H44" s="29">
        <f t="shared" ref="H44" si="64">+H45</f>
        <v>0</v>
      </c>
      <c r="I44" s="29">
        <f t="shared" ref="I44" si="65">+I45</f>
        <v>0</v>
      </c>
      <c r="J44" s="29">
        <f t="shared" ref="J44" si="66">+J45</f>
        <v>0</v>
      </c>
      <c r="K44" s="29">
        <f t="shared" ref="K44" si="67">+K45</f>
        <v>270.60000000000002</v>
      </c>
      <c r="L44" s="29">
        <f t="shared" ref="L44" si="68">+L45</f>
        <v>231.1</v>
      </c>
      <c r="M44" s="30"/>
      <c r="N44" s="30"/>
    </row>
    <row r="45" spans="1:14" s="2" customFormat="1" ht="15.75" x14ac:dyDescent="0.25">
      <c r="A45" s="10">
        <v>36</v>
      </c>
      <c r="B45" s="4" t="s">
        <v>192</v>
      </c>
      <c r="C45" s="28">
        <f t="shared" si="1"/>
        <v>270.60000000000002</v>
      </c>
      <c r="D45" s="28">
        <f t="shared" si="2"/>
        <v>231.1</v>
      </c>
      <c r="E45" s="28">
        <f t="shared" si="3"/>
        <v>-39.5</v>
      </c>
      <c r="F45" s="28">
        <f t="shared" si="5"/>
        <v>85.4</v>
      </c>
      <c r="G45" s="28"/>
      <c r="H45" s="28"/>
      <c r="I45" s="28"/>
      <c r="J45" s="28"/>
      <c r="K45" s="28">
        <v>270.60000000000002</v>
      </c>
      <c r="L45" s="28">
        <v>231.1</v>
      </c>
      <c r="M45" s="30"/>
      <c r="N45" s="30"/>
    </row>
    <row r="46" spans="1:14" s="2" customFormat="1" ht="47.25" x14ac:dyDescent="0.25">
      <c r="A46" s="10">
        <v>37</v>
      </c>
      <c r="B46" s="43" t="s">
        <v>206</v>
      </c>
      <c r="C46" s="29">
        <f>+C47+C48+C49+C50+C51+C53</f>
        <v>1745.2</v>
      </c>
      <c r="D46" s="29">
        <f t="shared" ref="D46:E46" si="69">+D47+D48+D49+D50+D51+D53</f>
        <v>1576.2</v>
      </c>
      <c r="E46" s="29">
        <f t="shared" si="69"/>
        <v>-169</v>
      </c>
      <c r="F46" s="29">
        <f t="shared" si="5"/>
        <v>90.3</v>
      </c>
      <c r="G46" s="29">
        <f t="shared" ref="G46" si="70">+G47+G48+G49+G50+G51+G53</f>
        <v>830.8</v>
      </c>
      <c r="H46" s="29">
        <f t="shared" ref="H46" si="71">+H47+H48+H49+H50+H51+H53</f>
        <v>670.4</v>
      </c>
      <c r="I46" s="29">
        <f t="shared" ref="I46" si="72">+I47+I48+I49+I50+I51+I53</f>
        <v>77.400000000000006</v>
      </c>
      <c r="J46" s="29">
        <f t="shared" ref="J46" si="73">+J47+J48+J49+J50+J51+J53</f>
        <v>73.2</v>
      </c>
      <c r="K46" s="29">
        <f t="shared" ref="K46" si="74">+K47+K48+K49+K50+K51+K53</f>
        <v>914.4</v>
      </c>
      <c r="L46" s="29">
        <f t="shared" ref="L46" si="75">+L47+L48+L49+L50+L51+L53</f>
        <v>905.8</v>
      </c>
      <c r="M46" s="30"/>
      <c r="N46" s="30"/>
    </row>
    <row r="47" spans="1:14" s="2" customFormat="1" ht="15.75" x14ac:dyDescent="0.25">
      <c r="A47" s="10">
        <v>38</v>
      </c>
      <c r="B47" s="9" t="s">
        <v>110</v>
      </c>
      <c r="C47" s="28">
        <f t="shared" si="1"/>
        <v>59.4</v>
      </c>
      <c r="D47" s="28">
        <f t="shared" si="2"/>
        <v>59.4</v>
      </c>
      <c r="E47" s="28">
        <f t="shared" si="3"/>
        <v>0</v>
      </c>
      <c r="F47" s="28">
        <f t="shared" si="5"/>
        <v>100</v>
      </c>
      <c r="G47" s="28"/>
      <c r="H47" s="28"/>
      <c r="I47" s="28"/>
      <c r="J47" s="28"/>
      <c r="K47" s="28">
        <v>59.4</v>
      </c>
      <c r="L47" s="28">
        <v>59.4</v>
      </c>
      <c r="M47" s="30"/>
      <c r="N47" s="30"/>
    </row>
    <row r="48" spans="1:14" s="2" customFormat="1" ht="15.75" x14ac:dyDescent="0.25">
      <c r="A48" s="10">
        <v>39</v>
      </c>
      <c r="B48" s="42" t="s">
        <v>195</v>
      </c>
      <c r="C48" s="28">
        <f t="shared" si="1"/>
        <v>505.6</v>
      </c>
      <c r="D48" s="28">
        <f t="shared" si="2"/>
        <v>487.2</v>
      </c>
      <c r="E48" s="28">
        <f t="shared" si="3"/>
        <v>-18.399999999999999</v>
      </c>
      <c r="F48" s="28">
        <f t="shared" si="5"/>
        <v>96.4</v>
      </c>
      <c r="G48" s="28">
        <v>114.2</v>
      </c>
      <c r="H48" s="28">
        <v>95.9</v>
      </c>
      <c r="I48" s="28">
        <v>2</v>
      </c>
      <c r="J48" s="28">
        <v>2</v>
      </c>
      <c r="K48" s="28">
        <v>391.4</v>
      </c>
      <c r="L48" s="28">
        <v>391.3</v>
      </c>
      <c r="M48" s="30"/>
      <c r="N48" s="30"/>
    </row>
    <row r="49" spans="1:14" s="2" customFormat="1" ht="15.75" x14ac:dyDescent="0.25">
      <c r="A49" s="10">
        <v>40</v>
      </c>
      <c r="B49" s="4" t="s">
        <v>202</v>
      </c>
      <c r="C49" s="28">
        <f t="shared" si="1"/>
        <v>194.1</v>
      </c>
      <c r="D49" s="28">
        <f t="shared" si="2"/>
        <v>103.5</v>
      </c>
      <c r="E49" s="28">
        <f t="shared" si="3"/>
        <v>-90.6</v>
      </c>
      <c r="F49" s="28">
        <f t="shared" si="5"/>
        <v>53.3</v>
      </c>
      <c r="G49" s="28">
        <f>194.1-44-23.4</f>
        <v>126.7</v>
      </c>
      <c r="H49" s="28">
        <v>37.200000000000003</v>
      </c>
      <c r="I49" s="28">
        <v>2</v>
      </c>
      <c r="J49" s="28">
        <v>0.1</v>
      </c>
      <c r="K49" s="28">
        <f>44+23.4</f>
        <v>67.400000000000006</v>
      </c>
      <c r="L49" s="28">
        <v>66.3</v>
      </c>
      <c r="M49" s="30"/>
      <c r="N49" s="30"/>
    </row>
    <row r="50" spans="1:14" s="2" customFormat="1" ht="15.75" x14ac:dyDescent="0.25">
      <c r="A50" s="10">
        <v>41</v>
      </c>
      <c r="B50" s="4" t="s">
        <v>207</v>
      </c>
      <c r="C50" s="28">
        <f t="shared" si="1"/>
        <v>495.4</v>
      </c>
      <c r="D50" s="28">
        <f t="shared" si="2"/>
        <v>445.3</v>
      </c>
      <c r="E50" s="28">
        <f t="shared" si="3"/>
        <v>-50.1</v>
      </c>
      <c r="F50" s="28">
        <f t="shared" si="5"/>
        <v>89.9</v>
      </c>
      <c r="G50" s="28">
        <f>491.719+3.6-3.4-0.3+0.081</f>
        <v>491.7</v>
      </c>
      <c r="H50" s="28">
        <v>441.6</v>
      </c>
      <c r="I50" s="28">
        <v>2.9</v>
      </c>
      <c r="J50" s="28">
        <v>1.3</v>
      </c>
      <c r="K50" s="28">
        <f>3.4+0.3</f>
        <v>3.7</v>
      </c>
      <c r="L50" s="28">
        <v>3.7</v>
      </c>
      <c r="M50" s="30"/>
      <c r="N50" s="30"/>
    </row>
    <row r="51" spans="1:14" s="2" customFormat="1" ht="15.75" x14ac:dyDescent="0.25">
      <c r="A51" s="10">
        <v>42</v>
      </c>
      <c r="B51" s="9" t="s">
        <v>186</v>
      </c>
      <c r="C51" s="28">
        <f t="shared" si="1"/>
        <v>392.5</v>
      </c>
      <c r="D51" s="28">
        <f t="shared" si="2"/>
        <v>385.1</v>
      </c>
      <c r="E51" s="28">
        <f t="shared" si="3"/>
        <v>-7.4</v>
      </c>
      <c r="F51" s="28">
        <f t="shared" si="5"/>
        <v>98.1</v>
      </c>
      <c r="G51" s="28"/>
      <c r="H51" s="28"/>
      <c r="I51" s="28"/>
      <c r="J51" s="28"/>
      <c r="K51" s="28">
        <v>392.5</v>
      </c>
      <c r="L51" s="28">
        <v>385.1</v>
      </c>
      <c r="M51" s="30"/>
      <c r="N51" s="30"/>
    </row>
    <row r="52" spans="1:14" s="2" customFormat="1" ht="15.75" x14ac:dyDescent="0.25">
      <c r="A52" s="10">
        <v>43</v>
      </c>
      <c r="B52" s="41" t="s">
        <v>191</v>
      </c>
      <c r="C52" s="28">
        <f t="shared" si="1"/>
        <v>48.8</v>
      </c>
      <c r="D52" s="28">
        <f t="shared" si="2"/>
        <v>48.4</v>
      </c>
      <c r="E52" s="28">
        <f t="shared" si="3"/>
        <v>-0.4</v>
      </c>
      <c r="F52" s="28">
        <f t="shared" si="5"/>
        <v>99.2</v>
      </c>
      <c r="G52" s="28"/>
      <c r="H52" s="28"/>
      <c r="I52" s="28"/>
      <c r="J52" s="28"/>
      <c r="K52" s="28">
        <f>44.8+4</f>
        <v>48.8</v>
      </c>
      <c r="L52" s="28">
        <v>48.4</v>
      </c>
      <c r="M52" s="30"/>
      <c r="N52" s="30"/>
    </row>
    <row r="53" spans="1:14" s="2" customFormat="1" ht="15.75" x14ac:dyDescent="0.25">
      <c r="A53" s="10">
        <v>44</v>
      </c>
      <c r="B53" s="42" t="s">
        <v>192</v>
      </c>
      <c r="C53" s="28">
        <f t="shared" si="1"/>
        <v>98.2</v>
      </c>
      <c r="D53" s="28">
        <f t="shared" si="2"/>
        <v>95.7</v>
      </c>
      <c r="E53" s="28">
        <f t="shared" si="3"/>
        <v>-2.5</v>
      </c>
      <c r="F53" s="28">
        <f t="shared" si="5"/>
        <v>97.5</v>
      </c>
      <c r="G53" s="28">
        <v>98.2</v>
      </c>
      <c r="H53" s="28">
        <v>95.7</v>
      </c>
      <c r="I53" s="28">
        <v>70.5</v>
      </c>
      <c r="J53" s="28">
        <v>69.8</v>
      </c>
      <c r="K53" s="28"/>
      <c r="L53" s="28"/>
      <c r="M53" s="30"/>
      <c r="N53" s="30"/>
    </row>
    <row r="54" spans="1:14" s="2" customFormat="1" ht="15.75" x14ac:dyDescent="0.25">
      <c r="A54" s="10">
        <v>45</v>
      </c>
      <c r="B54" s="41" t="s">
        <v>191</v>
      </c>
      <c r="C54" s="28">
        <f t="shared" si="1"/>
        <v>0.8</v>
      </c>
      <c r="D54" s="28">
        <f t="shared" si="2"/>
        <v>0.7</v>
      </c>
      <c r="E54" s="28">
        <f t="shared" si="3"/>
        <v>-0.1</v>
      </c>
      <c r="F54" s="28">
        <f t="shared" si="5"/>
        <v>87.5</v>
      </c>
      <c r="G54" s="28">
        <f>0.5+0.3</f>
        <v>0.8</v>
      </c>
      <c r="H54" s="28">
        <v>0.7</v>
      </c>
      <c r="I54" s="28">
        <f>0.5+0.3</f>
        <v>0.8</v>
      </c>
      <c r="J54" s="28">
        <v>0.7</v>
      </c>
      <c r="K54" s="28"/>
      <c r="L54" s="28"/>
      <c r="M54" s="30"/>
      <c r="N54" s="30"/>
    </row>
    <row r="55" spans="1:14" s="2" customFormat="1" ht="31.5" x14ac:dyDescent="0.25">
      <c r="A55" s="10">
        <v>46</v>
      </c>
      <c r="B55" s="5" t="s">
        <v>208</v>
      </c>
      <c r="C55" s="29">
        <f>+C56+C57+C59+C61+C62+C64+C66+C68+C69+C71+C73+C75</f>
        <v>15971.9</v>
      </c>
      <c r="D55" s="29">
        <f t="shared" ref="D55:E55" si="76">+D56+D57+D59+D61+D62+D64+D66+D68+D69+D71+D73+D75</f>
        <v>13688</v>
      </c>
      <c r="E55" s="29">
        <f t="shared" si="76"/>
        <v>-2283.9</v>
      </c>
      <c r="F55" s="29">
        <f t="shared" si="5"/>
        <v>85.7</v>
      </c>
      <c r="G55" s="29">
        <f t="shared" ref="G55" si="77">+G56+G57+G59+G61+G62+G64+G66+G68+G69+G71+G73+G75</f>
        <v>5376.2</v>
      </c>
      <c r="H55" s="29">
        <f t="shared" ref="H55" si="78">+H56+H57+H59+H61+H62+H64+H66+H68+H69+H71+H73+H75</f>
        <v>4479.8</v>
      </c>
      <c r="I55" s="29">
        <f t="shared" ref="I55" si="79">+I56+I57+I59+I61+I62+I64+I66+I68+I69+I71+I73+I75</f>
        <v>12.7</v>
      </c>
      <c r="J55" s="29">
        <f t="shared" ref="J55" si="80">+J56+J57+J59+J61+J62+J64+J66+J68+J69+J71+J73+J75</f>
        <v>7.1</v>
      </c>
      <c r="K55" s="29">
        <f t="shared" ref="K55" si="81">+K56+K57+K59+K61+K62+K64+K66+K68+K69+K71+K73+K75</f>
        <v>10595.7</v>
      </c>
      <c r="L55" s="29">
        <f t="shared" ref="L55" si="82">+L56+L57+L59+L61+L62+L64+L66+L68+L69+L71+L73+L75</f>
        <v>9208.2000000000007</v>
      </c>
      <c r="M55" s="30"/>
      <c r="N55" s="30"/>
    </row>
    <row r="56" spans="1:14" s="2" customFormat="1" ht="15.75" x14ac:dyDescent="0.25">
      <c r="A56" s="10">
        <v>47</v>
      </c>
      <c r="B56" s="4" t="s">
        <v>204</v>
      </c>
      <c r="C56" s="28">
        <f t="shared" si="1"/>
        <v>45.1</v>
      </c>
      <c r="D56" s="28">
        <f t="shared" si="2"/>
        <v>45.1</v>
      </c>
      <c r="E56" s="28">
        <f t="shared" si="3"/>
        <v>0</v>
      </c>
      <c r="F56" s="28">
        <f t="shared" si="5"/>
        <v>100</v>
      </c>
      <c r="G56" s="28">
        <v>20</v>
      </c>
      <c r="H56" s="28">
        <v>20</v>
      </c>
      <c r="I56" s="28"/>
      <c r="J56" s="28"/>
      <c r="K56" s="28">
        <v>25.1</v>
      </c>
      <c r="L56" s="28">
        <v>25.1</v>
      </c>
      <c r="M56" s="30"/>
      <c r="N56" s="30"/>
    </row>
    <row r="57" spans="1:14" s="2" customFormat="1" ht="15.75" x14ac:dyDescent="0.25">
      <c r="A57" s="10">
        <v>48</v>
      </c>
      <c r="B57" s="9" t="s">
        <v>110</v>
      </c>
      <c r="C57" s="28">
        <f t="shared" si="1"/>
        <v>304</v>
      </c>
      <c r="D57" s="28">
        <f t="shared" si="2"/>
        <v>267.39999999999998</v>
      </c>
      <c r="E57" s="28">
        <f t="shared" si="3"/>
        <v>-36.6</v>
      </c>
      <c r="F57" s="28">
        <f t="shared" si="5"/>
        <v>88</v>
      </c>
      <c r="G57" s="28">
        <f>36.7+43.9+33.1</f>
        <v>113.7</v>
      </c>
      <c r="H57" s="28">
        <v>87.5</v>
      </c>
      <c r="I57" s="28"/>
      <c r="J57" s="28"/>
      <c r="K57" s="28">
        <f>9.1+181.2</f>
        <v>190.3</v>
      </c>
      <c r="L57" s="28">
        <v>179.9</v>
      </c>
      <c r="M57" s="30"/>
      <c r="N57" s="30"/>
    </row>
    <row r="58" spans="1:14" s="2" customFormat="1" ht="15.75" x14ac:dyDescent="0.25">
      <c r="A58" s="10">
        <v>49</v>
      </c>
      <c r="B58" s="41" t="s">
        <v>191</v>
      </c>
      <c r="C58" s="28">
        <f t="shared" si="1"/>
        <v>9.1</v>
      </c>
      <c r="D58" s="28">
        <f t="shared" si="2"/>
        <v>9</v>
      </c>
      <c r="E58" s="28">
        <f t="shared" si="3"/>
        <v>-0.1</v>
      </c>
      <c r="F58" s="28">
        <f t="shared" si="5"/>
        <v>98.9</v>
      </c>
      <c r="G58" s="28"/>
      <c r="H58" s="28"/>
      <c r="I58" s="28"/>
      <c r="J58" s="28"/>
      <c r="K58" s="28">
        <v>9.1</v>
      </c>
      <c r="L58" s="28">
        <v>9</v>
      </c>
      <c r="M58" s="30"/>
      <c r="N58" s="30"/>
    </row>
    <row r="59" spans="1:14" s="2" customFormat="1" ht="15.75" x14ac:dyDescent="0.25">
      <c r="A59" s="10">
        <v>50</v>
      </c>
      <c r="B59" s="4" t="s">
        <v>33</v>
      </c>
      <c r="C59" s="28">
        <f t="shared" si="1"/>
        <v>222.6</v>
      </c>
      <c r="D59" s="28">
        <f t="shared" si="2"/>
        <v>173.6</v>
      </c>
      <c r="E59" s="28">
        <f t="shared" si="3"/>
        <v>-49</v>
      </c>
      <c r="F59" s="28">
        <f t="shared" si="5"/>
        <v>78</v>
      </c>
      <c r="G59" s="28">
        <f>222.1+0.5-122.8</f>
        <v>99.8</v>
      </c>
      <c r="H59" s="28">
        <v>53.1</v>
      </c>
      <c r="I59" s="28">
        <v>7.8</v>
      </c>
      <c r="J59" s="28">
        <v>3.5</v>
      </c>
      <c r="K59" s="28">
        <v>122.8</v>
      </c>
      <c r="L59" s="28">
        <v>120.5</v>
      </c>
      <c r="M59" s="30"/>
      <c r="N59" s="30"/>
    </row>
    <row r="60" spans="1:14" s="2" customFormat="1" ht="15.75" x14ac:dyDescent="0.25">
      <c r="A60" s="10">
        <v>51</v>
      </c>
      <c r="B60" s="41" t="s">
        <v>191</v>
      </c>
      <c r="C60" s="28">
        <f t="shared" si="1"/>
        <v>0.5</v>
      </c>
      <c r="D60" s="28">
        <f t="shared" si="2"/>
        <v>0.4</v>
      </c>
      <c r="E60" s="28">
        <f t="shared" si="3"/>
        <v>-0.1</v>
      </c>
      <c r="F60" s="28">
        <f t="shared" si="5"/>
        <v>80</v>
      </c>
      <c r="G60" s="28">
        <v>0.5</v>
      </c>
      <c r="H60" s="28">
        <v>0.4</v>
      </c>
      <c r="I60" s="28"/>
      <c r="J60" s="28"/>
      <c r="K60" s="28"/>
      <c r="L60" s="28"/>
      <c r="M60" s="30"/>
      <c r="N60" s="30"/>
    </row>
    <row r="61" spans="1:14" s="2" customFormat="1" ht="15.75" x14ac:dyDescent="0.25">
      <c r="A61" s="10">
        <v>52</v>
      </c>
      <c r="B61" s="9" t="s">
        <v>43</v>
      </c>
      <c r="C61" s="28">
        <f t="shared" si="1"/>
        <v>359.7</v>
      </c>
      <c r="D61" s="28">
        <f t="shared" si="2"/>
        <v>268.5</v>
      </c>
      <c r="E61" s="28">
        <f t="shared" si="3"/>
        <v>-91.2</v>
      </c>
      <c r="F61" s="28">
        <f t="shared" si="5"/>
        <v>74.599999999999994</v>
      </c>
      <c r="G61" s="28">
        <f>359.7-279.3-79.9</f>
        <v>0.5</v>
      </c>
      <c r="H61" s="28">
        <v>0.4</v>
      </c>
      <c r="I61" s="28">
        <v>0.4</v>
      </c>
      <c r="J61" s="28">
        <v>0.4</v>
      </c>
      <c r="K61" s="28">
        <f>279.3+79.9</f>
        <v>359.2</v>
      </c>
      <c r="L61" s="28">
        <v>268.10000000000002</v>
      </c>
      <c r="M61" s="30"/>
      <c r="N61" s="30"/>
    </row>
    <row r="62" spans="1:14" s="2" customFormat="1" ht="31.5" x14ac:dyDescent="0.25">
      <c r="A62" s="10">
        <v>53</v>
      </c>
      <c r="B62" s="9" t="s">
        <v>199</v>
      </c>
      <c r="C62" s="28">
        <f t="shared" si="1"/>
        <v>5206</v>
      </c>
      <c r="D62" s="28">
        <f t="shared" si="2"/>
        <v>5091.2</v>
      </c>
      <c r="E62" s="28">
        <f t="shared" si="3"/>
        <v>-114.8</v>
      </c>
      <c r="F62" s="28">
        <f t="shared" si="5"/>
        <v>97.8</v>
      </c>
      <c r="G62" s="28">
        <f>4845.1-2842+360.9</f>
        <v>2364</v>
      </c>
      <c r="H62" s="28">
        <v>2258.6</v>
      </c>
      <c r="I62" s="28">
        <v>3.1</v>
      </c>
      <c r="J62" s="28">
        <v>3.1</v>
      </c>
      <c r="K62" s="28">
        <v>2842</v>
      </c>
      <c r="L62" s="28">
        <v>2832.6</v>
      </c>
      <c r="M62" s="30"/>
      <c r="N62" s="30"/>
    </row>
    <row r="63" spans="1:14" s="2" customFormat="1" ht="15.75" x14ac:dyDescent="0.25">
      <c r="A63" s="10">
        <v>54</v>
      </c>
      <c r="B63" s="41" t="s">
        <v>191</v>
      </c>
      <c r="C63" s="28">
        <f t="shared" si="1"/>
        <v>360.9</v>
      </c>
      <c r="D63" s="28">
        <f t="shared" si="2"/>
        <v>360.9</v>
      </c>
      <c r="E63" s="28">
        <f t="shared" si="3"/>
        <v>0</v>
      </c>
      <c r="F63" s="28">
        <f t="shared" si="5"/>
        <v>100</v>
      </c>
      <c r="G63" s="28">
        <v>360.9</v>
      </c>
      <c r="H63" s="28">
        <v>360.9</v>
      </c>
      <c r="I63" s="28"/>
      <c r="J63" s="28"/>
      <c r="K63" s="28"/>
      <c r="L63" s="28"/>
      <c r="M63" s="30"/>
      <c r="N63" s="30"/>
    </row>
    <row r="64" spans="1:14" s="2" customFormat="1" ht="31.5" x14ac:dyDescent="0.25">
      <c r="A64" s="10">
        <v>55</v>
      </c>
      <c r="B64" s="4" t="s">
        <v>181</v>
      </c>
      <c r="C64" s="28">
        <f t="shared" si="1"/>
        <v>1600.6</v>
      </c>
      <c r="D64" s="28">
        <f t="shared" si="2"/>
        <v>1270.7</v>
      </c>
      <c r="E64" s="28">
        <f t="shared" si="3"/>
        <v>-329.9</v>
      </c>
      <c r="F64" s="28">
        <f t="shared" si="5"/>
        <v>79.400000000000006</v>
      </c>
      <c r="G64" s="28">
        <v>279.60000000000002</v>
      </c>
      <c r="H64" s="28">
        <v>277.39999999999998</v>
      </c>
      <c r="I64" s="28"/>
      <c r="J64" s="28"/>
      <c r="K64" s="28">
        <v>1321</v>
      </c>
      <c r="L64" s="28">
        <v>993.3</v>
      </c>
      <c r="M64" s="30"/>
      <c r="N64" s="30"/>
    </row>
    <row r="65" spans="1:14" s="2" customFormat="1" ht="15.75" x14ac:dyDescent="0.25">
      <c r="A65" s="10">
        <v>56</v>
      </c>
      <c r="B65" s="41" t="s">
        <v>191</v>
      </c>
      <c r="C65" s="28">
        <f t="shared" si="1"/>
        <v>240</v>
      </c>
      <c r="D65" s="28">
        <f t="shared" si="2"/>
        <v>240</v>
      </c>
      <c r="E65" s="28">
        <f t="shared" si="3"/>
        <v>0</v>
      </c>
      <c r="F65" s="28">
        <f t="shared" si="5"/>
        <v>100</v>
      </c>
      <c r="G65" s="28">
        <v>240</v>
      </c>
      <c r="H65" s="28">
        <v>240</v>
      </c>
      <c r="I65" s="28"/>
      <c r="J65" s="28"/>
      <c r="K65" s="28"/>
      <c r="L65" s="28"/>
      <c r="M65" s="30"/>
      <c r="N65" s="30"/>
    </row>
    <row r="66" spans="1:14" s="2" customFormat="1" ht="15.75" x14ac:dyDescent="0.25">
      <c r="A66" s="10">
        <v>57</v>
      </c>
      <c r="B66" s="4" t="s">
        <v>202</v>
      </c>
      <c r="C66" s="28">
        <f t="shared" si="1"/>
        <v>411.8</v>
      </c>
      <c r="D66" s="28">
        <f t="shared" si="2"/>
        <v>268.60000000000002</v>
      </c>
      <c r="E66" s="28">
        <f t="shared" si="3"/>
        <v>-143.19999999999999</v>
      </c>
      <c r="F66" s="28">
        <f t="shared" si="5"/>
        <v>65.2</v>
      </c>
      <c r="G66" s="28">
        <f>392.5+19.3-64.1-195.1</f>
        <v>152.6</v>
      </c>
      <c r="H66" s="28">
        <v>90.3</v>
      </c>
      <c r="I66" s="28">
        <v>1.1000000000000001</v>
      </c>
      <c r="J66" s="28"/>
      <c r="K66" s="28">
        <f>64.1+195.1</f>
        <v>259.2</v>
      </c>
      <c r="L66" s="28">
        <v>178.3</v>
      </c>
      <c r="M66" s="30"/>
      <c r="N66" s="30"/>
    </row>
    <row r="67" spans="1:14" s="2" customFormat="1" ht="15.75" x14ac:dyDescent="0.25">
      <c r="A67" s="10">
        <v>58</v>
      </c>
      <c r="B67" s="41" t="s">
        <v>191</v>
      </c>
      <c r="C67" s="28">
        <f t="shared" si="1"/>
        <v>19.3</v>
      </c>
      <c r="D67" s="28">
        <f t="shared" si="2"/>
        <v>19.3</v>
      </c>
      <c r="E67" s="28">
        <f t="shared" si="3"/>
        <v>0</v>
      </c>
      <c r="F67" s="28">
        <f t="shared" si="5"/>
        <v>100</v>
      </c>
      <c r="G67" s="28">
        <v>19.3</v>
      </c>
      <c r="H67" s="28">
        <v>19.3</v>
      </c>
      <c r="I67" s="28"/>
      <c r="J67" s="28"/>
      <c r="K67" s="28"/>
      <c r="L67" s="28"/>
      <c r="M67" s="30"/>
      <c r="N67" s="30"/>
    </row>
    <row r="68" spans="1:14" s="2" customFormat="1" ht="15.75" x14ac:dyDescent="0.25">
      <c r="A68" s="10">
        <v>59</v>
      </c>
      <c r="B68" s="4" t="s">
        <v>209</v>
      </c>
      <c r="C68" s="28">
        <f t="shared" si="1"/>
        <v>710.5</v>
      </c>
      <c r="D68" s="28">
        <f t="shared" si="2"/>
        <v>421.4</v>
      </c>
      <c r="E68" s="28">
        <f t="shared" si="3"/>
        <v>-289.10000000000002</v>
      </c>
      <c r="F68" s="28">
        <f t="shared" si="5"/>
        <v>59.3</v>
      </c>
      <c r="G68" s="28">
        <v>710.5</v>
      </c>
      <c r="H68" s="28">
        <v>421.4</v>
      </c>
      <c r="I68" s="28"/>
      <c r="J68" s="28"/>
      <c r="K68" s="28"/>
      <c r="L68" s="28"/>
      <c r="M68" s="30"/>
      <c r="N68" s="30"/>
    </row>
    <row r="69" spans="1:14" s="2" customFormat="1" ht="15.75" x14ac:dyDescent="0.25">
      <c r="A69" s="10">
        <v>60</v>
      </c>
      <c r="B69" s="4" t="s">
        <v>207</v>
      </c>
      <c r="C69" s="28">
        <f t="shared" si="1"/>
        <v>4094.4</v>
      </c>
      <c r="D69" s="28">
        <f t="shared" si="2"/>
        <v>3217.3</v>
      </c>
      <c r="E69" s="28">
        <f t="shared" si="3"/>
        <v>-877.1</v>
      </c>
      <c r="F69" s="28">
        <f t="shared" si="5"/>
        <v>78.599999999999994</v>
      </c>
      <c r="G69" s="28">
        <f>3786.3+308.1-2941.1-73.6-6.9-166.6</f>
        <v>906.2</v>
      </c>
      <c r="H69" s="28">
        <v>691.7</v>
      </c>
      <c r="I69" s="28">
        <v>0.3</v>
      </c>
      <c r="J69" s="28">
        <v>0.1</v>
      </c>
      <c r="K69" s="28">
        <f>2941.1+73.6+166.6+6.9</f>
        <v>3188.2</v>
      </c>
      <c r="L69" s="28">
        <v>2525.6</v>
      </c>
      <c r="M69" s="30"/>
      <c r="N69" s="30"/>
    </row>
    <row r="70" spans="1:14" s="2" customFormat="1" ht="15.75" x14ac:dyDescent="0.25">
      <c r="A70" s="10">
        <v>61</v>
      </c>
      <c r="B70" s="41" t="s">
        <v>191</v>
      </c>
      <c r="C70" s="28">
        <f t="shared" si="1"/>
        <v>308.10000000000002</v>
      </c>
      <c r="D70" s="28">
        <v>308.10000000000002</v>
      </c>
      <c r="E70" s="28">
        <f t="shared" si="3"/>
        <v>0</v>
      </c>
      <c r="F70" s="28">
        <f t="shared" si="5"/>
        <v>100</v>
      </c>
      <c r="G70" s="28">
        <v>308.10000000000002</v>
      </c>
      <c r="H70" s="28">
        <v>308.10000000000002</v>
      </c>
      <c r="I70" s="28"/>
      <c r="J70" s="28"/>
      <c r="K70" s="28"/>
      <c r="L70" s="28"/>
      <c r="M70" s="30"/>
      <c r="N70" s="30"/>
    </row>
    <row r="71" spans="1:14" s="2" customFormat="1" ht="15.75" x14ac:dyDescent="0.25">
      <c r="A71" s="10">
        <v>62</v>
      </c>
      <c r="B71" s="9" t="s">
        <v>186</v>
      </c>
      <c r="C71" s="28">
        <f t="shared" si="1"/>
        <v>1168.2</v>
      </c>
      <c r="D71" s="28">
        <f t="shared" si="2"/>
        <v>1147.2</v>
      </c>
      <c r="E71" s="28">
        <f t="shared" si="3"/>
        <v>-21</v>
      </c>
      <c r="F71" s="28">
        <f t="shared" si="5"/>
        <v>98.2</v>
      </c>
      <c r="G71" s="28">
        <f>569+599.2-535.8-579.5</f>
        <v>52.9</v>
      </c>
      <c r="H71" s="28">
        <v>32.9</v>
      </c>
      <c r="I71" s="28"/>
      <c r="J71" s="28"/>
      <c r="K71" s="28">
        <f>535.8+579.5</f>
        <v>1115.3</v>
      </c>
      <c r="L71" s="28">
        <v>1114.3</v>
      </c>
      <c r="M71" s="30"/>
      <c r="N71" s="30"/>
    </row>
    <row r="72" spans="1:14" s="2" customFormat="1" ht="15.75" x14ac:dyDescent="0.25">
      <c r="A72" s="10">
        <v>63</v>
      </c>
      <c r="B72" s="41" t="s">
        <v>191</v>
      </c>
      <c r="C72" s="28">
        <f t="shared" si="1"/>
        <v>599.20000000000005</v>
      </c>
      <c r="D72" s="28">
        <f t="shared" si="2"/>
        <v>599.1</v>
      </c>
      <c r="E72" s="28">
        <f t="shared" si="3"/>
        <v>-0.1</v>
      </c>
      <c r="F72" s="28">
        <f t="shared" si="5"/>
        <v>100</v>
      </c>
      <c r="G72" s="28">
        <f>599.2-579.5</f>
        <v>19.7</v>
      </c>
      <c r="H72" s="28">
        <v>19.7</v>
      </c>
      <c r="I72" s="28"/>
      <c r="J72" s="28"/>
      <c r="K72" s="28">
        <v>579.5</v>
      </c>
      <c r="L72" s="28">
        <v>579.4</v>
      </c>
      <c r="M72" s="30"/>
      <c r="N72" s="30"/>
    </row>
    <row r="73" spans="1:14" s="2" customFormat="1" ht="15.75" x14ac:dyDescent="0.25">
      <c r="A73" s="10">
        <v>64</v>
      </c>
      <c r="B73" s="4" t="s">
        <v>192</v>
      </c>
      <c r="C73" s="28">
        <f t="shared" si="1"/>
        <v>855.3</v>
      </c>
      <c r="D73" s="28">
        <f t="shared" si="2"/>
        <v>720.2</v>
      </c>
      <c r="E73" s="28">
        <f t="shared" si="3"/>
        <v>-135.1</v>
      </c>
      <c r="F73" s="28">
        <f t="shared" si="5"/>
        <v>84.2</v>
      </c>
      <c r="G73" s="28">
        <f>133.7+721.6-317.2-77.7-8.3</f>
        <v>452.1</v>
      </c>
      <c r="H73" s="28">
        <v>371</v>
      </c>
      <c r="I73" s="28"/>
      <c r="J73" s="28"/>
      <c r="K73" s="28">
        <f>317.2+77.7+8.3</f>
        <v>403.2</v>
      </c>
      <c r="L73" s="28">
        <v>349.2</v>
      </c>
      <c r="M73" s="30"/>
      <c r="N73" s="30"/>
    </row>
    <row r="74" spans="1:14" s="2" customFormat="1" ht="15.75" x14ac:dyDescent="0.25">
      <c r="A74" s="10">
        <v>65</v>
      </c>
      <c r="B74" s="41" t="s">
        <v>191</v>
      </c>
      <c r="C74" s="28">
        <f t="shared" si="1"/>
        <v>133.69999999999999</v>
      </c>
      <c r="D74" s="28">
        <f t="shared" si="2"/>
        <v>133.69999999999999</v>
      </c>
      <c r="E74" s="28">
        <f t="shared" si="3"/>
        <v>0</v>
      </c>
      <c r="F74" s="28">
        <f t="shared" si="5"/>
        <v>100</v>
      </c>
      <c r="G74" s="28">
        <v>133.69999999999999</v>
      </c>
      <c r="H74" s="28">
        <v>133.69999999999999</v>
      </c>
      <c r="I74" s="28"/>
      <c r="J74" s="28"/>
      <c r="K74" s="28"/>
      <c r="L74" s="28"/>
      <c r="M74" s="30"/>
      <c r="N74" s="30"/>
    </row>
    <row r="75" spans="1:14" s="2" customFormat="1" ht="15.75" x14ac:dyDescent="0.25">
      <c r="A75" s="10">
        <v>66</v>
      </c>
      <c r="B75" s="4" t="s">
        <v>61</v>
      </c>
      <c r="C75" s="28">
        <f t="shared" ref="C75:D75" si="83">+G75+K75</f>
        <v>993.7</v>
      </c>
      <c r="D75" s="28">
        <f t="shared" si="83"/>
        <v>796.8</v>
      </c>
      <c r="E75" s="28">
        <f t="shared" ref="E75" si="84">+D75-C75</f>
        <v>-196.9</v>
      </c>
      <c r="F75" s="28">
        <f>+D75/C75*100</f>
        <v>80.2</v>
      </c>
      <c r="G75" s="28">
        <f>993.7-764.9-4.5</f>
        <v>224.3</v>
      </c>
      <c r="H75" s="28">
        <f>796.788-616.788-4.5</f>
        <v>175.5</v>
      </c>
      <c r="I75" s="28"/>
      <c r="J75" s="28"/>
      <c r="K75" s="28">
        <f>764.9+4.5</f>
        <v>769.4</v>
      </c>
      <c r="L75" s="28">
        <v>621.29999999999995</v>
      </c>
      <c r="M75" s="30"/>
      <c r="N75" s="30"/>
    </row>
    <row r="76" spans="1:14" s="2" customFormat="1" ht="15.75" x14ac:dyDescent="0.25">
      <c r="A76" s="10">
        <v>67</v>
      </c>
      <c r="B76" s="5" t="s">
        <v>188</v>
      </c>
      <c r="C76" s="29">
        <f>+C10+C24+C55</f>
        <v>21722.9</v>
      </c>
      <c r="D76" s="29">
        <f t="shared" ref="D76:L76" si="85">+D10+D24+D55</f>
        <v>18529.099999999999</v>
      </c>
      <c r="E76" s="29">
        <f t="shared" si="85"/>
        <v>-3193.8</v>
      </c>
      <c r="F76" s="29">
        <f t="shared" ref="F76" si="86">+D76/C76*100</f>
        <v>85.3</v>
      </c>
      <c r="G76" s="29">
        <f t="shared" si="85"/>
        <v>8172.7</v>
      </c>
      <c r="H76" s="29">
        <f t="shared" si="85"/>
        <v>6756.8</v>
      </c>
      <c r="I76" s="29">
        <f t="shared" si="85"/>
        <v>223.9</v>
      </c>
      <c r="J76" s="29">
        <f t="shared" si="85"/>
        <v>212.9</v>
      </c>
      <c r="K76" s="29">
        <f t="shared" si="85"/>
        <v>13550.2</v>
      </c>
      <c r="L76" s="29">
        <f t="shared" si="85"/>
        <v>11772.3</v>
      </c>
      <c r="M76" s="30"/>
      <c r="N76" s="30"/>
    </row>
    <row r="77" spans="1:14" s="2" customFormat="1" ht="15.75" x14ac:dyDescent="0.25">
      <c r="A77" s="74"/>
      <c r="B77" s="75"/>
      <c r="C77" s="58"/>
      <c r="D77" s="59"/>
      <c r="E77" s="58"/>
      <c r="F77" s="59"/>
      <c r="G77" s="58"/>
      <c r="H77" s="58"/>
      <c r="I77" s="58"/>
      <c r="J77" s="58"/>
      <c r="K77" s="58"/>
      <c r="L77" s="58"/>
    </row>
    <row r="78" spans="1:14" ht="15.75" x14ac:dyDescent="0.25">
      <c r="A78" s="32"/>
      <c r="B78" s="36"/>
    </row>
  </sheetData>
  <mergeCells count="16">
    <mergeCell ref="L7:L8"/>
    <mergeCell ref="A2:L2"/>
    <mergeCell ref="C5:C8"/>
    <mergeCell ref="D5:D8"/>
    <mergeCell ref="E5:E8"/>
    <mergeCell ref="F5:F8"/>
    <mergeCell ref="G5:L5"/>
    <mergeCell ref="G6:J6"/>
    <mergeCell ref="K6:L6"/>
    <mergeCell ref="G7:G8"/>
    <mergeCell ref="A3:B3"/>
    <mergeCell ref="A5:A8"/>
    <mergeCell ref="B5:B8"/>
    <mergeCell ref="H7:H8"/>
    <mergeCell ref="I7:J7"/>
    <mergeCell ref="K7:K8"/>
  </mergeCells>
  <pageMargins left="0.94488188976377963" right="0.35433070866141736" top="0.74803149606299213" bottom="0.5511811023622047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Zeros="0" topLeftCell="A7" zoomScaleNormal="100" workbookViewId="0">
      <selection activeCell="O14" sqref="O14"/>
    </sheetView>
  </sheetViews>
  <sheetFormatPr defaultRowHeight="15.75" x14ac:dyDescent="0.25"/>
  <cols>
    <col min="1" max="1" width="5.140625" style="1" customWidth="1"/>
    <col min="2" max="2" width="39.5703125" style="1" customWidth="1"/>
    <col min="3" max="4" width="9.140625" style="2"/>
    <col min="5" max="5" width="10.28515625" style="2" customWidth="1"/>
    <col min="6" max="7" width="9.140625" style="2"/>
    <col min="8" max="8" width="10" style="2" customWidth="1"/>
    <col min="9" max="10" width="9.140625" style="2"/>
    <col min="11" max="11" width="10" style="2" customWidth="1"/>
    <col min="12" max="13" width="9.140625" style="2"/>
    <col min="14" max="14" width="10.5703125" style="2" customWidth="1"/>
    <col min="15" max="16384" width="9.140625" style="2"/>
  </cols>
  <sheetData>
    <row r="1" spans="1:14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91" t="s">
        <v>225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8" customHeight="1" x14ac:dyDescent="0.25">
      <c r="A3" s="45"/>
      <c r="B3" s="4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customHeight="1" x14ac:dyDescent="0.25">
      <c r="A4" s="44"/>
      <c r="B4" s="44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182</v>
      </c>
      <c r="N4" s="1"/>
    </row>
    <row r="5" spans="1:14" ht="15.75" customHeight="1" x14ac:dyDescent="0.25">
      <c r="A5" s="90" t="s">
        <v>0</v>
      </c>
      <c r="B5" s="90" t="s">
        <v>210</v>
      </c>
      <c r="C5" s="92" t="s">
        <v>1</v>
      </c>
      <c r="D5" s="92"/>
      <c r="E5" s="92"/>
      <c r="F5" s="83" t="s">
        <v>2</v>
      </c>
      <c r="G5" s="83"/>
      <c r="H5" s="83"/>
      <c r="I5" s="83"/>
      <c r="J5" s="83"/>
      <c r="K5" s="83"/>
      <c r="L5" s="83"/>
      <c r="M5" s="83"/>
      <c r="N5" s="83"/>
    </row>
    <row r="6" spans="1:14" ht="51" customHeight="1" x14ac:dyDescent="0.2">
      <c r="A6" s="90"/>
      <c r="B6" s="90"/>
      <c r="C6" s="92"/>
      <c r="D6" s="92"/>
      <c r="E6" s="92"/>
      <c r="F6" s="93" t="s">
        <v>216</v>
      </c>
      <c r="G6" s="93"/>
      <c r="H6" s="93"/>
      <c r="I6" s="94" t="s">
        <v>217</v>
      </c>
      <c r="J6" s="94"/>
      <c r="K6" s="94"/>
      <c r="L6" s="94" t="s">
        <v>218</v>
      </c>
      <c r="M6" s="94"/>
      <c r="N6" s="94"/>
    </row>
    <row r="7" spans="1:14" ht="55.5" customHeight="1" x14ac:dyDescent="0.2">
      <c r="A7" s="90"/>
      <c r="B7" s="90"/>
      <c r="C7" s="66" t="s">
        <v>219</v>
      </c>
      <c r="D7" s="66" t="s">
        <v>175</v>
      </c>
      <c r="E7" s="23" t="s">
        <v>220</v>
      </c>
      <c r="F7" s="66" t="s">
        <v>219</v>
      </c>
      <c r="G7" s="66" t="s">
        <v>175</v>
      </c>
      <c r="H7" s="23" t="s">
        <v>220</v>
      </c>
      <c r="I7" s="66" t="s">
        <v>219</v>
      </c>
      <c r="J7" s="66" t="s">
        <v>175</v>
      </c>
      <c r="K7" s="23" t="s">
        <v>220</v>
      </c>
      <c r="L7" s="66" t="s">
        <v>219</v>
      </c>
      <c r="M7" s="66" t="s">
        <v>175</v>
      </c>
      <c r="N7" s="23" t="s">
        <v>220</v>
      </c>
    </row>
    <row r="8" spans="1:14" ht="15" customHeight="1" x14ac:dyDescent="0.25">
      <c r="A8" s="65">
        <v>1</v>
      </c>
      <c r="B8" s="46" t="s">
        <v>211</v>
      </c>
      <c r="C8" s="64">
        <v>3</v>
      </c>
      <c r="D8" s="47" t="s">
        <v>212</v>
      </c>
      <c r="E8" s="64">
        <v>5</v>
      </c>
      <c r="F8" s="47" t="s">
        <v>213</v>
      </c>
      <c r="G8" s="64">
        <v>7</v>
      </c>
      <c r="H8" s="47" t="s">
        <v>221</v>
      </c>
      <c r="I8" s="64">
        <v>9</v>
      </c>
      <c r="J8" s="47" t="s">
        <v>222</v>
      </c>
      <c r="K8" s="64">
        <v>11</v>
      </c>
      <c r="L8" s="47" t="s">
        <v>223</v>
      </c>
      <c r="M8" s="64">
        <v>13</v>
      </c>
      <c r="N8" s="47" t="s">
        <v>224</v>
      </c>
    </row>
    <row r="9" spans="1:14" ht="21" customHeight="1" x14ac:dyDescent="0.25">
      <c r="A9" s="48">
        <v>1</v>
      </c>
      <c r="B9" s="43" t="s">
        <v>3</v>
      </c>
      <c r="C9" s="29">
        <f>SUM(C10:C16)</f>
        <v>8116.3</v>
      </c>
      <c r="D9" s="29">
        <f t="shared" ref="D9:N9" si="0">SUM(D10:D16)</f>
        <v>6540.1</v>
      </c>
      <c r="E9" s="29">
        <f t="shared" si="0"/>
        <v>-1576.2</v>
      </c>
      <c r="F9" s="29">
        <f t="shared" si="0"/>
        <v>5287.1</v>
      </c>
      <c r="G9" s="29">
        <f t="shared" si="0"/>
        <v>4270.3999999999996</v>
      </c>
      <c r="H9" s="29">
        <f t="shared" si="0"/>
        <v>-1016.7</v>
      </c>
      <c r="I9" s="29">
        <f t="shared" si="0"/>
        <v>1468.9</v>
      </c>
      <c r="J9" s="29">
        <f t="shared" si="0"/>
        <v>860</v>
      </c>
      <c r="K9" s="29">
        <f t="shared" si="0"/>
        <v>-608.9</v>
      </c>
      <c r="L9" s="29">
        <f t="shared" si="0"/>
        <v>1360.3</v>
      </c>
      <c r="M9" s="29">
        <f t="shared" si="0"/>
        <v>1409.7</v>
      </c>
      <c r="N9" s="29">
        <f t="shared" si="0"/>
        <v>49.4</v>
      </c>
    </row>
    <row r="10" spans="1:14" ht="19.5" customHeight="1" x14ac:dyDescent="0.25">
      <c r="A10" s="48">
        <v>2</v>
      </c>
      <c r="B10" s="42" t="s">
        <v>33</v>
      </c>
      <c r="C10" s="28">
        <f>+F10+I10+L10</f>
        <v>200</v>
      </c>
      <c r="D10" s="28">
        <f t="shared" ref="D10:E16" si="1">+G10+J10+M10</f>
        <v>218</v>
      </c>
      <c r="E10" s="28">
        <f t="shared" si="1"/>
        <v>18</v>
      </c>
      <c r="F10" s="28"/>
      <c r="G10" s="28"/>
      <c r="H10" s="28">
        <f>+G10-F10</f>
        <v>0</v>
      </c>
      <c r="I10" s="28"/>
      <c r="J10" s="28"/>
      <c r="K10" s="28">
        <f>+J10-I10</f>
        <v>0</v>
      </c>
      <c r="L10" s="28">
        <v>200</v>
      </c>
      <c r="M10" s="28">
        <v>218</v>
      </c>
      <c r="N10" s="28">
        <f>+M10-L10</f>
        <v>18</v>
      </c>
    </row>
    <row r="11" spans="1:14" ht="31.5" x14ac:dyDescent="0.25">
      <c r="A11" s="48">
        <v>3</v>
      </c>
      <c r="B11" s="4" t="s">
        <v>214</v>
      </c>
      <c r="C11" s="28">
        <f t="shared" ref="C11:C16" si="2">+F11+I11+L11</f>
        <v>35.700000000000003</v>
      </c>
      <c r="D11" s="28">
        <f t="shared" si="1"/>
        <v>30.7</v>
      </c>
      <c r="E11" s="28">
        <f t="shared" si="1"/>
        <v>-5</v>
      </c>
      <c r="F11" s="28"/>
      <c r="G11" s="28"/>
      <c r="H11" s="28">
        <f t="shared" ref="H11:H16" si="3">+G11-F11</f>
        <v>0</v>
      </c>
      <c r="I11" s="28">
        <v>28</v>
      </c>
      <c r="J11" s="28">
        <v>23.7</v>
      </c>
      <c r="K11" s="28">
        <f t="shared" ref="K11:K16" si="4">+J11-I11</f>
        <v>-4.3</v>
      </c>
      <c r="L11" s="28">
        <v>7.7</v>
      </c>
      <c r="M11" s="28">
        <v>7</v>
      </c>
      <c r="N11" s="28">
        <f t="shared" ref="N11:N16" si="5">+M11-L11</f>
        <v>-0.7</v>
      </c>
    </row>
    <row r="12" spans="1:14" ht="19.5" customHeight="1" x14ac:dyDescent="0.25">
      <c r="A12" s="48">
        <v>4</v>
      </c>
      <c r="B12" s="42" t="s">
        <v>202</v>
      </c>
      <c r="C12" s="28">
        <f t="shared" si="2"/>
        <v>447.4</v>
      </c>
      <c r="D12" s="28">
        <f t="shared" si="1"/>
        <v>231.1</v>
      </c>
      <c r="E12" s="28">
        <f t="shared" si="1"/>
        <v>-216.3</v>
      </c>
      <c r="F12" s="28"/>
      <c r="G12" s="28"/>
      <c r="H12" s="28">
        <f t="shared" si="3"/>
        <v>0</v>
      </c>
      <c r="I12" s="28">
        <v>388.9</v>
      </c>
      <c r="J12" s="20">
        <v>187.5</v>
      </c>
      <c r="K12" s="28">
        <f t="shared" si="4"/>
        <v>-201.4</v>
      </c>
      <c r="L12" s="28">
        <v>58.5</v>
      </c>
      <c r="M12" s="20">
        <v>43.6</v>
      </c>
      <c r="N12" s="28">
        <f t="shared" si="5"/>
        <v>-14.9</v>
      </c>
    </row>
    <row r="13" spans="1:14" ht="19.5" customHeight="1" x14ac:dyDescent="0.25">
      <c r="A13" s="48">
        <v>5</v>
      </c>
      <c r="B13" s="4" t="s">
        <v>207</v>
      </c>
      <c r="C13" s="28">
        <f t="shared" si="2"/>
        <v>5390</v>
      </c>
      <c r="D13" s="28">
        <f t="shared" si="1"/>
        <v>3989.8</v>
      </c>
      <c r="E13" s="28">
        <f t="shared" si="1"/>
        <v>-1400.2</v>
      </c>
      <c r="F13" s="28">
        <v>4690</v>
      </c>
      <c r="G13" s="20">
        <v>3650.3</v>
      </c>
      <c r="H13" s="28">
        <f t="shared" si="3"/>
        <v>-1039.7</v>
      </c>
      <c r="I13" s="28">
        <v>637.6</v>
      </c>
      <c r="J13" s="28">
        <v>295.39999999999998</v>
      </c>
      <c r="K13" s="28">
        <f t="shared" si="4"/>
        <v>-342.2</v>
      </c>
      <c r="L13" s="28">
        <v>62.4</v>
      </c>
      <c r="M13" s="20">
        <v>44.1</v>
      </c>
      <c r="N13" s="28">
        <f t="shared" si="5"/>
        <v>-18.3</v>
      </c>
    </row>
    <row r="14" spans="1:14" s="3" customFormat="1" x14ac:dyDescent="0.25">
      <c r="A14" s="48">
        <v>6</v>
      </c>
      <c r="B14" s="49" t="s">
        <v>186</v>
      </c>
      <c r="C14" s="28">
        <f t="shared" si="2"/>
        <v>330.8</v>
      </c>
      <c r="D14" s="28">
        <f t="shared" si="1"/>
        <v>197.3</v>
      </c>
      <c r="E14" s="28">
        <f t="shared" si="1"/>
        <v>-133.5</v>
      </c>
      <c r="F14" s="28">
        <v>100.4</v>
      </c>
      <c r="G14" s="28">
        <v>59.6</v>
      </c>
      <c r="H14" s="28">
        <f t="shared" si="3"/>
        <v>-40.799999999999997</v>
      </c>
      <c r="I14" s="28">
        <v>220</v>
      </c>
      <c r="J14" s="28">
        <v>132.69999999999999</v>
      </c>
      <c r="K14" s="28">
        <f t="shared" si="4"/>
        <v>-87.3</v>
      </c>
      <c r="L14" s="28">
        <v>10.4</v>
      </c>
      <c r="M14" s="20">
        <v>5</v>
      </c>
      <c r="N14" s="28">
        <f t="shared" si="5"/>
        <v>-5.4</v>
      </c>
    </row>
    <row r="15" spans="1:14" ht="15" customHeight="1" x14ac:dyDescent="0.25">
      <c r="A15" s="48">
        <v>7</v>
      </c>
      <c r="B15" s="4" t="s">
        <v>192</v>
      </c>
      <c r="C15" s="28">
        <f t="shared" si="2"/>
        <v>1689.8</v>
      </c>
      <c r="D15" s="28">
        <f t="shared" si="1"/>
        <v>1844.8</v>
      </c>
      <c r="E15" s="28">
        <f t="shared" si="1"/>
        <v>155</v>
      </c>
      <c r="F15" s="28">
        <v>483.2</v>
      </c>
      <c r="G15" s="28">
        <v>541.4</v>
      </c>
      <c r="H15" s="28">
        <f t="shared" si="3"/>
        <v>58.2</v>
      </c>
      <c r="I15" s="28">
        <v>185.3</v>
      </c>
      <c r="J15" s="28">
        <v>211.4</v>
      </c>
      <c r="K15" s="28">
        <f t="shared" si="4"/>
        <v>26.1</v>
      </c>
      <c r="L15" s="28">
        <v>1021.3</v>
      </c>
      <c r="M15" s="28">
        <v>1092</v>
      </c>
      <c r="N15" s="28">
        <f t="shared" si="5"/>
        <v>70.7</v>
      </c>
    </row>
    <row r="16" spans="1:14" ht="15" customHeight="1" x14ac:dyDescent="0.25">
      <c r="A16" s="48">
        <v>8</v>
      </c>
      <c r="B16" s="49" t="s">
        <v>61</v>
      </c>
      <c r="C16" s="28">
        <f t="shared" si="2"/>
        <v>22.6</v>
      </c>
      <c r="D16" s="28">
        <f t="shared" si="1"/>
        <v>28.4</v>
      </c>
      <c r="E16" s="28">
        <f t="shared" si="1"/>
        <v>5.8</v>
      </c>
      <c r="F16" s="28">
        <v>13.5</v>
      </c>
      <c r="G16" s="28">
        <v>19.100000000000001</v>
      </c>
      <c r="H16" s="28">
        <f t="shared" si="3"/>
        <v>5.6</v>
      </c>
      <c r="I16" s="28">
        <v>9.1</v>
      </c>
      <c r="J16" s="28">
        <v>9.3000000000000007</v>
      </c>
      <c r="K16" s="28">
        <f t="shared" si="4"/>
        <v>0.2</v>
      </c>
      <c r="L16" s="28"/>
      <c r="M16" s="28"/>
      <c r="N16" s="28">
        <f t="shared" si="5"/>
        <v>0</v>
      </c>
    </row>
    <row r="17" spans="1:14" x14ac:dyDescent="0.25">
      <c r="A17" s="48">
        <v>9</v>
      </c>
      <c r="B17" s="43" t="s">
        <v>1</v>
      </c>
      <c r="C17" s="29">
        <f>+C9</f>
        <v>8116.3</v>
      </c>
      <c r="D17" s="29">
        <f>+D9</f>
        <v>6540.1</v>
      </c>
      <c r="E17" s="29">
        <f t="shared" ref="E17:N17" si="6">+E9</f>
        <v>-1576.2</v>
      </c>
      <c r="F17" s="29">
        <f t="shared" si="6"/>
        <v>5287.1</v>
      </c>
      <c r="G17" s="29">
        <f t="shared" si="6"/>
        <v>4270.3999999999996</v>
      </c>
      <c r="H17" s="29">
        <f t="shared" si="6"/>
        <v>-1016.7</v>
      </c>
      <c r="I17" s="29">
        <f t="shared" si="6"/>
        <v>1468.9</v>
      </c>
      <c r="J17" s="29">
        <f t="shared" si="6"/>
        <v>860</v>
      </c>
      <c r="K17" s="29">
        <f t="shared" si="6"/>
        <v>-608.9</v>
      </c>
      <c r="L17" s="29">
        <f t="shared" si="6"/>
        <v>1360.3</v>
      </c>
      <c r="M17" s="29">
        <f t="shared" si="6"/>
        <v>1409.7</v>
      </c>
      <c r="N17" s="29">
        <f t="shared" si="6"/>
        <v>49.4</v>
      </c>
    </row>
    <row r="18" spans="1:14" x14ac:dyDescent="0.25">
      <c r="A18" s="50"/>
      <c r="B18" s="5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53" customFormat="1" x14ac:dyDescent="0.25">
      <c r="A19" s="56"/>
      <c r="B19" s="52"/>
    </row>
    <row r="20" spans="1:14" x14ac:dyDescent="0.25">
      <c r="A20" s="50"/>
      <c r="B20" s="54"/>
    </row>
    <row r="21" spans="1:14" x14ac:dyDescent="0.25">
      <c r="A21" s="50"/>
      <c r="B21" s="54"/>
    </row>
    <row r="22" spans="1:14" x14ac:dyDescent="0.25">
      <c r="A22" s="39"/>
      <c r="B22" s="18"/>
    </row>
    <row r="23" spans="1:14" x14ac:dyDescent="0.25">
      <c r="B23" s="6"/>
    </row>
    <row r="24" spans="1:14" x14ac:dyDescent="0.25">
      <c r="B24" s="6"/>
    </row>
    <row r="25" spans="1:14" x14ac:dyDescent="0.25">
      <c r="B25" s="6"/>
    </row>
    <row r="26" spans="1:14" x14ac:dyDescent="0.25">
      <c r="B26" s="6"/>
    </row>
  </sheetData>
  <mergeCells count="8">
    <mergeCell ref="A5:A7"/>
    <mergeCell ref="B5:B7"/>
    <mergeCell ref="A2:N2"/>
    <mergeCell ref="C5:E6"/>
    <mergeCell ref="F5:N5"/>
    <mergeCell ref="F6:H6"/>
    <mergeCell ref="I6:K6"/>
    <mergeCell ref="L6:N6"/>
  </mergeCells>
  <pageMargins left="0.70866141732283472" right="0.39370078740157483" top="0.78740157480314965" bottom="0.39370078740157483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 </vt:lpstr>
      <vt:lpstr>'1 pr. asignavimai'!Print_Titles</vt:lpstr>
      <vt:lpstr>'1 pr. pajamos '!Print_Titles</vt:lpstr>
      <vt:lpstr>'3 pr.'!Print_Titles</vt:lpstr>
      <vt:lpstr>'5 pr.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Julija Mažeikaitė</cp:lastModifiedBy>
  <cp:lastPrinted>2021-05-12T09:55:08Z</cp:lastPrinted>
  <dcterms:created xsi:type="dcterms:W3CDTF">2013-11-22T06:09:34Z</dcterms:created>
  <dcterms:modified xsi:type="dcterms:W3CDTF">2021-08-25T11:11:49Z</dcterms:modified>
</cp:coreProperties>
</file>