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1 MVP\VII keitimas (lapkritis po tarybos)\"/>
    </mc:Choice>
  </mc:AlternateContent>
  <bookViews>
    <workbookView xWindow="0" yWindow="0" windowWidth="15360" windowHeight="5100" tabRatio="723"/>
  </bookViews>
  <sheets>
    <sheet name="10 programa MVP" sheetId="54" r:id="rId1"/>
    <sheet name="10 programa" sheetId="55" state="hidden" r:id="rId2"/>
  </sheets>
  <definedNames>
    <definedName name="_xlnm.Print_Area" localSheetId="1">'10 programa'!$A$1:$M$256</definedName>
    <definedName name="_xlnm.Print_Area" localSheetId="0">'10 programa MVP'!$A$1:$L$262</definedName>
    <definedName name="_xlnm.Print_Titles" localSheetId="1">'10 programa'!$7:$9</definedName>
    <definedName name="_xlnm.Print_Titles" localSheetId="0">'10 programa MVP'!$8:$10</definedName>
  </definedNames>
  <calcPr calcId="162913"/>
</workbook>
</file>

<file path=xl/calcChain.xml><?xml version="1.0" encoding="utf-8"?>
<calcChain xmlns="http://schemas.openxmlformats.org/spreadsheetml/2006/main">
  <c r="J39" i="54" l="1"/>
  <c r="J17" i="54"/>
  <c r="J215" i="54" l="1"/>
  <c r="J211" i="54"/>
  <c r="J205" i="54"/>
  <c r="J199" i="54"/>
  <c r="J206" i="54" l="1"/>
  <c r="J188" i="54"/>
  <c r="J177" i="54"/>
  <c r="J174" i="54"/>
  <c r="J161" i="54"/>
  <c r="J136" i="54"/>
  <c r="J133" i="54"/>
  <c r="J97" i="54"/>
  <c r="J95" i="54"/>
  <c r="J79" i="54"/>
  <c r="J71" i="54"/>
  <c r="J67" i="54"/>
  <c r="J65" i="54"/>
  <c r="J61" i="54"/>
  <c r="J59" i="54"/>
  <c r="J41" i="54"/>
  <c r="J38" i="54"/>
  <c r="J37" i="54"/>
  <c r="J34" i="54"/>
  <c r="J31" i="54"/>
  <c r="J28" i="54"/>
  <c r="J24" i="54"/>
  <c r="J16" i="54"/>
  <c r="J82" i="54" l="1"/>
  <c r="J44" i="54" l="1"/>
  <c r="J18" i="54"/>
  <c r="J27" i="54"/>
  <c r="J201" i="54" l="1"/>
  <c r="J213" i="54" l="1"/>
  <c r="J210" i="54"/>
  <c r="J204" i="54"/>
  <c r="J160" i="54"/>
  <c r="J159" i="54"/>
  <c r="J134" i="54"/>
  <c r="J235" i="54" l="1"/>
  <c r="J212" i="54" l="1"/>
  <c r="J186" i="54"/>
  <c r="J180" i="54"/>
  <c r="J140" i="54"/>
  <c r="J100" i="54"/>
  <c r="J81" i="54"/>
  <c r="J78" i="54"/>
  <c r="J56" i="54"/>
  <c r="J54" i="54"/>
  <c r="J33" i="54"/>
  <c r="J216" i="54" l="1"/>
  <c r="J158" i="54"/>
  <c r="J164" i="54" s="1"/>
  <c r="J137" i="54"/>
  <c r="J125" i="54"/>
  <c r="J108" i="54"/>
  <c r="J90" i="54"/>
  <c r="J88" i="54"/>
  <c r="J111" i="54" l="1"/>
  <c r="J194" i="54" l="1"/>
  <c r="J169" i="54"/>
  <c r="J167" i="54"/>
  <c r="J147" i="54"/>
  <c r="J145" i="54"/>
  <c r="J144" i="54"/>
  <c r="J135" i="54"/>
  <c r="J69" i="54"/>
  <c r="J103" i="54" s="1"/>
  <c r="J155" i="54" l="1"/>
  <c r="G90" i="55"/>
  <c r="J239" i="54" l="1"/>
  <c r="H232" i="55"/>
  <c r="G247" i="55"/>
  <c r="G84" i="55"/>
  <c r="H188" i="55"/>
  <c r="I188" i="55"/>
  <c r="G188" i="55"/>
  <c r="G213" i="55"/>
  <c r="G218" i="55" l="1"/>
  <c r="G228" i="55"/>
  <c r="I232" i="55"/>
  <c r="G232" i="55"/>
  <c r="H228" i="55"/>
  <c r="I228" i="55"/>
  <c r="I213" i="55"/>
  <c r="H213" i="55"/>
  <c r="I113" i="55"/>
  <c r="I115" i="55"/>
  <c r="H115" i="55"/>
  <c r="G163" i="55"/>
  <c r="H171" i="55"/>
  <c r="I171" i="55"/>
  <c r="G171" i="55"/>
  <c r="G159" i="55" l="1"/>
  <c r="I154" i="55"/>
  <c r="G119" i="55"/>
  <c r="I163" i="55" l="1"/>
  <c r="H84" i="55"/>
  <c r="I84" i="55"/>
  <c r="H50" i="55" l="1"/>
  <c r="I50" i="55" s="1"/>
  <c r="G252" i="55" l="1"/>
  <c r="I251" i="55"/>
  <c r="H251" i="55"/>
  <c r="I249" i="55"/>
  <c r="G249" i="55"/>
  <c r="I248" i="55"/>
  <c r="H248" i="55"/>
  <c r="G248" i="55"/>
  <c r="I247" i="55"/>
  <c r="H247" i="55"/>
  <c r="I246" i="55"/>
  <c r="H246" i="55"/>
  <c r="I245" i="55"/>
  <c r="I243" i="55"/>
  <c r="H243" i="55"/>
  <c r="I241" i="55"/>
  <c r="H241" i="55"/>
  <c r="I218" i="55"/>
  <c r="H218" i="55"/>
  <c r="I215" i="55"/>
  <c r="H215" i="55"/>
  <c r="G215" i="55"/>
  <c r="G210" i="55"/>
  <c r="M206" i="55"/>
  <c r="L206" i="55"/>
  <c r="K206" i="55"/>
  <c r="I206" i="55"/>
  <c r="H206" i="55"/>
  <c r="G206" i="55"/>
  <c r="L202" i="55"/>
  <c r="I181" i="55"/>
  <c r="H181" i="55"/>
  <c r="G181" i="55"/>
  <c r="H165" i="55"/>
  <c r="G161" i="55"/>
  <c r="H148" i="55"/>
  <c r="G148" i="55"/>
  <c r="G147" i="55"/>
  <c r="H145" i="55"/>
  <c r="G145" i="55"/>
  <c r="G132" i="55"/>
  <c r="G130" i="55"/>
  <c r="G129" i="55"/>
  <c r="K126" i="55"/>
  <c r="I126" i="55"/>
  <c r="H126" i="55"/>
  <c r="G123" i="55"/>
  <c r="G122" i="55"/>
  <c r="H121" i="55"/>
  <c r="G251" i="55"/>
  <c r="I106" i="55"/>
  <c r="H106" i="55"/>
  <c r="G106" i="55"/>
  <c r="I98" i="55"/>
  <c r="H98" i="55"/>
  <c r="G98" i="55"/>
  <c r="I96" i="55"/>
  <c r="H96" i="55"/>
  <c r="G96" i="55"/>
  <c r="I94" i="55"/>
  <c r="H94" i="55"/>
  <c r="G94" i="55"/>
  <c r="I92" i="55"/>
  <c r="H92" i="55"/>
  <c r="G92" i="55"/>
  <c r="H86" i="55"/>
  <c r="H90" i="55" s="1"/>
  <c r="G77" i="55"/>
  <c r="H61" i="55"/>
  <c r="I61" i="55" s="1"/>
  <c r="K54" i="55"/>
  <c r="I51" i="55"/>
  <c r="H51" i="55"/>
  <c r="G51" i="55"/>
  <c r="H45" i="55"/>
  <c r="I45" i="55" s="1"/>
  <c r="H38" i="55"/>
  <c r="I38" i="55" s="1"/>
  <c r="H37" i="55"/>
  <c r="I37" i="55" s="1"/>
  <c r="H36" i="55"/>
  <c r="I29" i="55"/>
  <c r="H29" i="55"/>
  <c r="H26" i="55"/>
  <c r="I26" i="55" s="1"/>
  <c r="H23" i="55"/>
  <c r="I23" i="55" s="1"/>
  <c r="H22" i="55"/>
  <c r="I189" i="55" l="1"/>
  <c r="H113" i="55"/>
  <c r="H163" i="55" s="1"/>
  <c r="H172" i="55" s="1"/>
  <c r="G241" i="55"/>
  <c r="G244" i="55"/>
  <c r="G243" i="55"/>
  <c r="G240" i="55"/>
  <c r="I250" i="55"/>
  <c r="H250" i="55"/>
  <c r="G189" i="55"/>
  <c r="H189" i="55"/>
  <c r="G233" i="55"/>
  <c r="G250" i="55"/>
  <c r="G245" i="55"/>
  <c r="I242" i="55"/>
  <c r="G246" i="55"/>
  <c r="I233" i="55"/>
  <c r="H242" i="55"/>
  <c r="H240" i="55"/>
  <c r="H99" i="55"/>
  <c r="H100" i="55" s="1"/>
  <c r="H233" i="55"/>
  <c r="I172" i="55"/>
  <c r="H244" i="55"/>
  <c r="G99" i="55"/>
  <c r="G100" i="55" s="1"/>
  <c r="I86" i="55"/>
  <c r="I90" i="55" s="1"/>
  <c r="I36" i="55"/>
  <c r="I240" i="55" s="1"/>
  <c r="G242" i="55"/>
  <c r="I22" i="55"/>
  <c r="J249" i="54"/>
  <c r="H245" i="55" l="1"/>
  <c r="H239" i="55" s="1"/>
  <c r="G172" i="55"/>
  <c r="G234" i="55" s="1"/>
  <c r="G235" i="55" s="1"/>
  <c r="H234" i="55"/>
  <c r="H235" i="55" s="1"/>
  <c r="G239" i="55"/>
  <c r="G238" i="55" s="1"/>
  <c r="G253" i="55" s="1"/>
  <c r="I234" i="55"/>
  <c r="I244" i="55"/>
  <c r="I239" i="55" s="1"/>
  <c r="I238" i="55" s="1"/>
  <c r="I253" i="55" s="1"/>
  <c r="I99" i="55"/>
  <c r="I100" i="55" s="1"/>
  <c r="H249" i="55" l="1"/>
  <c r="H238" i="55" s="1"/>
  <c r="H253" i="55" s="1"/>
  <c r="H255" i="55" s="1"/>
  <c r="G255" i="55"/>
  <c r="I235" i="55"/>
  <c r="I255" i="55" s="1"/>
  <c r="J252" i="54" l="1"/>
  <c r="L140" i="54"/>
  <c r="J250" i="54"/>
  <c r="J224" i="54"/>
  <c r="L72" i="54"/>
  <c r="J189" i="54"/>
  <c r="J233" i="54"/>
  <c r="L211" i="54"/>
  <c r="J219" i="54"/>
  <c r="J260" i="54"/>
  <c r="J259" i="54"/>
  <c r="J257" i="54"/>
  <c r="J256" i="54"/>
  <c r="J255" i="54"/>
  <c r="J221" i="54"/>
  <c r="J127" i="54"/>
  <c r="J119" i="54"/>
  <c r="J117" i="54"/>
  <c r="J115" i="54"/>
  <c r="J113" i="54"/>
  <c r="J170" i="54" l="1"/>
  <c r="J254" i="54"/>
  <c r="J248" i="54"/>
  <c r="J195" i="54"/>
  <c r="J253" i="54"/>
  <c r="J240" i="54"/>
  <c r="J251" i="54"/>
  <c r="J120" i="54"/>
  <c r="J121" i="54" s="1"/>
  <c r="J258" i="54"/>
  <c r="J172" i="54" l="1"/>
  <c r="J181" i="54" s="1"/>
  <c r="J241" i="54" s="1"/>
  <c r="J242" i="54" s="1"/>
  <c r="J247" i="54"/>
  <c r="J246" i="54" s="1"/>
  <c r="J261" i="54" s="1"/>
  <c r="J263" i="54" l="1"/>
</calcChain>
</file>

<file path=xl/comments1.xml><?xml version="1.0" encoding="utf-8"?>
<comments xmlns="http://schemas.openxmlformats.org/spreadsheetml/2006/main">
  <authors>
    <author>Snieguole Kacerauskaite</author>
    <author>Ingrida Urbonaviciene</author>
    <author>Indrė Butenienė</author>
    <author>Regina Intienė</author>
    <author>Saulina Paulauskiene</author>
    <author>Asta Česnauskienė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J71" authorId="1" shapeId="0">
      <text>
        <r>
          <rPr>
            <b/>
            <sz val="9"/>
            <color indexed="81"/>
            <rFont val="Tahoma"/>
            <family val="2"/>
            <charset val="186"/>
          </rPr>
          <t>Ingrida Urbonaviciene:</t>
        </r>
        <r>
          <rPr>
            <sz val="9"/>
            <color indexed="81"/>
            <rFont val="Tahoma"/>
            <family val="2"/>
            <charset val="186"/>
          </rPr>
          <t xml:space="preserve">
iš jų baldai 12,5 tūkst. eurų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KMT 2019-07-25 sprendimą Nr. T2-247 „Dėl Klaipėdos miesto savivaldybės 2019-2023 metų veiklos prioritetų patvirtinimo" </t>
        </r>
      </text>
    </comment>
    <comment ref="G85" authorId="2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G94" authorId="2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L140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Gorkio</t>
        </r>
      </text>
    </comment>
    <comment ref="G14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G16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J191" authorId="1" shapeId="0">
      <text>
        <r>
          <rPr>
            <b/>
            <sz val="9"/>
            <color indexed="81"/>
            <rFont val="Tahoma"/>
            <family val="2"/>
            <charset val="186"/>
          </rPr>
          <t>Ingrida Urbonaviciene:</t>
        </r>
        <r>
          <rPr>
            <sz val="9"/>
            <color indexed="81"/>
            <rFont val="Tahoma"/>
            <family val="2"/>
            <charset val="186"/>
          </rPr>
          <t xml:space="preserve">
Vyturio progimnazija</t>
        </r>
      </text>
    </comment>
    <comment ref="L199" authorId="4" shapeId="0">
      <text>
        <r>
          <rPr>
            <sz val="9"/>
            <color indexed="81"/>
            <rFont val="Tahoma"/>
            <family val="2"/>
            <charset val="186"/>
          </rPr>
          <t>1. L/d Alksniukas;
2. L/d Bangelė;
3. L/d Pagrandukas;
4. L/d Pušaitė;
5. L/d Radastėlė;
6. L/d Sakalėlis;
7. L/d Švuturėlis;
8. L/d Žilvitis:
9. L/d Žuvėdra;
10. L/d Du gaideliai;
11.Ąžuolyno g.
12. Vydūno g.;
13. H. Zudermano g.;
14. Žemynos g.;
15. Vitės progimn.
16. M.Mažvydo progimn.;
17. Versmės progimn.
18. VLC;
19. L/d Sakalėlis;
20. M/d Saulutė;
21. L/d Pumpurėlis;
22. L/d Traukinukas;
23. "Verdenės" progimn.;
24. S. Dacho progimn.;
25. "Saulėtekio" progimn.;
26. l/d. Nykštukas;
27. l/d Čiauškutė.</t>
        </r>
      </text>
    </comment>
    <comment ref="J200" authorId="4" shapeId="0">
      <text>
        <r>
          <rPr>
            <b/>
            <sz val="9"/>
            <color indexed="81"/>
            <rFont val="Tahoma"/>
            <family val="2"/>
            <charset val="186"/>
          </rPr>
          <t>Saulina Paulauskiene:</t>
        </r>
        <r>
          <rPr>
            <sz val="9"/>
            <color indexed="81"/>
            <rFont val="Tahoma"/>
            <family val="2"/>
            <charset val="186"/>
          </rPr>
          <t xml:space="preserve">
neužbaigti darbai l/d. Pušaitėje ir Žemynos gimanzijoje. 2021 metams numatyta šiose įstaigose ir kitokių darbų, todėl rodiklis nesikeičia.</t>
        </r>
      </text>
    </comment>
    <comment ref="L200" authorId="5" shapeId="0">
      <text>
        <r>
          <rPr>
            <sz val="9"/>
            <color indexed="81"/>
            <rFont val="Tahoma"/>
            <family val="2"/>
            <charset val="186"/>
          </rPr>
          <t xml:space="preserve">30 l./d., 16 progimnazijų ir 1 gimnazija
</t>
        </r>
      </text>
    </comment>
    <comment ref="L205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L/d Čiauškutė, Saulėtekio progimnazija, l/d Žilvitis</t>
        </r>
      </text>
    </comment>
    <comment ref="L210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1. Ažuolyno gimanzija;
2. Jūrų kadetų mokykla;
3. Baltijos gimnazija;
4. Suaugusių gimnazija;
5. l/d Šaltinėlis;
6. d Gintarėlis;
7. l/d Linelis;
8. l/d Nykštukas.</t>
        </r>
      </text>
    </comment>
    <comment ref="L211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1. VLC Švyturys;
2. Jūrų kadetų mokykla;
3. Aukuro gimnazija;
4. Aitvaro gimnazija;
5. Martyno Mažvydo progimnazija;
6. l/d Berželis;
7. l/d Inkarėlis;
8. l/d Vėrinėlis;
9. l/d Žemuogėlė
</t>
        </r>
      </text>
    </comment>
    <comment ref="L212" authorId="3" shapeId="0">
      <text>
        <r>
          <rPr>
            <sz val="9"/>
            <color indexed="81"/>
            <rFont val="Tahoma"/>
            <family val="2"/>
            <charset val="186"/>
          </rPr>
          <t>1. L/d Žuvėdra;
2. L/d Eglutė;
3. Montesori m/d;
4. Varpo gimn.;
5. Aukuro gimn.;
6. Suaugusių gimn.;
7. Gabijos progimn.;
8. Gilijos pradinė m.;
9. l/d Liepaitė;
10. l/d Inkarėlis
11. l/d Gintarėlis
ir avariniams darbams</t>
        </r>
      </text>
    </comment>
    <comment ref="L213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Gorkio progimnazijos ir l/d Šermukšnėlė projektai</t>
        </r>
      </text>
    </comment>
    <comment ref="L214" authorId="3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darbai - Baltijos gimnazija,
l/d "Dobiliukas",
„Švyturėlis“. </t>
        </r>
      </text>
    </comment>
    <comment ref="L216" authorId="4" shapeId="0">
      <text>
        <r>
          <rPr>
            <b/>
            <sz val="9"/>
            <color indexed="81"/>
            <rFont val="Tahoma"/>
            <family val="2"/>
            <charset val="186"/>
          </rPr>
          <t>Saulina Paulauskiene:</t>
        </r>
        <r>
          <rPr>
            <sz val="9"/>
            <color indexed="81"/>
            <rFont val="Tahoma"/>
            <family val="2"/>
            <charset val="186"/>
          </rPr>
          <t xml:space="preserve">
l/d Vėrinėlis</t>
        </r>
      </text>
    </comment>
    <comment ref="L217" authorId="0" shapeId="0">
      <text>
        <r>
          <rPr>
            <sz val="9"/>
            <color indexed="81"/>
            <rFont val="Tahoma"/>
            <family val="2"/>
            <charset val="186"/>
          </rPr>
          <t>Klaipėdos „Verdenės“ progimnazijos, adresu Kretingos g. 22, Klaipėda, sporto aikštyno apšvietimo priežiūros darbai (prožektorių pritvirtinimas, sureguliavimas, paskirstymo skydų profilaktika)</t>
        </r>
      </text>
    </comment>
    <comment ref="J228" authorId="4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>paraiškų rengimui ir stebėsenai</t>
        </r>
      </text>
    </comment>
    <comment ref="J230" authorId="1" shapeId="0">
      <text>
        <r>
          <rPr>
            <b/>
            <sz val="9"/>
            <color indexed="81"/>
            <rFont val="Tahoma"/>
            <family val="2"/>
            <charset val="186"/>
          </rPr>
          <t>Ingrida Urbonaviciene:</t>
        </r>
        <r>
          <rPr>
            <sz val="9"/>
            <color indexed="81"/>
            <rFont val="Tahoma"/>
            <family val="2"/>
            <charset val="186"/>
          </rPr>
          <t xml:space="preserve">
Žemynos gimnazija, l.d."Čiauškutė", M.Mažvydo progimnazija.</t>
        </r>
      </text>
    </comment>
    <comment ref="J238" authorId="0" shapeId="0">
      <text>
        <r>
          <rPr>
            <sz val="9"/>
            <color indexed="81"/>
            <rFont val="Tahoma"/>
            <family val="2"/>
            <charset val="186"/>
          </rPr>
          <t>Pagal LR švietimo, mokslo ir sporto ministro 2021 m. sausio 8 d. įsakymą Nr. V-36 gauta dotacija - 7 tūkst. € VB lėšų elektros įsigijimui Medeinės ir Litorinos mokykloms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Indrė Butenienė</author>
    <author>Regina Intienė</author>
    <author>Saulina Paulauskiene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Naujos VšĮ: Smaragdinis pasaulis; Mažieji lazeriukai; Pajūrio sodelis.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progimnazija "Pajūris"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KMT 2019-07-25 sprendimą Nr. T2-247 „Dėl Klaipėdos miesto savivaldybės 2019-2023 metų veiklos prioritetų patvirtinimo" </t>
        </r>
      </text>
    </comment>
    <comment ref="E6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E70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2.2.1. Įsteigti tarptautinių ikimokyklinio ir bendrojo ugdymo įstaigų, kuriose būtų mokoma anglų kalba</t>
        </r>
        <r>
          <rPr>
            <b/>
            <sz val="9"/>
            <color indexed="81"/>
            <rFont val="Tahoma"/>
            <family val="2"/>
            <charset val="186"/>
          </rPr>
          <t xml:space="preserve"> 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E76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K126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Gorkio</t>
        </r>
      </text>
    </comment>
    <comment ref="L126" authorId="2" shapeId="0">
      <text>
        <r>
          <rPr>
            <b/>
            <sz val="9"/>
            <color indexed="81"/>
            <rFont val="Tahoma"/>
            <family val="2"/>
            <charset val="186"/>
          </rPr>
          <t>Gilija</t>
        </r>
      </text>
    </comment>
    <comment ref="M126" authorId="2" shapeId="0">
      <text>
        <r>
          <rPr>
            <sz val="9"/>
            <color indexed="81"/>
            <rFont val="Tahoma"/>
            <family val="2"/>
            <charset val="186"/>
          </rPr>
          <t>Baltijos</t>
        </r>
      </text>
    </comment>
    <comment ref="K127" authorId="2" shapeId="0">
      <text>
        <r>
          <rPr>
            <sz val="9"/>
            <color indexed="81"/>
            <rFont val="Tahoma"/>
            <family val="2"/>
            <charset val="186"/>
          </rPr>
          <t>Zudermanas</t>
        </r>
      </text>
    </comment>
    <comment ref="L127" authorId="2" shapeId="0">
      <text>
        <r>
          <rPr>
            <sz val="9"/>
            <color indexed="81"/>
            <rFont val="Tahoma"/>
            <family val="2"/>
            <charset val="186"/>
          </rPr>
          <t>Gorkis, Vitė</t>
        </r>
      </text>
    </comment>
    <comment ref="M127" authorId="2" shapeId="0">
      <text>
        <r>
          <rPr>
            <sz val="9"/>
            <color indexed="81"/>
            <rFont val="Tahoma"/>
            <family val="2"/>
            <charset val="186"/>
          </rPr>
          <t>Gilija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45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L150" authorId="0" shapeId="0">
      <text>
        <r>
          <rPr>
            <sz val="9"/>
            <color indexed="81"/>
            <rFont val="Tahoma"/>
            <family val="2"/>
            <charset val="186"/>
          </rPr>
          <t xml:space="preserve"> l/d „Kregždutė“
</t>
        </r>
      </text>
    </comment>
    <comment ref="M150" authorId="0" shapeId="0">
      <text>
        <r>
          <rPr>
            <sz val="9"/>
            <color indexed="81"/>
            <rFont val="Tahoma"/>
            <family val="2"/>
            <charset val="186"/>
          </rPr>
          <t xml:space="preserve">l/d „Pingvinukas“, l/d „Putinėlis“
</t>
        </r>
      </text>
    </comment>
    <comment ref="M151" authorId="0" shapeId="0">
      <text>
        <r>
          <rPr>
            <sz val="9"/>
            <color indexed="81"/>
            <rFont val="Tahoma"/>
            <family val="2"/>
            <charset val="186"/>
          </rPr>
          <t xml:space="preserve">m/d „Saulutė“ ir  l/d „Kregždutė“
</t>
        </r>
      </text>
    </comment>
    <comment ref="D152" authorId="0" shapeId="0">
      <text>
        <r>
          <rPr>
            <sz val="9"/>
            <color indexed="81"/>
            <rFont val="Tahoma"/>
            <family val="2"/>
            <charset val="186"/>
          </rPr>
          <t>Abiem parengti techn. projektai</t>
        </r>
      </text>
    </comment>
    <comment ref="E15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5.1.4. Įrengta naujų ikimokyklinio ugdymo vietų centrinėje ir šiaurinėje miesto dalyse 
5.1.5. Renovuota ikimokyklinio ugdymo įstaigų pastatų, vnt.
5.1.12. Įgyvendinta investicinių projektų bendrojo lavinimo ir neformalaus ugdymo srityje, vnt.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K165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atidėta 2022 m. l/d Eglutė ir Giliukas</t>
        </r>
      </text>
    </comment>
    <comment ref="K194" authorId="3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>1. L/d Alksniukas;
2. L/d Bangelė;
3. L/d Pagrandukas;
4. L/d Pušaitė;
5. L/d Radastėlė;
6. L/d Sakalėlis;
7. L/d Švuturėlis;
8. L/d Žilvitis:
9. L/d Žuvėdra;
10. L/d Du gaideliai;
11.Ąžuolyno g.
12. Vydūno g.;
13. H. Zudermano g.;
14. Žemynos g.;
15. Vitės progimn.
16. M.Mažvydo progimn.;
17. Versmės progimn.
18. VLC;
19. L/d Sakalėlis;
20. M/d Saulutė;
21. L/d Pumpurėlis</t>
        </r>
        <r>
          <rPr>
            <b/>
            <sz val="9"/>
            <color indexed="81"/>
            <rFont val="Tahoma"/>
            <family val="2"/>
            <charset val="186"/>
          </rPr>
          <t>.</t>
        </r>
        <r>
          <rPr>
            <sz val="9"/>
            <color indexed="81"/>
            <rFont val="Tahoma"/>
            <family val="2"/>
            <charset val="186"/>
          </rPr>
          <t xml:space="preserve">
22. L/d Traukinukas</t>
        </r>
      </text>
    </comment>
    <comment ref="K201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L/d Čiauškutė, Saulėtekio progimnazija, l/d Žilvitis</t>
        </r>
      </text>
    </comment>
    <comment ref="K205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1. Ažuolyno gimanzija;
2. Jūrų kadetų mokykla;
3. Baltijos gimnazija;
4. Suaugusių gimnazija;
5. l/d Šaltinėlis;
6. d Gintarėlis;
7. l/d Linelis;
8. l/d Nykštukas.</t>
        </r>
      </text>
    </comment>
    <comment ref="K206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1. VLC Švyturys;
2. Jūrų kadetų mokykla;
3. Aukuro gimnazija;
4. Aitvaro gimnazija;
5. Martyno Mažvydo progimnazija;
6. l/d Berželis;
7. l/d Inkarėlis;
8. l/d Vėrinėlis;
9. l/d Žemuogėlė
</t>
        </r>
      </text>
    </comment>
    <comment ref="K207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1. L/d Žuvėdra;
2. L/d Eglutė;
3. Montesori m/d;
4. Varpo gimn.;
5. Aukuro gimn.;
6. Suaugusių gimn.;
7. Gabijos progimn.;
8. Gilijos pradinė m.;
ir avariniams darbams</t>
        </r>
      </text>
    </comment>
    <comment ref="K208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Gorkio progimnazijos ir l/d Šermukšnėlė projektai</t>
        </r>
      </text>
    </comment>
    <comment ref="K209" authorId="2" shapeId="0">
      <text>
        <r>
          <rPr>
            <b/>
            <sz val="9"/>
            <color indexed="81"/>
            <rFont val="Tahoma"/>
            <family val="2"/>
            <charset val="186"/>
          </rPr>
          <t>Regina Intienė:</t>
        </r>
        <r>
          <rPr>
            <sz val="9"/>
            <color indexed="81"/>
            <rFont val="Tahoma"/>
            <family val="2"/>
            <charset val="186"/>
          </rPr>
          <t xml:space="preserve">
darbai - Baltijos gimnazija,
l/d "Dobiliukas",
„Švyturėlis“. </t>
        </r>
      </text>
    </comment>
    <comment ref="K211" authorId="3" shapeId="0">
      <text>
        <r>
          <rPr>
            <b/>
            <sz val="9"/>
            <color indexed="81"/>
            <rFont val="Tahoma"/>
            <family val="2"/>
            <charset val="186"/>
          </rPr>
          <t>Saulina Paulauskiene:</t>
        </r>
        <r>
          <rPr>
            <sz val="9"/>
            <color indexed="81"/>
            <rFont val="Tahoma"/>
            <family val="2"/>
            <charset val="186"/>
          </rPr>
          <t xml:space="preserve">
l/d Vėrinėlis</t>
        </r>
      </text>
    </comment>
    <comment ref="K212" authorId="0" shapeId="0">
      <text>
        <r>
          <rPr>
            <sz val="9"/>
            <color indexed="81"/>
            <rFont val="Tahoma"/>
            <family val="2"/>
            <charset val="186"/>
          </rPr>
          <t>Klaipėdos „Verdenės“ progimnazijos, adresu Kretingos g. 22, Klaipėda, sporto aikštyno apšvietimo priežiūros darbai (prožektorių pritvirtinimas, sureguliavimas, paskirstymo skydų profilaktika)</t>
        </r>
      </text>
    </comment>
  </commentList>
</comments>
</file>

<file path=xl/sharedStrings.xml><?xml version="1.0" encoding="utf-8"?>
<sst xmlns="http://schemas.openxmlformats.org/spreadsheetml/2006/main" count="1223" uniqueCount="346">
  <si>
    <t>Finansavimo šaltinių suvestinė</t>
  </si>
  <si>
    <t>Finansavimo šaltiniai</t>
  </si>
  <si>
    <t>I</t>
  </si>
  <si>
    <t>LRVB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</si>
  <si>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</si>
  <si>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</si>
  <si>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</si>
  <si>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</si>
  <si>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</si>
  <si>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</si>
  <si>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</si>
  <si>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Finansavimo šaltinis</t>
  </si>
  <si>
    <t>01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</si>
  <si>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</si>
  <si>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</si>
  <si>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</si>
  <si>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</si>
  <si>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</si>
  <si>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</si>
  <si>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</si>
  <si>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</si>
  <si>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Pavadinimas</t>
  </si>
  <si>
    <t>SAVIVALDYBĖS  LĖŠOS, IŠ VISO:</t>
  </si>
  <si>
    <t>KITI ŠALTINIAI, IŠ VISO:</t>
  </si>
  <si>
    <t>IŠ VISO:</t>
  </si>
  <si>
    <t>UGDYMO PROCESO UŽTIKRINIMO PROGRAMOS (NR. 10)</t>
  </si>
  <si>
    <t>10 Ugdymo proceso užtikrinimo programa</t>
  </si>
  <si>
    <t>Renovuoti ugdymo įstaigų pastatus ir patalpas</t>
  </si>
  <si>
    <t>Organizuoti materialinį, ūkinį ir techninį ugdymo įstaigų aptarnavimą</t>
  </si>
  <si>
    <t>Ugdymo įstaigų ūkinio aptarnavimo organizavimas:</t>
  </si>
  <si>
    <t>Užtikrinti kokybišką ugdymo proceso organizavimą</t>
  </si>
  <si>
    <t>Gerinti ugdymo sąlygas ir aplinką</t>
  </si>
  <si>
    <t>Ryšių kabelių kanalų nuoma</t>
  </si>
  <si>
    <t>Šilumos ir karšto vandens tiekimo sistemų renovacija ir remontas</t>
  </si>
  <si>
    <t>Švietimo įstaigų pastatų apsauga</t>
  </si>
  <si>
    <t>Priešgaisrinių reikalavimų vykdymas švietimo įstaigose</t>
  </si>
  <si>
    <t>Kabelio tinklo ilgis, km</t>
  </si>
  <si>
    <t>SB(SP)</t>
  </si>
  <si>
    <t>Veiklos organizavimo užtikrinimas švietimo įstaigose:</t>
  </si>
  <si>
    <t>Švietimo įstaigų sanitarinių patalpų remontas</t>
  </si>
  <si>
    <t>Iš viso priemonei:</t>
  </si>
  <si>
    <t xml:space="preserve"> TIKSLŲ, UŽDAVINIŲ, PRIEMONIŲ, PRIEMONIŲ IŠLAIDŲ IR PRODUKTO KRITERIJŲ SUVESTINĖ</t>
  </si>
  <si>
    <t>Parengtas techninis projektas, vnt.</t>
  </si>
  <si>
    <t>Vasaros poilsio organizavimas</t>
  </si>
  <si>
    <t xml:space="preserve">Brandos egzaminų administravimas </t>
  </si>
  <si>
    <t>Atlikta statybos darbų, proc.</t>
  </si>
  <si>
    <t>SB(SPL)</t>
  </si>
  <si>
    <t xml:space="preserve">03 Strateginis tikslas. Užtikrinti gyventojams aukštą švietimo, kultūros, socialinių, sporto ir sveikatos apsaugos paslaugų kokybę ir prieinamumą </t>
  </si>
  <si>
    <t>Savivaldybės administracijos vaiko gerovės komisijos veiklos užtikrinimas</t>
  </si>
  <si>
    <t>Įsigyta įrengimų, vnt.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</si>
  <si>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</si>
  <si>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Sudaryti sąlygas ugdytis ir gerinti ugdymo proceso kokybę</t>
  </si>
  <si>
    <t xml:space="preserve">Aprūpinti švietimo įstaigas reikalingu inventoriumi 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</si>
  <si>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pradinėje mokykloje ir mokyklose-darželiuose</t>
    </r>
  </si>
  <si>
    <t>tūkst. Eur</t>
  </si>
  <si>
    <t>Neformaliojo vaikų švietimo programų įgyvendinimas ir neformaliojo vaikų švietimo paslaugų plėtra</t>
  </si>
  <si>
    <t>Švietimo įstaigų stogų remontas</t>
  </si>
  <si>
    <t>Įgyvendintas projektas, proc.</t>
  </si>
  <si>
    <t xml:space="preserve">Ugdymo prieinamumo ir ugdymo formų įvairovės užtikrinimas </t>
  </si>
  <si>
    <t>Neformaliojo vaikų ir suaugusiųjų švietimo organizavimas:</t>
  </si>
  <si>
    <t xml:space="preserve">Baldų ir įrangos atnaujinimas:  </t>
  </si>
  <si>
    <t>Automatizuotos šilumos punkto  kontrolės ir valdymo sistemų aptarnavimas švietimo įstaigų pastatuose</t>
  </si>
  <si>
    <t>Šilumos ir karšto vandens tiekimo sistemų priežiūra</t>
  </si>
  <si>
    <t xml:space="preserve">Įrenginių įsigijimas švietimo įstaigų maisto blokuose </t>
  </si>
  <si>
    <t>Švietimo įstaigų energinių išteklių efektyvinimas:</t>
  </si>
  <si>
    <t>Mokinių, aprūpintų elektroniniais pažymėjimais, skaičius, vnt.</t>
  </si>
  <si>
    <t>Atlikta sporto salės rekonstravimo darbų, proc.</t>
  </si>
  <si>
    <t>Mokymosi aplinkos pritaikymas švietimo reikmėms:</t>
  </si>
  <si>
    <t>06</t>
  </si>
  <si>
    <t>07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</si>
  <si>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</si>
  <si>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</si>
  <si>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</si>
  <si>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</si>
  <si>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Maitinimo paslaugų kompensavimas</t>
  </si>
  <si>
    <t>Priemonės pavadinimas</t>
  </si>
  <si>
    <t>Produkto kriterijus</t>
  </si>
  <si>
    <t>Įsigyta įrangos, proc.</t>
  </si>
  <si>
    <t xml:space="preserve">Atlikta rangos darbų, proc.
</t>
  </si>
  <si>
    <t>Įstaigų skaičius, vnt.</t>
  </si>
  <si>
    <t>Vaikų skaičius, vnt.</t>
  </si>
  <si>
    <t>Mokinių skaičius, vnt.</t>
  </si>
  <si>
    <t>Aptarnautų asmenų skaičius, vnt.</t>
  </si>
  <si>
    <t>Kvalifikacijos pažymėjimų skaičius, vnt.</t>
  </si>
  <si>
    <t>Mokyklų skaičius, vnt.</t>
  </si>
  <si>
    <t>Tarptautinių programų įgyvendinimas</t>
  </si>
  <si>
    <t>Egzaminų skaičius, vnt.</t>
  </si>
  <si>
    <t>Prevencinių renginių skaičius, vnt.</t>
  </si>
  <si>
    <t>Elektroninio mokinio pažymėjimo diegimas ir naudojimo užtikrinimas savivaldybės bendrojo ugdymo mokyklose, neformaliojo švietimo ir sporto įstaigose</t>
  </si>
  <si>
    <t>Įsigyta baldų, vnt.</t>
  </si>
  <si>
    <t>Atlikta rekonstrukcijos darbų, proc.</t>
  </si>
  <si>
    <t xml:space="preserve">Miesto metodinių būrelių veiklos užtikrinimas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</si>
  <si>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savivaldybės </t>
    </r>
    <r>
      <rPr>
        <sz val="10"/>
        <rFont val="Times New Roman"/>
        <family val="1"/>
        <charset val="186"/>
      </rPr>
      <t>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</si>
  <si>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  <charset val="186"/>
      </rPr>
      <t xml:space="preserve"> bendrojo ugdymo mokyklose </t>
    </r>
  </si>
  <si>
    <t>Švietimo įstaigų persikėlimo į kitas patalpas organizavimas</t>
  </si>
  <si>
    <t xml:space="preserve">Centralizuotas ugdymo įstaigų langų valymas </t>
  </si>
  <si>
    <t xml:space="preserve">Savivaldybės švietimo įstaigų civilinės atsakomybės draudimas  </t>
  </si>
  <si>
    <r>
      <t xml:space="preserve">BĮ Klaipėdos regos ugdymo centro </t>
    </r>
    <r>
      <rPr>
        <sz val="10"/>
        <rFont val="Times New Roman"/>
        <family val="1"/>
        <charset val="186"/>
      </rPr>
      <t>veiklos užtikrinimas</t>
    </r>
  </si>
  <si>
    <r>
      <t>BĮ Klaipėdos miesto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</si>
  <si>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Vaikų, kuriems iš dalies kompensuojamas ugdymas nevalstybinėse įstaigose, skaičius, vnt.</t>
  </si>
  <si>
    <t>Programų skaičius, vnt.</t>
  </si>
  <si>
    <t>Metodinių būrelių skaičius, vnt.</t>
  </si>
  <si>
    <t>Savivaldybės bendrojo ugdymo mokyklų pastatų ir aplinkos modernizavimas bei plėtra:</t>
  </si>
  <si>
    <t>Įstaigų, kuriose įsigyta įrangos ir baldų, skaičius, vnt.</t>
  </si>
  <si>
    <r>
      <t xml:space="preserve">BĮ Klaipėdos „Žaliakalnio“ gimnazijos </t>
    </r>
    <r>
      <rPr>
        <sz val="10"/>
        <rFont val="Times New Roman"/>
        <family val="1"/>
        <charset val="186"/>
      </rPr>
      <t xml:space="preserve">pastato inžinerinių sistemų ir vidaus patalpų remontas </t>
    </r>
  </si>
  <si>
    <t>Ikimokyklinio ugdymo įstaigų pastatų modernizavimas ir plėtra:</t>
  </si>
  <si>
    <t>Neformaliojo vaikų švietimo įstaigų pastatų rekonstravimas:</t>
  </si>
  <si>
    <t>BĮ Klaipėdos karalienės Luizės jaunimo centro (Puodžių g.) modernizavimas, plėtojant neformaliojo ugdymosi galimybes</t>
  </si>
  <si>
    <t>Įstaigų, kuriose atlikti remonto darbai, skaičius, vnt.</t>
  </si>
  <si>
    <t>Renovuotų, suremontuotų sistemų, skaičius, vnt.</t>
  </si>
  <si>
    <t>Įstaigų, kuriose likviduoti pažeidimai, skaičius, vnt.</t>
  </si>
  <si>
    <t>Saugomų pastatų, objektų skaičius, vnt.</t>
  </si>
  <si>
    <t>Parengta techninių projektų, vnt.</t>
  </si>
  <si>
    <t xml:space="preserve">Parengta techninių projektų, vnt.    </t>
  </si>
  <si>
    <t>Perkeltų įstaigų skaičius, vnt.</t>
  </si>
  <si>
    <t>Aptarnaujamų įstaigų skaičius, vnt.</t>
  </si>
  <si>
    <t>Parengta techninių darbo projektų, vnt.</t>
  </si>
  <si>
    <t>Suremontuotų įstaigų skaičius, vnt.</t>
  </si>
  <si>
    <t>Bendrojo ugdymo mokyklų tinklo pertvarkos 2016–2020 metų bendrojo plano priemonių įgyvendinimas:</t>
  </si>
  <si>
    <t>________________________________________</t>
  </si>
  <si>
    <t>Mokytis plaukti vežiojamų vaikų skaičius, vnt.</t>
  </si>
  <si>
    <t>Pasirengimas Gamtos mokslų, technologijų, inžinerijos, matematikos mokslų ir kūrybiškumo ugdymo (STEAM) centro įveiklinimui</t>
  </si>
  <si>
    <t>Dėstytojų etatų skaičius, vnt.</t>
  </si>
  <si>
    <t>Švietimo įstaigų modulinių kompleksų įrengimas ir nuoma</t>
  </si>
  <si>
    <t>Išmaniųjų klasių įrengimas</t>
  </si>
  <si>
    <t>Kompiuterių mokyklose atnaujinimas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</si>
  <si>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</si>
  <si>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</si>
  <si>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</si>
  <si>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</si>
  <si>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</si>
  <si>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</si>
  <si>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</si>
  <si>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</si>
  <si>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</si>
  <si>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 xml:space="preserve">Klaipėdos miesto bendrojo ugdymo mokyklų antrųjų klasių mokinių vežimo paslaugos mokyti plaukti užtikrinimas  </t>
  </si>
  <si>
    <t>Papriemonės kodas</t>
  </si>
  <si>
    <t>Papariemonės kodas</t>
  </si>
  <si>
    <t>Klasių skaičius, vnt.</t>
  </si>
  <si>
    <t xml:space="preserve">iš jų mokinių skaičius, vnt. </t>
  </si>
  <si>
    <t>Pavėžėta mokinių, skaičius</t>
  </si>
  <si>
    <t>Įstaigų, kuriose įrengtos saulės (fotovoltinės) elektrinės, skaičius</t>
  </si>
  <si>
    <t>Ikimokyklinio ir priešmokyklinio ugdymo prieinamumo didinimas Klaipėdos mieste (lopšelio-darželio „Svirpliukas“ modernizavimas)</t>
  </si>
  <si>
    <t>Lauko žaidimų aikštelių ir įrenginių atnaujinimas ikimokyklinėse ugdymo įstaigose</t>
  </si>
  <si>
    <t>Patalpų atnaujinimas užtikrinant atitiktį higienos normoms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</si>
  <si>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</si>
  <si>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</si>
  <si>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</si>
  <si>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>SB(ESL)</t>
  </si>
  <si>
    <t>SB(VBL)</t>
  </si>
  <si>
    <t>SB'</t>
  </si>
  <si>
    <t>Programose dalyvaujančių vaikų skaičius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</si>
  <si>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</si>
  <si>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t>Patalpų pritaikymas neįgalių vaikų ugdymui</t>
  </si>
  <si>
    <t>Sporto klasių veiklos užtikrinimas</t>
  </si>
  <si>
    <r>
      <t xml:space="preserve">Ugdymo proceso užtikrinimas </t>
    </r>
    <r>
      <rPr>
        <b/>
        <sz val="10"/>
        <rFont val="Times New Roman"/>
        <family val="1"/>
        <charset val="186"/>
      </rPr>
      <t>nevalstybinėse</t>
    </r>
    <r>
      <rPr>
        <sz val="10"/>
        <rFont val="Times New Roman"/>
        <family val="1"/>
        <charset val="186"/>
      </rPr>
      <t xml:space="preserve"> ikimokyklinio ugdymo įstaigose</t>
    </r>
  </si>
  <si>
    <t>Projekto ,,Mokinių ugdymosi pasiekimų gerinimas diegiant kokybės krepšelį“ įgyvendinimas</t>
  </si>
  <si>
    <t>Stadionų ir  sporto aikštynų (su dirbtinės žolės danga) priežiūros užtikrinimas</t>
  </si>
  <si>
    <t xml:space="preserve">Mokinių pavėžėjimo užtikrinimas </t>
  </si>
  <si>
    <t>Kompiuterių skaičius, vnt.</t>
  </si>
  <si>
    <t>Mokytojų padėjėjų skaičius, vnt.</t>
  </si>
  <si>
    <t>Programoje dalyvaujančių vaikų skaičius, vnt.</t>
  </si>
  <si>
    <t>Klaipėdos jūrų kadetų mokyklos veiklos užtikrinimas:</t>
  </si>
  <si>
    <t>P1</t>
  </si>
  <si>
    <t>Įsteigta etatų, sk.</t>
  </si>
  <si>
    <t>Įrengta papildomų darbo vietų, vnt.</t>
  </si>
  <si>
    <t>Mokytojų, įgijusių kompetencijas, skaičius</t>
  </si>
  <si>
    <t>P6</t>
  </si>
  <si>
    <t>Projektų skyrius</t>
  </si>
  <si>
    <t>Švietimo skyrius</t>
  </si>
  <si>
    <t>Savivaldybės ugdymo įstaigų pastatų ir aplinkos modernizavimas bei plėtra:</t>
  </si>
  <si>
    <t xml:space="preserve">Projektų skyrius </t>
  </si>
  <si>
    <t xml:space="preserve"> </t>
  </si>
  <si>
    <t>Ugdymo proceso užtikrinimas nevalstybinėse mokyklose-darželiuose</t>
  </si>
  <si>
    <t xml:space="preserve">Švietimo įstaigų elektros instaliacijos remontas </t>
  </si>
  <si>
    <t xml:space="preserve">Iš viso: </t>
  </si>
  <si>
    <t>BĮ Klaipėdos pedagoginės psichologinės tarnybos dalyvavimas projekte pagal ES INTERREG V-A projektą</t>
  </si>
  <si>
    <t>Mokinių maitinimo ir pavėžėjimo užtikrinimas</t>
  </si>
  <si>
    <r>
      <rPr>
        <b/>
        <sz val="10"/>
        <rFont val="Times New Roman"/>
        <family val="1"/>
        <charset val="186"/>
      </rPr>
      <t>Modernių ugdymosi erdvių sukūrimas Klaipėdos miesto progimnazijose ir gimnazijose</t>
    </r>
    <r>
      <rPr>
        <sz val="10"/>
        <rFont val="Times New Roman"/>
        <family val="1"/>
        <charset val="186"/>
      </rPr>
      <t xml:space="preserve"> („Smeltės“, Liudviko Stulpino, „Sendvario“, Gedminų, „Verdenės“ progimnazijose ir  „Vėtrungės“, „Varpo“ gimnazijose)</t>
    </r>
  </si>
  <si>
    <t xml:space="preserve">Patvirtintas finansų auditas </t>
  </si>
  <si>
    <t>Statinių administravimo skyrius</t>
  </si>
  <si>
    <t>Turto valdymo skyrius</t>
  </si>
  <si>
    <t>Informacinių technologijų skyrius</t>
  </si>
  <si>
    <t xml:space="preserve">Švietimo skyrius - priemonės vykdytojas, </t>
  </si>
  <si>
    <t>18</t>
  </si>
  <si>
    <t>19</t>
  </si>
  <si>
    <t>20</t>
  </si>
  <si>
    <t>21</t>
  </si>
  <si>
    <t>22</t>
  </si>
  <si>
    <t>23</t>
  </si>
  <si>
    <t>Tarpinstitucinio koordinavimo grupė</t>
  </si>
  <si>
    <t xml:space="preserve"> Statybos ir infrastruktūros plėtros skyrius, Vyr. patarėjas G. Dovidaitis</t>
  </si>
  <si>
    <t>Aptarnauta asmenų, skaičius</t>
  </si>
  <si>
    <t>Administruojama sistemų, vnt.</t>
  </si>
  <si>
    <t>Priėmimo į savivaldybės bendrojo ir ikimokyklinio ugdymo įstaigas informacinių sistemų priežiūra</t>
  </si>
  <si>
    <r>
      <t xml:space="preserve">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</si>
  <si>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2021 m. asignavimų projektas</t>
  </si>
  <si>
    <t>2022 m. asignavimų projektas</t>
  </si>
  <si>
    <t>2023 m. asignavimų projektas</t>
  </si>
  <si>
    <t>2021-ieji metai</t>
  </si>
  <si>
    <t>Įstaigų skaičius, kuriose atnaujintos sporto salės, vnt.</t>
  </si>
  <si>
    <t>Energinio efektyvumo didinimas ikimokyklinio ugdymo įstaigose:</t>
  </si>
  <si>
    <t xml:space="preserve">Atlikta modernizavimo darbų, proc.
</t>
  </si>
  <si>
    <t>Atnaujintų pastatų skaičius, vnt.</t>
  </si>
  <si>
    <t>BĮ Klaipėdos Jeronimo Kačinsko muzikos mokyklos (Statybininkų pr. 5) pastato energinio efektyvumo didinimas</t>
  </si>
  <si>
    <t>Atlikta rekonstravimo darbų, proc.</t>
  </si>
  <si>
    <t>Klaipėdos lopšelio-darželio „Žuvėdra“ patalpų pritaikymas ugdymo reikmėms</t>
  </si>
  <si>
    <t>Pritaikyta patalpų, vnt.</t>
  </si>
  <si>
    <t>Įrengtų edukacinių erdvių skaičius, vnt.</t>
  </si>
  <si>
    <t>Vaikiškų lovyčių įsigijimas savivaldybės ikimokyklinio ugdymo įstaigose</t>
  </si>
  <si>
    <t>Lovyčių skaičius, vnt.</t>
  </si>
  <si>
    <t>Neformaliojo švietimo ir pagalbos įstaigų aprūpinimas mobilia interaktyvia įranga</t>
  </si>
  <si>
    <t>Papildomai įsteigtų pedagogų etatų skaičius, vnt.</t>
  </si>
  <si>
    <t>Sumažintas auklėtojų padėjėjų etatų skaičius, vnt.</t>
  </si>
  <si>
    <t>BĮ Klaipėdos lopšelio darželio „Sakalėlis“ dalyvavimas projekte „Aktyviai ir linksmai nori sportuoti „Sakalėlio“ vaikai!“</t>
  </si>
  <si>
    <t>Kvalifikacijos tobulinimo programų skaičius, val.</t>
  </si>
  <si>
    <t xml:space="preserve"> Organizuotų gerosios patirties sklaidos renginių skaičius, vnt.</t>
  </si>
  <si>
    <t>Įrangos ir priemonių įsigijimas, vnt.</t>
  </si>
  <si>
    <t>Mokomosios robotikos kabineto įrengimas</t>
  </si>
  <si>
    <t>Universitetinių klasių veiklos organizavimas (2021 m. – Baltijos ir „Žemynos“ gimnazijose)</t>
  </si>
  <si>
    <t>Finansuojama tikslinių studijų su gretutinėmis pedagogikos studijomis vietų, skaičius</t>
  </si>
  <si>
    <t>Skirta tikslinių stipendijų pasirinkusiems pedagoginių specialybių studijas, skaičius</t>
  </si>
  <si>
    <t>Kt</t>
  </si>
  <si>
    <t>Atnaujinta aikštynų, skaičius</t>
  </si>
  <si>
    <t>Vyr. patarėja I. Kubilienė</t>
  </si>
  <si>
    <t>Įstaigų, kuriose diegiamos šalto vandens valdymo sistemos, skaičius, vnt.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</si>
  <si>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</si>
  <si>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„Gilijos“ pradinės mokyklos (Taikos pr. 68) pastato energinio efektyvumo didinimas</t>
  </si>
  <si>
    <t>P2</t>
  </si>
  <si>
    <t>Parengtas techninis  projektas, vnt.</t>
  </si>
  <si>
    <t>Atlikta modernizavimo darbų, proc.</t>
  </si>
  <si>
    <t>SB(P)</t>
  </si>
  <si>
    <t xml:space="preserve">Klaipėdos „Ąžuolyno“ gimnazijos modernizavimas </t>
  </si>
  <si>
    <t>Atlikta rangos darbų, proc.</t>
  </si>
  <si>
    <t>Įsigyta modulių, vnt.</t>
  </si>
  <si>
    <t>Klaipėdos lopšelio-darželio „Žiogelis“ pastato Kauno g. 27 modernizavimas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</si>
  <si>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</si>
  <si>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Edukacinių erdvių įrengimas Klaipėdos miesto bendrojo ugdymo mokyklose (2021 m. – „Vyturio“ ir 2022 m. – „Smeltės“ progimnazijoje)</t>
  </si>
  <si>
    <t>Įrengtas technologijų kabinetas, proc.</t>
  </si>
  <si>
    <r>
      <t xml:space="preserve">Ugdymo proceso  užtikrinimas </t>
    </r>
    <r>
      <rPr>
        <b/>
        <sz val="10"/>
        <rFont val="Times New Roman"/>
        <family val="1"/>
        <charset val="186"/>
      </rPr>
      <t xml:space="preserve">nevalstybinėse </t>
    </r>
    <r>
      <rPr>
        <sz val="10"/>
        <rFont val="Times New Roman"/>
        <family val="1"/>
        <charset val="186"/>
      </rPr>
      <t xml:space="preserve">bendrojo ugdymo mokyklose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</si>
  <si>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</si>
  <si>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</si>
  <si>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rPr>
        <b/>
        <sz val="10"/>
        <rFont val="Times New Roman"/>
        <family val="1"/>
        <charset val="186"/>
      </rPr>
      <t>BĮ Klaipėdos Prano Mašioto progimnazijos</t>
    </r>
    <r>
      <rPr>
        <sz val="10"/>
        <rFont val="Times New Roman"/>
        <family val="1"/>
        <charset val="186"/>
      </rPr>
      <t xml:space="preserve"> pastato Varpų g. 3 rekonstravimas</t>
    </r>
  </si>
  <si>
    <r>
      <rPr>
        <b/>
        <sz val="10"/>
        <rFont val="Times New Roman"/>
        <family val="1"/>
        <charset val="186"/>
      </rPr>
      <t>Bendrojo ugdymo mokyklos pastato statyba</t>
    </r>
    <r>
      <rPr>
        <sz val="10"/>
        <rFont val="Times New Roman"/>
        <family val="1"/>
        <charset val="186"/>
      </rPr>
      <t xml:space="preserve"> šiaurinėje miesto dalyje</t>
    </r>
  </si>
  <si>
    <r>
      <t xml:space="preserve">Klaipėdos Tauralaukio progimnazijos pastato (Klaipėdos g. 31) rekonstravimas </t>
    </r>
    <r>
      <rPr>
        <sz val="10"/>
        <rFont val="Times New Roman"/>
        <family val="1"/>
        <charset val="186"/>
      </rPr>
      <t>į ikimokyklinio ir priešmokyklinio ugdymo įstaigą</t>
    </r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</si>
  <si>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</si>
  <si>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</si>
  <si>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</si>
  <si>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Sporto aikštynų priežiūra</t>
  </si>
  <si>
    <t>Prižiūrima aikštynų, vnt.</t>
  </si>
  <si>
    <t>Ikimokyklinio ugdymo įstaigų teritorijų aptvėrimas</t>
  </si>
  <si>
    <t>Atleistas vadovų skaičius, vnt.</t>
  </si>
  <si>
    <t>Komunalinių paslaugų įsigijimas:</t>
  </si>
  <si>
    <t xml:space="preserve"> - šildymo, vandens, nuotekų</t>
  </si>
  <si>
    <t xml:space="preserve"> - elektros energijos</t>
  </si>
  <si>
    <t xml:space="preserve"> - pastatų atnaujinimas l.-d „Alksniukas“ (2022 m.) ir l.-d „Želmenėlis“ (2023 m.) </t>
  </si>
  <si>
    <t>Įsigytas sportinis inventorius ir įranga, vnt.</t>
  </si>
  <si>
    <t>Suorganizuota edukacinių ir kultūrinių renginių, skaičius</t>
  </si>
  <si>
    <r>
      <rPr>
        <b/>
        <sz val="10"/>
        <rFont val="Times New Roman"/>
        <family val="1"/>
        <charset val="186"/>
      </rPr>
      <t xml:space="preserve">Sporto salių atnaujinimas </t>
    </r>
    <r>
      <rPr>
        <sz val="10"/>
        <rFont val="Times New Roman"/>
        <family val="1"/>
        <charset val="186"/>
      </rPr>
      <t>(2022 m. – „Aitvaro“ gimnazija, 2023 m. –  „Versmės“ progimnazija)</t>
    </r>
  </si>
  <si>
    <t xml:space="preserve">Atliktas Psichologinei pedagoginei tarnybai perduotų patalpų remontas </t>
  </si>
  <si>
    <t xml:space="preserve">Švietimo įstaigų lauko inžinerinių tinklų remontas (2021 m. – Baltijos gimnazija) </t>
  </si>
  <si>
    <t>Atsinaujinančių energijos išteklių  panaudojimas švietimo įstaigų pastatuose (2021 m. – l.-d. „Čiauškutė“ Martyno Mažvydo progimnazijoje ir „Žemynos“ gimnazijoje; 2022 m. – l.-d. „Versmė“)</t>
  </si>
  <si>
    <t>Atlikta rangos darbų (sporto salės), proc.</t>
  </si>
  <si>
    <t>Švietimo paslaugų modernizavimo  programos priemonių įgyvendinimas:</t>
  </si>
  <si>
    <t>Klaipėdos „Žaliakalnio“ gimnazijos baldų ir įrangos atnaujinimas</t>
  </si>
  <si>
    <t>P7</t>
  </si>
  <si>
    <t>SB(K)</t>
  </si>
  <si>
    <r>
      <rPr>
        <sz val="10"/>
        <rFont val="Times New Roman"/>
        <family val="1"/>
        <charset val="186"/>
      </rPr>
      <t>Valstybės biudžeto kompensacija 2020 m. negautoms pajamoms padengti</t>
    </r>
    <r>
      <rPr>
        <b/>
        <sz val="10"/>
        <rFont val="Times New Roman"/>
        <family val="1"/>
        <charset val="186"/>
      </rPr>
      <t xml:space="preserve"> SB(K)</t>
    </r>
  </si>
  <si>
    <t xml:space="preserve">2021–2023 M. KLAIPĖDOS MIESTO SAVIVALDYBĖS  </t>
  </si>
  <si>
    <t xml:space="preserve">Klaipėdos miesto savivaldybės ugdymo proceso užtikrinimo programos (Nr. 10) aprašymo </t>
  </si>
  <si>
    <t>priedas</t>
  </si>
  <si>
    <t>planas</t>
  </si>
  <si>
    <t>SB(VB)'</t>
  </si>
  <si>
    <t>SB(SP)'</t>
  </si>
  <si>
    <t>SB(L)'</t>
  </si>
  <si>
    <t>Organizuotų gerosios patirties sklaidos renginių skaičius, vnt.</t>
  </si>
  <si>
    <t>LRVB'</t>
  </si>
  <si>
    <t>SB(ES)'</t>
  </si>
  <si>
    <t>SB(ESL)'</t>
  </si>
  <si>
    <t>SB(K)'</t>
  </si>
  <si>
    <t>SB(VBL)'</t>
  </si>
  <si>
    <t>Kt'</t>
  </si>
  <si>
    <t>2021 m.</t>
  </si>
  <si>
    <t>2022 m.</t>
  </si>
  <si>
    <t>2023 m.</t>
  </si>
  <si>
    <t>BĮ Klaipėdos lopšelio-darželio „Sakalėlis“ dalyvavimas projekte „Aktyviai ir linksmai nori sportuoti „Sakalėlio“ vaikai!“</t>
  </si>
  <si>
    <r>
      <t xml:space="preserve">Ugdymo proceso užtikrinimas </t>
    </r>
    <r>
      <rPr>
        <b/>
        <sz val="10"/>
        <rFont val="Times New Roman"/>
        <family val="1"/>
        <charset val="186"/>
      </rPr>
      <t xml:space="preserve">nevalstybinėse </t>
    </r>
    <r>
      <rPr>
        <sz val="10"/>
        <rFont val="Times New Roman"/>
        <family val="1"/>
        <charset val="186"/>
      </rPr>
      <t xml:space="preserve">bendrojo ugdymo mokyklose </t>
    </r>
  </si>
  <si>
    <t>Įsteigta etatų, skaičius</t>
  </si>
  <si>
    <t>Klaipėdos miesto pedagogų rengimo, kvalifikacijos plėtojimo, profesinių kompetencijų tobulinimo ir mokytojų pritraukimo į mokyklas 2020–2024 programos įgyvendinimas</t>
  </si>
  <si>
    <r>
      <rPr>
        <b/>
        <sz val="10"/>
        <rFont val="Times New Roman"/>
        <family val="1"/>
        <charset val="186"/>
      </rPr>
      <t xml:space="preserve">Sporto aikštynų atnaujinimas </t>
    </r>
    <r>
      <rPr>
        <sz val="10"/>
        <rFont val="Times New Roman"/>
        <family val="1"/>
        <charset val="186"/>
      </rPr>
      <t>(modernizavimas) (2021 m. – H. Zudermano gimnazijos, 2022 m. – Vitės ir  Maksimo Gorkio progimnazijų, 2023 m. – „Gilijos“ pradinės mokyklos)</t>
    </r>
  </si>
  <si>
    <t xml:space="preserve">Parengta techninių projektų, vnt.  </t>
  </si>
  <si>
    <t>Klaipėdos „Pajūrio“ progimnazijos fasado apšiltinimo darbai</t>
  </si>
  <si>
    <t xml:space="preserve"> - pastatų atnaujinimas m.-d. „Saulutė“, l/d „Vėrinėlis“, l.-d. „Pingvinukas“, l/d „Putinėlis“, l.-d. „Kregždutė“, l.-d. „Radastėlė“, l.-d. „Boružėlė“</t>
  </si>
  <si>
    <t xml:space="preserve">Švietimo įstaigų paprastasis remontas (2021 m. – „Ąžuolyno“, Vydūno, Hermano Zudermano, „Žemynos“, Vitės gimnazijų, Martyno Mažvydo, „Versmės“ progimnazijų, m.-d. „Saulutė“, l-d „Alksniukas“, „Bangelė“, „Pagrandukas“, „Pušaitė“, „Radastėlė“, „Švyturėlis“, „Sakalėlis“, „Žilvitis“,  „Žuvėdra“, „Du gaideliai“, „Vėrinėlis“, „Pumpurėlis“,  „Traukinukas“ ir Vaikų laisvalaikio centro) </t>
  </si>
  <si>
    <t>2021 M. KLAIPĖDOS MIESTO SAVIVALDYBĖS ADMINISTRACIJOS</t>
  </si>
  <si>
    <t xml:space="preserve">Centralizuotai įsigytos elektros tiekimo paslaugos visose BĮ, proc. </t>
  </si>
  <si>
    <t>Jaunimo medijų centro Klaipėdos miesto centre  įkūrimas</t>
  </si>
  <si>
    <t>Vyr. patarėjas R. Zulcas</t>
  </si>
  <si>
    <t>Parengta Jaunimo medijų centro koncepcija, sk.</t>
  </si>
  <si>
    <t xml:space="preserve">Neformalaus ugdymo paslaugų tobulinimo plano parengimas </t>
  </si>
  <si>
    <t>24</t>
  </si>
  <si>
    <t>Parengtas planas, vnt.</t>
  </si>
  <si>
    <t>Švietimo sk.,     vyr. patarėjas D. Petrolevičius</t>
  </si>
  <si>
    <t>Planavimo ir analizės skyrius –  programos sąmatų tvirtinimas</t>
  </si>
  <si>
    <t>Atsinaujinančių energijos išteklių  panaudojimas švietimo įstaigų pastatuose (2021 m. –  l.-d. „Čiauškutė“ Martyno Mažvydo progimnazijoje ir „Žemynos“ gimnazijoje; 2022 m. –  l.-d. „Versmė“)</t>
  </si>
  <si>
    <t xml:space="preserve">PATVIRTINTA
Klaipėdos miesto savivaldybės administracijos direktoriaus            2021 m. kovo 10 d. įsakymu Nr. AD1-293   </t>
  </si>
  <si>
    <t>Naujų mokytojų padėjėjų pareigybių steigimas siekiant padidinti mokinių, turinčių specialiųjų ugdymosi poreikių, įtrauktį švietime</t>
  </si>
  <si>
    <t>Įsteigta naujų pareigybių, vnt.</t>
  </si>
  <si>
    <t>Parengta paraiškų, vnt.</t>
  </si>
  <si>
    <t>Produkto kriterijaus</t>
  </si>
  <si>
    <t>Vykdytojas (skyrius/grupė)</t>
  </si>
  <si>
    <t>2021-ųjų metų asignavimų planas*</t>
  </si>
  <si>
    <t>Atleistų mokytojų skaičius, vnt.</t>
  </si>
  <si>
    <t>Hibridinių klasių įrengimas</t>
  </si>
  <si>
    <t>Įsigytos įrangos skaičius, vnt.</t>
  </si>
  <si>
    <t>Įstaigų pritaikymas neįgaliesiems</t>
  </si>
  <si>
    <t>Sumontuota keltuvų, vnt.</t>
  </si>
  <si>
    <t>Projektų skaičius, vnt.</t>
  </si>
  <si>
    <t>25</t>
  </si>
  <si>
    <t>26</t>
  </si>
  <si>
    <t>Švietimo įstaigų virėjų darbo užmokesčio apmokėjimas</t>
  </si>
  <si>
    <t>Įstaigų, kurioms skirtas papildomas finansavimas, skaičius</t>
  </si>
  <si>
    <t>Vėdinimo ir kondicionavimo sistemų įrengimas</t>
  </si>
  <si>
    <t>Įrengta kondicionavimo sistemų, vnt.</t>
  </si>
  <si>
    <t>PI</t>
  </si>
  <si>
    <t>Statybos ir infrastruktūros plėtros skyrius</t>
  </si>
  <si>
    <t>Švietimo įstaigų teritorijų sutvarkymo darbai</t>
  </si>
  <si>
    <t>Įstaigų, kuriose pakeisti laiptinių turėklai, skaičius</t>
  </si>
  <si>
    <t>Planavimo ir analizės skyrius – programos sąmatų tvirtinimas, vykdytojas – Švietimo skyrius</t>
  </si>
  <si>
    <t>BĮ Klaipėdos Tauralaukio progimnazijos dalyvavimas projektuose:</t>
  </si>
  <si>
    <t>,,Gyvenimas su klimato kaita"</t>
  </si>
  <si>
    <t>,,Tobulėjame kartu su programa ,,eTwinningoo"</t>
  </si>
  <si>
    <t>27</t>
  </si>
  <si>
    <t xml:space="preserve">LITNET programos plėtra   </t>
  </si>
  <si>
    <t>Nutiesto kabelio ilgis, m</t>
  </si>
  <si>
    <t>* Pagal Klaipėdos miesto savivaldybės tarybos sprendimus: 2021-02-25 Nr. T2-24, 2021-04-29 Nr. T2-90, 2021-06-22 Nr. T2-157, 2021-09-30 Nr. T2-192, 2021-11-25 Nr. T2-247.</t>
  </si>
  <si>
    <t>BĮ Klaipėdos Litorinos mokyklos dalyvavimas projekte „Judriosios popietės“</t>
  </si>
  <si>
    <t>,,Pagarbi ir tolerantiska mokykla“</t>
  </si>
  <si>
    <t>,,Stop ankstyvam išėjimui iš
mokyklos, pradėkime tarpdalykinį mokymą dėl ateities“</t>
  </si>
  <si>
    <t>,,Su jumis, su kiekvienu“</t>
  </si>
  <si>
    <r>
      <rPr>
        <b/>
        <sz val="10"/>
        <rFont val="Times New Roman"/>
        <family val="1"/>
        <charset val="186"/>
      </rPr>
      <t xml:space="preserve">Sporto aikštynų atnaujinimas </t>
    </r>
    <r>
      <rPr>
        <sz val="10"/>
        <rFont val="Times New Roman"/>
        <family val="1"/>
        <charset val="186"/>
      </rPr>
      <t>(modernizavimas) (2021 m. – H. Zudermano,  2022 m.  – ,,Žaliakalnio“ ir ,,Vėtrungės“ gimnazijų, ,,Smeltės“ progimnazijos, Vitės ir  Maksimo Gorkio progimnazijų, 2023 m. – Gilijos pradinės mokyklos)</t>
    </r>
  </si>
  <si>
    <t>Sporto salių atnaujinimas (2022 m. - „Aitvaro“ gimnazija ir „Versmės“ progimnazija)</t>
  </si>
  <si>
    <t xml:space="preserve"> - pastatų atnaujinimas l.-d. „Alksniukas“ ir  l.-d. „Želmenėlis“ (2022 m.)</t>
  </si>
  <si>
    <t>Edukacinių erdvių įrengimas Klaipėdos miesto bendrojo ugdymo mokyklose (2021 m. – „Vyturio“ ir „Smeltės“ progimnazijose)</t>
  </si>
  <si>
    <t xml:space="preserve">Švietimo įstaigų paprastasis remontas (2021 m. – Ąžuolyno, Vydūno, Hermano Zudermano, Žemynos, Vitės gimnazijų, Martyno Mažvydo, „Versmės“, „Verdenės“, S. Dacho, „Saulėtekio“ progimnazijų, m.-d. „Saulutė“, l-d „Alksniukas“, „Bangelė“, „Pagrandukas“, „Pušaitė“, „Radastėlė“, „Švyturėlis“, „Sakalėlis“, „Žilvitis“,  „Žuvėdra“, „Du gaideliai“, „Vėrinėlis“, „Pumpurėlis“,  „Traukinukas“, „Nykštukas“, „Čiauškutė“ ir Vaikų laisvalaikio centro) </t>
  </si>
  <si>
    <t xml:space="preserve">(Klaipėdos miesto savivaldybės administracijos direktoriaus                          2021 m. lapkričio 30 įsakymo Nr. AD1-1382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</si>
</sst>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[$-409]General"/>
    <numFmt numFmtId="167" formatCode="[$-409]#,##0"/>
    <numFmt numFmtId="168" formatCode="[$-409]0.00"/>
  </numFmts>
  <fonts count="1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i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0" fillId="0" borderId="0" applyBorder="0" applyProtection="0"/>
  </cellStyleXfs>
  <cellXfs count="1206">
    <xf numFmtId="0" fontId="0" fillId="0" borderId="0" xfId="0"/>
    <xf numFmtId="3" fontId="2" fillId="0" borderId="52" xfId="0" applyNumberFormat="1" applyFont="1" applyFill="1" applyBorder="1" applyAlignment="1">
      <alignment horizontal="center" vertical="top" wrapText="1"/>
    </xf>
    <xf numFmtId="3" fontId="2" fillId="4" borderId="26" xfId="0" applyNumberFormat="1" applyFont="1" applyFill="1" applyBorder="1" applyAlignment="1">
      <alignment horizontal="center" vertical="top" wrapText="1"/>
    </xf>
    <xf numFmtId="3" fontId="2" fillId="4" borderId="49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164" fontId="2" fillId="0" borderId="55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3" fillId="5" borderId="41" xfId="0" applyNumberFormat="1" applyFont="1" applyFill="1" applyBorder="1" applyAlignment="1">
      <alignment horizontal="center" vertical="top" wrapText="1"/>
    </xf>
    <xf numFmtId="164" fontId="2" fillId="4" borderId="52" xfId="0" applyNumberFormat="1" applyFont="1" applyFill="1" applyBorder="1" applyAlignment="1">
      <alignment horizontal="center" vertical="top"/>
    </xf>
    <xf numFmtId="164" fontId="2" fillId="4" borderId="55" xfId="0" applyNumberFormat="1" applyFont="1" applyFill="1" applyBorder="1" applyAlignment="1">
      <alignment horizontal="center" vertical="top" wrapText="1"/>
    </xf>
    <xf numFmtId="3" fontId="2" fillId="4" borderId="52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2" fillId="4" borderId="38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2" fillId="0" borderId="38" xfId="0" applyNumberFormat="1" applyFont="1" applyBorder="1" applyAlignment="1">
      <alignment horizontal="right" vertical="top" wrapText="1"/>
    </xf>
    <xf numFmtId="49" fontId="2" fillId="3" borderId="54" xfId="0" applyNumberFormat="1" applyFont="1" applyFill="1" applyBorder="1" applyAlignment="1">
      <alignment horizontal="center" vertical="top" wrapText="1"/>
    </xf>
    <xf numFmtId="49" fontId="2" fillId="3" borderId="30" xfId="0" applyNumberFormat="1" applyFont="1" applyFill="1" applyBorder="1" applyAlignment="1">
      <alignment horizontal="center" vertical="top" wrapText="1"/>
    </xf>
    <xf numFmtId="49" fontId="2" fillId="3" borderId="58" xfId="0" applyNumberFormat="1" applyFont="1" applyFill="1" applyBorder="1" applyAlignment="1">
      <alignment horizontal="center" vertical="top" wrapText="1"/>
    </xf>
    <xf numFmtId="3" fontId="2" fillId="4" borderId="13" xfId="0" quotePrefix="1" applyNumberFormat="1" applyFont="1" applyFill="1" applyBorder="1" applyAlignment="1">
      <alignment horizontal="center" vertical="top" wrapText="1"/>
    </xf>
    <xf numFmtId="3" fontId="2" fillId="4" borderId="19" xfId="0" quotePrefix="1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30" xfId="0" applyNumberFormat="1" applyFont="1" applyFill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 wrapText="1"/>
    </xf>
    <xf numFmtId="49" fontId="2" fillId="4" borderId="18" xfId="0" applyNumberFormat="1" applyFont="1" applyFill="1" applyBorder="1" applyAlignment="1">
      <alignment horizontal="center" vertical="top" wrapText="1"/>
    </xf>
    <xf numFmtId="49" fontId="2" fillId="3" borderId="5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" borderId="31" xfId="0" applyNumberFormat="1" applyFont="1" applyFill="1" applyBorder="1" applyAlignment="1">
      <alignment horizontal="center" vertical="top" wrapText="1"/>
    </xf>
    <xf numFmtId="49" fontId="2" fillId="3" borderId="45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2" fillId="3" borderId="44" xfId="0" applyNumberFormat="1" applyFont="1" applyFill="1" applyBorder="1" applyAlignment="1">
      <alignment horizontal="center" vertical="top" wrapText="1"/>
    </xf>
    <xf numFmtId="164" fontId="3" fillId="5" borderId="41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3" fontId="2" fillId="4" borderId="18" xfId="0" quotePrefix="1" applyNumberFormat="1" applyFont="1" applyFill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3" fontId="3" fillId="5" borderId="47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 wrapText="1"/>
    </xf>
    <xf numFmtId="3" fontId="2" fillId="4" borderId="56" xfId="0" applyNumberFormat="1" applyFont="1" applyFill="1" applyBorder="1" applyAlignment="1">
      <alignment vertical="top" wrapText="1"/>
    </xf>
    <xf numFmtId="3" fontId="2" fillId="4" borderId="26" xfId="0" applyNumberFormat="1" applyFont="1" applyFill="1" applyBorder="1" applyAlignment="1">
      <alignment vertical="top" wrapText="1"/>
    </xf>
    <xf numFmtId="3" fontId="2" fillId="4" borderId="38" xfId="0" applyNumberFormat="1" applyFont="1" applyFill="1" applyBorder="1" applyAlignment="1">
      <alignment vertical="top" wrapText="1"/>
    </xf>
    <xf numFmtId="3" fontId="2" fillId="4" borderId="39" xfId="0" applyNumberFormat="1" applyFont="1" applyFill="1" applyBorder="1" applyAlignment="1">
      <alignment vertical="top" wrapText="1"/>
    </xf>
    <xf numFmtId="0" fontId="2" fillId="0" borderId="52" xfId="0" applyFont="1" applyFill="1" applyBorder="1" applyAlignment="1">
      <alignment horizontal="center" vertical="top" wrapText="1"/>
    </xf>
    <xf numFmtId="3" fontId="3" fillId="4" borderId="13" xfId="0" applyNumberFormat="1" applyFont="1" applyFill="1" applyBorder="1" applyAlignment="1">
      <alignment vertical="top" wrapText="1"/>
    </xf>
    <xf numFmtId="3" fontId="3" fillId="4" borderId="28" xfId="0" applyNumberFormat="1" applyFont="1" applyFill="1" applyBorder="1" applyAlignment="1">
      <alignment horizontal="left" vertical="top" wrapText="1"/>
    </xf>
    <xf numFmtId="3" fontId="2" fillId="4" borderId="5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2" fillId="0" borderId="62" xfId="0" applyNumberFormat="1" applyFont="1" applyFill="1" applyBorder="1" applyAlignment="1">
      <alignment horizontal="center" vertical="top"/>
    </xf>
    <xf numFmtId="164" fontId="2" fillId="0" borderId="52" xfId="0" applyNumberFormat="1" applyFont="1" applyFill="1" applyBorder="1" applyAlignment="1">
      <alignment horizontal="center" vertical="top"/>
    </xf>
    <xf numFmtId="49" fontId="2" fillId="3" borderId="54" xfId="0" applyNumberFormat="1" applyFont="1" applyFill="1" applyBorder="1" applyAlignment="1">
      <alignment horizontal="center" vertical="top"/>
    </xf>
    <xf numFmtId="3" fontId="3" fillId="4" borderId="0" xfId="0" applyNumberFormat="1" applyFont="1" applyFill="1" applyBorder="1" applyAlignment="1">
      <alignment horizontal="center" vertical="top" wrapText="1"/>
    </xf>
    <xf numFmtId="164" fontId="2" fillId="3" borderId="16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3" borderId="56" xfId="0" applyNumberFormat="1" applyFont="1" applyFill="1" applyBorder="1" applyAlignment="1">
      <alignment vertical="top" wrapText="1"/>
    </xf>
    <xf numFmtId="3" fontId="2" fillId="3" borderId="37" xfId="0" applyNumberFormat="1" applyFont="1" applyFill="1" applyBorder="1" applyAlignment="1">
      <alignment vertical="top" wrapText="1"/>
    </xf>
    <xf numFmtId="3" fontId="2" fillId="0" borderId="53" xfId="0" applyNumberFormat="1" applyFont="1" applyFill="1" applyBorder="1" applyAlignment="1">
      <alignment horizontal="center" vertical="top" wrapText="1"/>
    </xf>
    <xf numFmtId="3" fontId="2" fillId="4" borderId="52" xfId="0" applyNumberFormat="1" applyFont="1" applyFill="1" applyBorder="1" applyAlignment="1">
      <alignment horizontal="center" vertical="top"/>
    </xf>
    <xf numFmtId="3" fontId="2" fillId="4" borderId="8" xfId="0" applyNumberFormat="1" applyFont="1" applyFill="1" applyBorder="1" applyAlignment="1">
      <alignment vertical="top" wrapText="1"/>
    </xf>
    <xf numFmtId="3" fontId="2" fillId="0" borderId="16" xfId="0" applyNumberFormat="1" applyFont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49" fontId="2" fillId="3" borderId="58" xfId="0" applyNumberFormat="1" applyFont="1" applyFill="1" applyBorder="1" applyAlignment="1">
      <alignment horizontal="center" vertical="top"/>
    </xf>
    <xf numFmtId="49" fontId="2" fillId="3" borderId="28" xfId="0" applyNumberFormat="1" applyFont="1" applyFill="1" applyBorder="1" applyAlignment="1">
      <alignment horizontal="center" vertical="top" wrapText="1"/>
    </xf>
    <xf numFmtId="3" fontId="2" fillId="4" borderId="28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4" borderId="46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165" fontId="3" fillId="4" borderId="0" xfId="0" applyNumberFormat="1" applyFont="1" applyFill="1" applyBorder="1" applyAlignment="1">
      <alignment horizontal="center" vertical="top" wrapText="1"/>
    </xf>
    <xf numFmtId="49" fontId="8" fillId="3" borderId="18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 wrapText="1"/>
    </xf>
    <xf numFmtId="49" fontId="8" fillId="3" borderId="56" xfId="0" applyNumberFormat="1" applyFont="1" applyFill="1" applyBorder="1" applyAlignment="1">
      <alignment horizontal="center" vertical="top" wrapText="1"/>
    </xf>
    <xf numFmtId="3" fontId="11" fillId="4" borderId="56" xfId="0" applyNumberFormat="1" applyFont="1" applyFill="1" applyBorder="1" applyAlignment="1">
      <alignment vertical="top" wrapText="1"/>
    </xf>
    <xf numFmtId="49" fontId="8" fillId="3" borderId="51" xfId="0" applyNumberFormat="1" applyFont="1" applyFill="1" applyBorder="1" applyAlignment="1">
      <alignment horizontal="center" vertical="top" wrapText="1"/>
    </xf>
    <xf numFmtId="49" fontId="11" fillId="3" borderId="51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49" fontId="2" fillId="4" borderId="26" xfId="2" applyNumberFormat="1" applyFont="1" applyFill="1" applyBorder="1" applyAlignment="1">
      <alignment horizontal="center" vertical="top"/>
    </xf>
    <xf numFmtId="49" fontId="2" fillId="4" borderId="32" xfId="2" applyNumberFormat="1" applyFont="1" applyFill="1" applyBorder="1" applyAlignment="1">
      <alignment horizontal="center" vertical="top"/>
    </xf>
    <xf numFmtId="49" fontId="2" fillId="4" borderId="0" xfId="2" applyNumberFormat="1" applyFont="1" applyFill="1" applyBorder="1" applyAlignment="1">
      <alignment horizontal="center" vertical="top"/>
    </xf>
    <xf numFmtId="3" fontId="3" fillId="5" borderId="26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vertical="top" wrapText="1"/>
    </xf>
    <xf numFmtId="49" fontId="3" fillId="5" borderId="26" xfId="2" applyNumberFormat="1" applyFont="1" applyFill="1" applyBorder="1" applyAlignment="1">
      <alignment horizontal="right" vertical="top"/>
    </xf>
    <xf numFmtId="3" fontId="2" fillId="4" borderId="17" xfId="0" applyNumberFormat="1" applyFont="1" applyFill="1" applyBorder="1" applyAlignment="1">
      <alignment vertical="top" wrapText="1"/>
    </xf>
    <xf numFmtId="3" fontId="2" fillId="4" borderId="56" xfId="0" applyNumberFormat="1" applyFont="1" applyFill="1" applyBorder="1" applyAlignment="1">
      <alignment horizontal="left" vertical="top" wrapText="1"/>
    </xf>
    <xf numFmtId="3" fontId="2" fillId="3" borderId="42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horizontal="left" vertical="top" wrapText="1"/>
    </xf>
    <xf numFmtId="3" fontId="8" fillId="4" borderId="49" xfId="0" applyNumberFormat="1" applyFont="1" applyFill="1" applyBorder="1" applyAlignment="1">
      <alignment horizontal="center" vertical="top" wrapText="1"/>
    </xf>
    <xf numFmtId="49" fontId="2" fillId="4" borderId="49" xfId="2" applyNumberFormat="1" applyFont="1" applyFill="1" applyBorder="1" applyAlignment="1">
      <alignment horizontal="center" vertical="top"/>
    </xf>
    <xf numFmtId="3" fontId="2" fillId="0" borderId="59" xfId="0" applyNumberFormat="1" applyFont="1" applyBorder="1" applyAlignment="1">
      <alignment horizontal="center" vertical="center" textRotation="90" wrapText="1"/>
    </xf>
    <xf numFmtId="3" fontId="2" fillId="4" borderId="61" xfId="0" applyNumberFormat="1" applyFont="1" applyFill="1" applyBorder="1" applyAlignment="1">
      <alignment horizontal="center" vertical="top" wrapText="1"/>
    </xf>
    <xf numFmtId="3" fontId="2" fillId="4" borderId="7" xfId="0" applyNumberFormat="1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vertical="top" wrapText="1"/>
    </xf>
    <xf numFmtId="3" fontId="2" fillId="4" borderId="55" xfId="0" applyNumberFormat="1" applyFont="1" applyFill="1" applyBorder="1" applyAlignment="1">
      <alignment vertical="top" wrapText="1"/>
    </xf>
    <xf numFmtId="3" fontId="2" fillId="4" borderId="48" xfId="0" applyNumberFormat="1" applyFont="1" applyFill="1" applyBorder="1" applyAlignment="1">
      <alignment vertical="top" wrapText="1"/>
    </xf>
    <xf numFmtId="0" fontId="2" fillId="4" borderId="48" xfId="0" applyFont="1" applyFill="1" applyBorder="1" applyAlignment="1">
      <alignment vertical="top" wrapText="1"/>
    </xf>
    <xf numFmtId="49" fontId="3" fillId="3" borderId="13" xfId="0" applyNumberFormat="1" applyFont="1" applyFill="1" applyBorder="1" applyAlignment="1">
      <alignment horizontal="center" vertical="top" wrapText="1"/>
    </xf>
    <xf numFmtId="3" fontId="2" fillId="4" borderId="52" xfId="0" applyNumberFormat="1" applyFont="1" applyFill="1" applyBorder="1" applyAlignment="1">
      <alignment horizontal="center" vertical="top" wrapText="1"/>
    </xf>
    <xf numFmtId="168" fontId="2" fillId="9" borderId="17" xfId="2" applyNumberFormat="1" applyFont="1" applyFill="1" applyBorder="1" applyAlignment="1">
      <alignment vertical="top" wrapText="1"/>
    </xf>
    <xf numFmtId="3" fontId="2" fillId="4" borderId="17" xfId="0" applyNumberFormat="1" applyFont="1" applyFill="1" applyBorder="1" applyAlignment="1">
      <alignment horizontal="center" vertical="top" wrapText="1"/>
    </xf>
    <xf numFmtId="167" fontId="2" fillId="9" borderId="17" xfId="2" applyNumberFormat="1" applyFont="1" applyFill="1" applyBorder="1" applyAlignment="1">
      <alignment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3" fontId="2" fillId="4" borderId="59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 vertical="center" textRotation="90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59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 wrapText="1"/>
    </xf>
    <xf numFmtId="3" fontId="2" fillId="4" borderId="4" xfId="0" applyNumberFormat="1" applyFont="1" applyFill="1" applyBorder="1" applyAlignment="1">
      <alignment horizontal="center" vertical="top" wrapText="1"/>
    </xf>
    <xf numFmtId="3" fontId="2" fillId="4" borderId="56" xfId="0" applyNumberFormat="1" applyFont="1" applyFill="1" applyBorder="1" applyAlignment="1">
      <alignment horizontal="center" vertical="top" wrapText="1"/>
    </xf>
    <xf numFmtId="3" fontId="2" fillId="4" borderId="25" xfId="0" applyNumberFormat="1" applyFont="1" applyFill="1" applyBorder="1" applyAlignment="1">
      <alignment horizontal="center" vertical="top" wrapText="1"/>
    </xf>
    <xf numFmtId="3" fontId="2" fillId="4" borderId="37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vertical="top" wrapText="1"/>
    </xf>
    <xf numFmtId="3" fontId="2" fillId="4" borderId="26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center" vertical="top"/>
    </xf>
    <xf numFmtId="164" fontId="2" fillId="4" borderId="16" xfId="0" applyNumberFormat="1" applyFont="1" applyFill="1" applyBorder="1" applyAlignment="1">
      <alignment horizontal="center" vertical="top"/>
    </xf>
    <xf numFmtId="164" fontId="2" fillId="4" borderId="52" xfId="0" applyNumberFormat="1" applyFont="1" applyFill="1" applyBorder="1" applyAlignment="1">
      <alignment horizontal="center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23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27" xfId="0" applyNumberFormat="1" applyFont="1" applyFill="1" applyBorder="1" applyAlignment="1">
      <alignment horizontal="center" vertical="top"/>
    </xf>
    <xf numFmtId="164" fontId="2" fillId="4" borderId="56" xfId="0" applyNumberFormat="1" applyFont="1" applyFill="1" applyBorder="1" applyAlignment="1">
      <alignment horizontal="center" vertical="top"/>
    </xf>
    <xf numFmtId="164" fontId="2" fillId="4" borderId="56" xfId="0" applyNumberFormat="1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8" xfId="0" applyNumberFormat="1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center" vertical="top"/>
    </xf>
    <xf numFmtId="164" fontId="2" fillId="4" borderId="51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2" fillId="0" borderId="56" xfId="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 wrapText="1"/>
    </xf>
    <xf numFmtId="164" fontId="3" fillId="5" borderId="43" xfId="0" applyNumberFormat="1" applyFont="1" applyFill="1" applyBorder="1" applyAlignment="1">
      <alignment horizontal="center" vertical="top" wrapText="1"/>
    </xf>
    <xf numFmtId="164" fontId="2" fillId="3" borderId="13" xfId="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center" textRotation="90" wrapText="1"/>
    </xf>
    <xf numFmtId="164" fontId="2" fillId="5" borderId="55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Border="1" applyAlignment="1">
      <alignment horizontal="center" vertical="top" wrapText="1"/>
    </xf>
    <xf numFmtId="164" fontId="2" fillId="0" borderId="55" xfId="0" applyNumberFormat="1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center" textRotation="90" wrapText="1"/>
    </xf>
    <xf numFmtId="164" fontId="2" fillId="0" borderId="25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center" textRotation="90" wrapText="1"/>
    </xf>
    <xf numFmtId="164" fontId="2" fillId="5" borderId="56" xfId="0" applyNumberFormat="1" applyFont="1" applyFill="1" applyBorder="1" applyAlignment="1">
      <alignment horizontal="center" vertical="top" wrapText="1"/>
    </xf>
    <xf numFmtId="164" fontId="2" fillId="0" borderId="37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horizontal="center" vertical="top"/>
    </xf>
    <xf numFmtId="3" fontId="2" fillId="4" borderId="7" xfId="0" applyNumberFormat="1" applyFont="1" applyFill="1" applyBorder="1" applyAlignment="1">
      <alignment horizontal="center" vertical="top"/>
    </xf>
    <xf numFmtId="3" fontId="2" fillId="4" borderId="25" xfId="0" applyNumberFormat="1" applyFont="1" applyFill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/>
    </xf>
    <xf numFmtId="3" fontId="2" fillId="4" borderId="56" xfId="0" applyNumberFormat="1" applyFont="1" applyFill="1" applyBorder="1" applyAlignment="1">
      <alignment horizontal="center" vertical="top"/>
    </xf>
    <xf numFmtId="167" fontId="2" fillId="9" borderId="27" xfId="2" applyNumberFormat="1" applyFont="1" applyFill="1" applyBorder="1" applyAlignment="1">
      <alignment horizontal="center" vertical="top" wrapText="1"/>
    </xf>
    <xf numFmtId="167" fontId="2" fillId="9" borderId="7" xfId="2" applyNumberFormat="1" applyFont="1" applyFill="1" applyBorder="1" applyAlignment="1">
      <alignment horizontal="center" vertical="top" wrapText="1"/>
    </xf>
    <xf numFmtId="167" fontId="2" fillId="9" borderId="27" xfId="2" applyNumberFormat="1" applyFont="1" applyFill="1" applyBorder="1" applyAlignment="1">
      <alignment horizontal="center" vertical="top"/>
    </xf>
    <xf numFmtId="167" fontId="2" fillId="9" borderId="7" xfId="2" applyNumberFormat="1" applyFont="1" applyFill="1" applyBorder="1" applyAlignment="1">
      <alignment horizontal="center" vertical="top"/>
    </xf>
    <xf numFmtId="0" fontId="2" fillId="4" borderId="27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3" fontId="2" fillId="3" borderId="27" xfId="0" applyNumberFormat="1" applyFont="1" applyFill="1" applyBorder="1" applyAlignment="1">
      <alignment horizontal="center" vertical="top" wrapText="1"/>
    </xf>
    <xf numFmtId="167" fontId="2" fillId="9" borderId="70" xfId="2" applyNumberFormat="1" applyFont="1" applyFill="1" applyBorder="1" applyAlignment="1">
      <alignment horizontal="center" vertical="top"/>
    </xf>
    <xf numFmtId="3" fontId="2" fillId="4" borderId="28" xfId="0" applyNumberFormat="1" applyFont="1" applyFill="1" applyBorder="1" applyAlignment="1">
      <alignment horizontal="center" vertical="top" wrapText="1"/>
    </xf>
    <xf numFmtId="167" fontId="2" fillId="9" borderId="51" xfId="2" applyNumberFormat="1" applyFont="1" applyFill="1" applyBorder="1" applyAlignment="1">
      <alignment horizontal="center" vertical="top" wrapText="1"/>
    </xf>
    <xf numFmtId="167" fontId="2" fillId="9" borderId="18" xfId="2" applyNumberFormat="1" applyFont="1" applyFill="1" applyBorder="1" applyAlignment="1">
      <alignment horizontal="center" vertical="top" wrapText="1"/>
    </xf>
    <xf numFmtId="167" fontId="2" fillId="9" borderId="18" xfId="2" applyNumberFormat="1" applyFont="1" applyFill="1" applyBorder="1" applyAlignment="1">
      <alignment horizontal="center" vertical="top"/>
    </xf>
    <xf numFmtId="167" fontId="2" fillId="9" borderId="71" xfId="2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 wrapText="1"/>
    </xf>
    <xf numFmtId="3" fontId="2" fillId="4" borderId="43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vertical="top" wrapText="1"/>
    </xf>
    <xf numFmtId="3" fontId="2" fillId="4" borderId="66" xfId="0" applyNumberFormat="1" applyFont="1" applyFill="1" applyBorder="1" applyAlignment="1">
      <alignment horizontal="center" vertical="top" wrapText="1"/>
    </xf>
    <xf numFmtId="3" fontId="2" fillId="0" borderId="52" xfId="0" applyNumberFormat="1" applyFont="1" applyBorder="1" applyAlignment="1">
      <alignment horizontal="center" vertical="top" wrapText="1"/>
    </xf>
    <xf numFmtId="164" fontId="2" fillId="0" borderId="51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top" wrapText="1"/>
    </xf>
    <xf numFmtId="3" fontId="2" fillId="3" borderId="7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vertical="top" wrapText="1"/>
    </xf>
    <xf numFmtId="49" fontId="2" fillId="3" borderId="51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center" vertical="top" textRotation="90" wrapText="1"/>
    </xf>
    <xf numFmtId="49" fontId="2" fillId="3" borderId="0" xfId="0" applyNumberFormat="1" applyFont="1" applyFill="1" applyBorder="1" applyAlignment="1">
      <alignment horizontal="center" vertical="top" wrapText="1"/>
    </xf>
    <xf numFmtId="49" fontId="2" fillId="3" borderId="74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164" fontId="2" fillId="4" borderId="27" xfId="0" applyNumberFormat="1" applyFont="1" applyFill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top" wrapText="1"/>
    </xf>
    <xf numFmtId="3" fontId="2" fillId="4" borderId="49" xfId="0" applyNumberFormat="1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4" fontId="2" fillId="4" borderId="56" xfId="0" applyNumberFormat="1" applyFont="1" applyFill="1" applyBorder="1" applyAlignment="1">
      <alignment horizontal="center" vertical="top" wrapText="1"/>
    </xf>
    <xf numFmtId="3" fontId="2" fillId="4" borderId="62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3" fontId="2" fillId="4" borderId="4" xfId="0" applyNumberFormat="1" applyFont="1" applyFill="1" applyBorder="1" applyAlignment="1">
      <alignment horizontal="left" vertical="top" wrapText="1"/>
    </xf>
    <xf numFmtId="3" fontId="2" fillId="4" borderId="50" xfId="0" applyNumberFormat="1" applyFont="1" applyFill="1" applyBorder="1" applyAlignment="1">
      <alignment vertical="top" wrapText="1"/>
    </xf>
    <xf numFmtId="3" fontId="13" fillId="4" borderId="0" xfId="0" applyNumberFormat="1" applyFont="1" applyFill="1" applyBorder="1" applyAlignment="1">
      <alignment horizontal="center" vertical="top" wrapText="1"/>
    </xf>
    <xf numFmtId="3" fontId="13" fillId="4" borderId="0" xfId="0" applyNumberFormat="1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Alignment="1">
      <alignment horizontal="center" vertical="top" textRotation="180" wrapText="1"/>
    </xf>
    <xf numFmtId="164" fontId="2" fillId="4" borderId="62" xfId="0" applyNumberFormat="1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center" vertical="top" wrapText="1"/>
    </xf>
    <xf numFmtId="3" fontId="13" fillId="4" borderId="0" xfId="0" applyNumberFormat="1" applyFont="1" applyFill="1" applyBorder="1" applyAlignment="1">
      <alignment horizontal="center" vertical="top" textRotation="90" wrapText="1"/>
    </xf>
    <xf numFmtId="3" fontId="2" fillId="4" borderId="25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textRotation="90" wrapText="1"/>
    </xf>
    <xf numFmtId="3" fontId="2" fillId="4" borderId="73" xfId="0" applyNumberFormat="1" applyFont="1" applyFill="1" applyBorder="1" applyAlignment="1">
      <alignment horizontal="center" vertical="top" wrapText="1"/>
    </xf>
    <xf numFmtId="3" fontId="2" fillId="4" borderId="67" xfId="0" applyNumberFormat="1" applyFont="1" applyFill="1" applyBorder="1" applyAlignment="1">
      <alignment vertical="top" wrapText="1"/>
    </xf>
    <xf numFmtId="3" fontId="2" fillId="4" borderId="75" xfId="0" applyNumberFormat="1" applyFont="1" applyFill="1" applyBorder="1" applyAlignment="1">
      <alignment horizontal="center" vertical="top" wrapText="1"/>
    </xf>
    <xf numFmtId="3" fontId="2" fillId="4" borderId="72" xfId="0" applyNumberFormat="1" applyFont="1" applyFill="1" applyBorder="1" applyAlignment="1">
      <alignment horizontal="center" vertical="top" wrapText="1"/>
    </xf>
    <xf numFmtId="4" fontId="2" fillId="4" borderId="66" xfId="0" applyNumberFormat="1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vertical="top" wrapText="1"/>
    </xf>
    <xf numFmtId="49" fontId="2" fillId="4" borderId="52" xfId="2" applyNumberFormat="1" applyFont="1" applyFill="1" applyBorder="1" applyAlignment="1">
      <alignment horizontal="center" vertical="top"/>
    </xf>
    <xf numFmtId="167" fontId="2" fillId="9" borderId="79" xfId="2" applyNumberFormat="1" applyFont="1" applyFill="1" applyBorder="1" applyAlignment="1">
      <alignment horizontal="center" vertical="center"/>
    </xf>
    <xf numFmtId="167" fontId="2" fillId="9" borderId="78" xfId="2" applyNumberFormat="1" applyFont="1" applyFill="1" applyBorder="1" applyAlignment="1">
      <alignment horizontal="center" vertical="center"/>
    </xf>
    <xf numFmtId="3" fontId="13" fillId="4" borderId="51" xfId="0" applyNumberFormat="1" applyFont="1" applyFill="1" applyBorder="1" applyAlignment="1">
      <alignment vertical="top" wrapText="1"/>
    </xf>
    <xf numFmtId="49" fontId="2" fillId="13" borderId="32" xfId="2" applyNumberFormat="1" applyFont="1" applyFill="1" applyBorder="1" applyAlignment="1">
      <alignment horizontal="center" vertical="top" wrapText="1"/>
    </xf>
    <xf numFmtId="168" fontId="2" fillId="9" borderId="52" xfId="2" applyNumberFormat="1" applyFont="1" applyFill="1" applyBorder="1" applyAlignment="1">
      <alignment vertical="top" wrapText="1"/>
    </xf>
    <xf numFmtId="167" fontId="2" fillId="9" borderId="51" xfId="2" applyNumberFormat="1" applyFont="1" applyFill="1" applyBorder="1" applyAlignment="1">
      <alignment horizontal="center" vertical="top"/>
    </xf>
    <xf numFmtId="3" fontId="13" fillId="4" borderId="18" xfId="0" applyNumberFormat="1" applyFont="1" applyFill="1" applyBorder="1" applyAlignment="1">
      <alignment vertical="top" wrapText="1"/>
    </xf>
    <xf numFmtId="164" fontId="2" fillId="0" borderId="51" xfId="0" applyNumberFormat="1" applyFont="1" applyFill="1" applyBorder="1" applyAlignment="1">
      <alignment horizontal="center" vertical="top"/>
    </xf>
    <xf numFmtId="3" fontId="2" fillId="0" borderId="56" xfId="0" applyNumberFormat="1" applyFont="1" applyFill="1" applyBorder="1" applyAlignment="1">
      <alignment horizontal="center" vertical="top" wrapText="1"/>
    </xf>
    <xf numFmtId="167" fontId="2" fillId="9" borderId="76" xfId="2" applyNumberFormat="1" applyFont="1" applyFill="1" applyBorder="1" applyAlignment="1">
      <alignment horizontal="center" vertical="center"/>
    </xf>
    <xf numFmtId="3" fontId="13" fillId="4" borderId="67" xfId="0" applyNumberFormat="1" applyFont="1" applyFill="1" applyBorder="1" applyAlignment="1">
      <alignment vertical="top" wrapText="1"/>
    </xf>
    <xf numFmtId="167" fontId="2" fillId="9" borderId="80" xfId="2" applyNumberFormat="1" applyFont="1" applyFill="1" applyBorder="1" applyAlignment="1">
      <alignment horizontal="center" vertical="center"/>
    </xf>
    <xf numFmtId="3" fontId="13" fillId="4" borderId="29" xfId="0" applyNumberFormat="1" applyFont="1" applyFill="1" applyBorder="1" applyAlignment="1">
      <alignment vertical="top" wrapText="1"/>
    </xf>
    <xf numFmtId="3" fontId="13" fillId="4" borderId="21" xfId="0" applyNumberFormat="1" applyFont="1" applyFill="1" applyBorder="1" applyAlignment="1">
      <alignment vertical="top" wrapText="1"/>
    </xf>
    <xf numFmtId="0" fontId="2" fillId="4" borderId="56" xfId="0" applyFont="1" applyFill="1" applyBorder="1" applyAlignment="1">
      <alignment horizontal="left" vertical="top" wrapText="1"/>
    </xf>
    <xf numFmtId="0" fontId="2" fillId="4" borderId="51" xfId="0" applyFont="1" applyFill="1" applyBorder="1" applyAlignment="1">
      <alignment vertical="top" wrapText="1"/>
    </xf>
    <xf numFmtId="49" fontId="2" fillId="4" borderId="26" xfId="2" applyNumberFormat="1" applyFont="1" applyFill="1" applyBorder="1" applyAlignment="1">
      <alignment horizontal="center" vertical="top" wrapText="1"/>
    </xf>
    <xf numFmtId="3" fontId="13" fillId="0" borderId="30" xfId="0" applyNumberFormat="1" applyFont="1" applyFill="1" applyBorder="1" applyAlignment="1">
      <alignment horizontal="center" vertical="top" textRotation="90" wrapText="1"/>
    </xf>
    <xf numFmtId="3" fontId="2" fillId="0" borderId="51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3" fontId="2" fillId="0" borderId="51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3" fontId="2" fillId="4" borderId="37" xfId="0" applyNumberFormat="1" applyFont="1" applyFill="1" applyBorder="1" applyAlignment="1">
      <alignment horizontal="center" vertical="top"/>
    </xf>
    <xf numFmtId="3" fontId="2" fillId="4" borderId="15" xfId="0" applyNumberFormat="1" applyFont="1" applyFill="1" applyBorder="1" applyAlignment="1">
      <alignment horizontal="center" vertical="top"/>
    </xf>
    <xf numFmtId="0" fontId="2" fillId="0" borderId="56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3" fontId="2" fillId="0" borderId="56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3" fontId="2" fillId="4" borderId="13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3" fontId="2" fillId="4" borderId="59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3" fontId="2" fillId="4" borderId="69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horizontal="center" vertical="top" wrapText="1"/>
    </xf>
    <xf numFmtId="3" fontId="12" fillId="0" borderId="38" xfId="0" applyNumberFormat="1" applyFont="1" applyBorder="1" applyAlignment="1">
      <alignment horizontal="right" wrapText="1"/>
    </xf>
    <xf numFmtId="49" fontId="3" fillId="8" borderId="17" xfId="0" applyNumberFormat="1" applyFont="1" applyFill="1" applyBorder="1" applyAlignment="1">
      <alignment vertical="top" wrapText="1"/>
    </xf>
    <xf numFmtId="49" fontId="3" fillId="8" borderId="41" xfId="0" applyNumberFormat="1" applyFont="1" applyFill="1" applyBorder="1" applyAlignment="1">
      <alignment horizontal="center" vertical="top" wrapText="1"/>
    </xf>
    <xf numFmtId="49" fontId="3" fillId="2" borderId="40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3" borderId="54" xfId="0" applyNumberFormat="1" applyFont="1" applyFill="1" applyBorder="1" applyAlignment="1">
      <alignment horizontal="center" vertical="top" wrapText="1"/>
    </xf>
    <xf numFmtId="3" fontId="13" fillId="4" borderId="54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vertical="top" wrapText="1"/>
    </xf>
    <xf numFmtId="3" fontId="13" fillId="4" borderId="26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left" vertical="top" wrapText="1"/>
    </xf>
    <xf numFmtId="49" fontId="3" fillId="8" borderId="36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 wrapText="1"/>
    </xf>
    <xf numFmtId="49" fontId="3" fillId="8" borderId="17" xfId="0" applyNumberFormat="1" applyFont="1" applyFill="1" applyBorder="1" applyAlignment="1">
      <alignment horizontal="center" vertical="top" wrapText="1"/>
    </xf>
    <xf numFmtId="3" fontId="8" fillId="4" borderId="37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wrapText="1"/>
    </xf>
    <xf numFmtId="49" fontId="3" fillId="8" borderId="36" xfId="0" applyNumberFormat="1" applyFont="1" applyFill="1" applyBorder="1" applyAlignment="1">
      <alignment vertical="top" wrapText="1"/>
    </xf>
    <xf numFmtId="3" fontId="12" fillId="4" borderId="30" xfId="0" applyNumberFormat="1" applyFont="1" applyFill="1" applyBorder="1" applyAlignment="1">
      <alignment horizontal="center" vertical="top" wrapText="1"/>
    </xf>
    <xf numFmtId="3" fontId="13" fillId="4" borderId="54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vertical="top" wrapText="1"/>
    </xf>
    <xf numFmtId="3" fontId="13" fillId="4" borderId="58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center" vertical="top" textRotation="90" wrapText="1"/>
    </xf>
    <xf numFmtId="164" fontId="2" fillId="4" borderId="5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2" fillId="4" borderId="6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49" fontId="3" fillId="8" borderId="48" xfId="0" applyNumberFormat="1" applyFont="1" applyFill="1" applyBorder="1" applyAlignment="1">
      <alignment vertical="top" wrapText="1"/>
    </xf>
    <xf numFmtId="49" fontId="3" fillId="2" borderId="19" xfId="0" applyNumberFormat="1" applyFont="1" applyFill="1" applyBorder="1" applyAlignment="1">
      <alignment vertical="top" wrapText="1"/>
    </xf>
    <xf numFmtId="49" fontId="3" fillId="3" borderId="58" xfId="0" applyNumberFormat="1" applyFont="1" applyFill="1" applyBorder="1" applyAlignment="1">
      <alignment vertical="top" wrapText="1"/>
    </xf>
    <xf numFmtId="0" fontId="2" fillId="4" borderId="59" xfId="0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3" fontId="13" fillId="4" borderId="64" xfId="0" applyNumberFormat="1" applyFont="1" applyFill="1" applyBorder="1" applyAlignment="1">
      <alignment horizontal="center" vertical="top" textRotation="90" wrapText="1"/>
    </xf>
    <xf numFmtId="3" fontId="2" fillId="4" borderId="3" xfId="0" applyNumberFormat="1" applyFont="1" applyFill="1" applyBorder="1" applyAlignment="1">
      <alignment vertical="top" wrapText="1"/>
    </xf>
    <xf numFmtId="3" fontId="13" fillId="4" borderId="57" xfId="0" applyNumberFormat="1" applyFont="1" applyFill="1" applyBorder="1" applyAlignment="1">
      <alignment horizontal="center" vertical="top" textRotation="90" wrapText="1"/>
    </xf>
    <xf numFmtId="3" fontId="2" fillId="4" borderId="32" xfId="0" applyNumberFormat="1" applyFont="1" applyFill="1" applyBorder="1" applyAlignment="1">
      <alignment vertical="top" wrapText="1"/>
    </xf>
    <xf numFmtId="3" fontId="13" fillId="4" borderId="51" xfId="0" applyNumberFormat="1" applyFont="1" applyFill="1" applyBorder="1" applyAlignment="1">
      <alignment horizontal="center" vertical="top" textRotation="90" wrapText="1"/>
    </xf>
    <xf numFmtId="3" fontId="2" fillId="0" borderId="25" xfId="0" applyNumberFormat="1" applyFont="1" applyFill="1" applyBorder="1" applyAlignment="1">
      <alignment horizontal="center" vertical="top" wrapText="1"/>
    </xf>
    <xf numFmtId="49" fontId="3" fillId="8" borderId="4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3" borderId="58" xfId="0" applyNumberFormat="1" applyFont="1" applyFill="1" applyBorder="1" applyAlignment="1">
      <alignment horizontal="center" vertical="top" wrapText="1"/>
    </xf>
    <xf numFmtId="3" fontId="13" fillId="4" borderId="63" xfId="0" applyNumberFormat="1" applyFont="1" applyFill="1" applyBorder="1" applyAlignment="1">
      <alignment horizontal="center" vertical="top" textRotation="90" wrapText="1"/>
    </xf>
    <xf numFmtId="3" fontId="3" fillId="5" borderId="39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13" fillId="0" borderId="64" xfId="0" applyNumberFormat="1" applyFont="1" applyFill="1" applyBorder="1" applyAlignment="1">
      <alignment horizontal="center" vertical="top" textRotation="90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13" fillId="0" borderId="63" xfId="0" applyNumberFormat="1" applyFont="1" applyFill="1" applyBorder="1" applyAlignment="1">
      <alignment horizontal="center" vertical="top" textRotation="90" wrapText="1"/>
    </xf>
    <xf numFmtId="49" fontId="3" fillId="8" borderId="12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2" borderId="60" xfId="0" applyNumberFormat="1" applyFont="1" applyFill="1" applyBorder="1" applyAlignment="1">
      <alignment horizontal="center"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164" fontId="3" fillId="8" borderId="11" xfId="0" applyNumberFormat="1" applyFont="1" applyFill="1" applyBorder="1" applyAlignment="1">
      <alignment horizontal="center" vertical="top" wrapText="1"/>
    </xf>
    <xf numFmtId="164" fontId="3" fillId="8" borderId="60" xfId="0" applyNumberFormat="1" applyFont="1" applyFill="1" applyBorder="1" applyAlignment="1">
      <alignment horizontal="center" vertical="top" wrapText="1"/>
    </xf>
    <xf numFmtId="3" fontId="3" fillId="8" borderId="46" xfId="0" applyNumberFormat="1" applyFont="1" applyFill="1" applyBorder="1" applyAlignment="1">
      <alignment horizontal="center" vertical="top" wrapText="1"/>
    </xf>
    <xf numFmtId="3" fontId="3" fillId="8" borderId="60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49" fontId="11" fillId="8" borderId="17" xfId="0" applyNumberFormat="1" applyFont="1" applyFill="1" applyBorder="1" applyAlignment="1">
      <alignment horizontal="center" vertical="top" wrapText="1"/>
    </xf>
    <xf numFmtId="49" fontId="11" fillId="2" borderId="18" xfId="0" applyNumberFormat="1" applyFont="1" applyFill="1" applyBorder="1" applyAlignment="1">
      <alignment horizontal="center" vertical="top" wrapText="1"/>
    </xf>
    <xf numFmtId="49" fontId="11" fillId="3" borderId="30" xfId="0" applyNumberFormat="1" applyFont="1" applyFill="1" applyBorder="1" applyAlignment="1">
      <alignment horizontal="center" vertical="top" wrapText="1"/>
    </xf>
    <xf numFmtId="3" fontId="14" fillId="4" borderId="0" xfId="0" applyNumberFormat="1" applyFont="1" applyFill="1" applyBorder="1" applyAlignment="1">
      <alignment horizontal="center" vertical="top" wrapText="1"/>
    </xf>
    <xf numFmtId="49" fontId="3" fillId="4" borderId="30" xfId="0" applyNumberFormat="1" applyFont="1" applyFill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2" fillId="4" borderId="52" xfId="0" applyFont="1" applyFill="1" applyBorder="1" applyAlignment="1">
      <alignment horizontal="center" vertical="top" wrapText="1"/>
    </xf>
    <xf numFmtId="3" fontId="2" fillId="4" borderId="29" xfId="0" applyNumberFormat="1" applyFont="1" applyFill="1" applyBorder="1" applyAlignment="1">
      <alignment horizontal="center" vertical="top"/>
    </xf>
    <xf numFmtId="49" fontId="2" fillId="4" borderId="32" xfId="2" applyNumberFormat="1" applyFont="1" applyFill="1" applyBorder="1" applyAlignment="1">
      <alignment horizontal="center" vertical="top" wrapText="1"/>
    </xf>
    <xf numFmtId="167" fontId="2" fillId="9" borderId="68" xfId="2" applyNumberFormat="1" applyFont="1" applyFill="1" applyBorder="1" applyAlignment="1">
      <alignment vertical="top" wrapText="1"/>
    </xf>
    <xf numFmtId="164" fontId="3" fillId="5" borderId="52" xfId="0" applyNumberFormat="1" applyFont="1" applyFill="1" applyBorder="1" applyAlignment="1">
      <alignment horizontal="center" vertical="top" wrapText="1"/>
    </xf>
    <xf numFmtId="164" fontId="3" fillId="5" borderId="51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3" fontId="3" fillId="2" borderId="12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3" fontId="13" fillId="0" borderId="54" xfId="0" applyNumberFormat="1" applyFont="1" applyFill="1" applyBorder="1" applyAlignment="1">
      <alignment horizontal="center" vertical="top" textRotation="90" wrapText="1"/>
    </xf>
    <xf numFmtId="49" fontId="3" fillId="3" borderId="30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54" xfId="0" applyNumberFormat="1" applyFont="1" applyFill="1" applyBorder="1" applyAlignment="1">
      <alignment vertical="top"/>
    </xf>
    <xf numFmtId="3" fontId="3" fillId="4" borderId="54" xfId="0" applyNumberFormat="1" applyFont="1" applyFill="1" applyBorder="1" applyAlignment="1">
      <alignment horizontal="left" vertical="top" wrapText="1"/>
    </xf>
    <xf numFmtId="3" fontId="13" fillId="4" borderId="34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vertical="top"/>
    </xf>
    <xf numFmtId="164" fontId="2" fillId="0" borderId="27" xfId="0" applyNumberFormat="1" applyFont="1" applyFill="1" applyBorder="1" applyAlignment="1">
      <alignment horizontal="center" vertical="top"/>
    </xf>
    <xf numFmtId="3" fontId="2" fillId="0" borderId="55" xfId="0" applyNumberFormat="1" applyFont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center" vertical="top" wrapText="1"/>
    </xf>
    <xf numFmtId="3" fontId="13" fillId="4" borderId="7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58" xfId="0" applyNumberFormat="1" applyFont="1" applyFill="1" applyBorder="1" applyAlignment="1">
      <alignment vertical="top"/>
    </xf>
    <xf numFmtId="3" fontId="13" fillId="4" borderId="59" xfId="0" applyNumberFormat="1" applyFont="1" applyFill="1" applyBorder="1" applyAlignment="1">
      <alignment horizontal="center" vertical="top" wrapText="1"/>
    </xf>
    <xf numFmtId="164" fontId="3" fillId="2" borderId="48" xfId="0" applyNumberFormat="1" applyFont="1" applyFill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center" vertical="top" wrapText="1"/>
    </xf>
    <xf numFmtId="164" fontId="3" fillId="2" borderId="38" xfId="0" applyNumberFormat="1" applyFont="1" applyFill="1" applyBorder="1" applyAlignment="1">
      <alignment horizontal="center" vertical="top" wrapText="1"/>
    </xf>
    <xf numFmtId="3" fontId="3" fillId="2" borderId="48" xfId="0" applyNumberFormat="1" applyFont="1" applyFill="1" applyBorder="1" applyAlignment="1">
      <alignment horizontal="center" vertical="top" wrapText="1"/>
    </xf>
    <xf numFmtId="3" fontId="3" fillId="2" borderId="3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3" fontId="12" fillId="4" borderId="18" xfId="0" applyNumberFormat="1" applyFont="1" applyFill="1" applyBorder="1" applyAlignment="1">
      <alignment horizontal="center" vertical="top" wrapText="1"/>
    </xf>
    <xf numFmtId="3" fontId="12" fillId="4" borderId="37" xfId="0" applyNumberFormat="1" applyFont="1" applyFill="1" applyBorder="1" applyAlignment="1">
      <alignment horizontal="center" vertical="top" wrapText="1"/>
    </xf>
    <xf numFmtId="3" fontId="13" fillId="4" borderId="56" xfId="0" applyNumberFormat="1" applyFont="1" applyFill="1" applyBorder="1" applyAlignment="1">
      <alignment horizontal="center" vertical="center" textRotation="90" wrapText="1"/>
    </xf>
    <xf numFmtId="3" fontId="2" fillId="0" borderId="51" xfId="0" applyNumberFormat="1" applyFont="1" applyFill="1" applyBorder="1" applyAlignment="1">
      <alignment vertical="top" wrapText="1"/>
    </xf>
    <xf numFmtId="3" fontId="13" fillId="4" borderId="18" xfId="0" applyNumberFormat="1" applyFont="1" applyFill="1" applyBorder="1" applyAlignment="1">
      <alignment horizontal="center" vertical="center" textRotation="90" wrapText="1"/>
    </xf>
    <xf numFmtId="49" fontId="3" fillId="3" borderId="19" xfId="0" applyNumberFormat="1" applyFont="1" applyFill="1" applyBorder="1" applyAlignment="1">
      <alignment vertical="top"/>
    </xf>
    <xf numFmtId="49" fontId="3" fillId="3" borderId="19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horizontal="center" vertical="top" textRotation="90" wrapText="1"/>
    </xf>
    <xf numFmtId="3" fontId="13" fillId="0" borderId="26" xfId="0" applyNumberFormat="1" applyFont="1" applyFill="1" applyBorder="1" applyAlignment="1">
      <alignment horizontal="center" vertical="top" textRotation="180" wrapText="1"/>
    </xf>
    <xf numFmtId="3" fontId="13" fillId="0" borderId="0" xfId="0" applyNumberFormat="1" applyFont="1" applyFill="1" applyBorder="1" applyAlignment="1">
      <alignment horizontal="center" vertical="top" textRotation="180" wrapText="1"/>
    </xf>
    <xf numFmtId="49" fontId="3" fillId="3" borderId="54" xfId="0" applyNumberFormat="1" applyFont="1" applyFill="1" applyBorder="1" applyAlignment="1">
      <alignment vertical="top" wrapText="1"/>
    </xf>
    <xf numFmtId="3" fontId="13" fillId="0" borderId="23" xfId="0" applyNumberFormat="1" applyFont="1" applyFill="1" applyBorder="1" applyAlignment="1">
      <alignment horizontal="center" vertical="top" textRotation="90" wrapText="1"/>
    </xf>
    <xf numFmtId="3" fontId="13" fillId="0" borderId="7" xfId="0" applyNumberFormat="1" applyFont="1" applyFill="1" applyBorder="1" applyAlignment="1">
      <alignment horizontal="center" vertical="top" textRotation="90" wrapText="1"/>
    </xf>
    <xf numFmtId="49" fontId="3" fillId="8" borderId="1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center" vertical="top" wrapText="1"/>
    </xf>
    <xf numFmtId="164" fontId="3" fillId="8" borderId="19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164" fontId="3" fillId="7" borderId="48" xfId="0" applyNumberFormat="1" applyFont="1" applyFill="1" applyBorder="1" applyAlignment="1">
      <alignment horizontal="center" vertical="top" wrapText="1"/>
    </xf>
    <xf numFmtId="164" fontId="3" fillId="7" borderId="19" xfId="0" applyNumberFormat="1" applyFont="1" applyFill="1" applyBorder="1" applyAlignment="1">
      <alignment horizontal="center" vertical="top" wrapText="1"/>
    </xf>
    <xf numFmtId="3" fontId="3" fillId="7" borderId="48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 wrapText="1"/>
    </xf>
    <xf numFmtId="3" fontId="3" fillId="7" borderId="59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165" fontId="3" fillId="7" borderId="62" xfId="0" applyNumberFormat="1" applyFont="1" applyFill="1" applyBorder="1" applyAlignment="1">
      <alignment horizontal="center" vertical="top" wrapText="1"/>
    </xf>
    <xf numFmtId="165" fontId="3" fillId="7" borderId="28" xfId="0" applyNumberFormat="1" applyFont="1" applyFill="1" applyBorder="1" applyAlignment="1">
      <alignment horizontal="center" vertical="top" wrapText="1"/>
    </xf>
    <xf numFmtId="165" fontId="3" fillId="7" borderId="61" xfId="0" applyNumberFormat="1" applyFont="1" applyFill="1" applyBorder="1" applyAlignment="1">
      <alignment horizontal="center" vertical="top" wrapText="1"/>
    </xf>
    <xf numFmtId="165" fontId="3" fillId="5" borderId="53" xfId="0" applyNumberFormat="1" applyFont="1" applyFill="1" applyBorder="1" applyAlignment="1">
      <alignment horizontal="center" vertical="top" wrapText="1"/>
    </xf>
    <xf numFmtId="165" fontId="3" fillId="5" borderId="37" xfId="0" applyNumberFormat="1" applyFont="1" applyFill="1" applyBorder="1" applyAlignment="1">
      <alignment horizontal="center" vertical="top" wrapText="1"/>
    </xf>
    <xf numFmtId="165" fontId="3" fillId="5" borderId="15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165" fontId="2" fillId="0" borderId="0" xfId="0" applyNumberFormat="1" applyFont="1" applyAlignment="1">
      <alignment horizontal="center" vertical="top" wrapText="1"/>
    </xf>
    <xf numFmtId="164" fontId="2" fillId="4" borderId="33" xfId="0" applyNumberFormat="1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 wrapText="1"/>
    </xf>
    <xf numFmtId="164" fontId="3" fillId="5" borderId="48" xfId="0" applyNumberFormat="1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 wrapText="1"/>
    </xf>
    <xf numFmtId="164" fontId="3" fillId="5" borderId="59" xfId="0" applyNumberFormat="1" applyFont="1" applyFill="1" applyBorder="1" applyAlignment="1">
      <alignment horizontal="center" vertical="top" wrapText="1"/>
    </xf>
    <xf numFmtId="0" fontId="2" fillId="4" borderId="62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56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5" fontId="3" fillId="7" borderId="9" xfId="0" applyNumberFormat="1" applyFont="1" applyFill="1" applyBorder="1" applyAlignment="1">
      <alignment horizontal="center" vertical="top" wrapText="1"/>
    </xf>
    <xf numFmtId="165" fontId="3" fillId="5" borderId="5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3" fillId="7" borderId="2" xfId="0" applyNumberFormat="1" applyFont="1" applyFill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center" vertical="top" wrapText="1"/>
    </xf>
    <xf numFmtId="164" fontId="3" fillId="7" borderId="56" xfId="0" applyNumberFormat="1" applyFont="1" applyFill="1" applyBorder="1" applyAlignment="1">
      <alignment horizontal="center" vertical="top" wrapText="1"/>
    </xf>
    <xf numFmtId="164" fontId="3" fillId="7" borderId="25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vertical="top" wrapText="1"/>
    </xf>
    <xf numFmtId="3" fontId="13" fillId="0" borderId="49" xfId="0" applyNumberFormat="1" applyFont="1" applyFill="1" applyBorder="1" applyAlignment="1">
      <alignment horizontal="center" vertical="top" textRotation="90" wrapText="1"/>
    </xf>
    <xf numFmtId="3" fontId="2" fillId="0" borderId="49" xfId="0" applyNumberFormat="1" applyFont="1" applyBorder="1" applyAlignment="1">
      <alignment horizontal="center" vertical="top" wrapText="1"/>
    </xf>
    <xf numFmtId="1" fontId="2" fillId="4" borderId="53" xfId="0" applyNumberFormat="1" applyFont="1" applyFill="1" applyBorder="1" applyAlignment="1">
      <alignment horizontal="center" vertical="top"/>
    </xf>
    <xf numFmtId="1" fontId="2" fillId="4" borderId="37" xfId="0" applyNumberFormat="1" applyFont="1" applyFill="1" applyBorder="1" applyAlignment="1">
      <alignment horizontal="center" vertical="top"/>
    </xf>
    <xf numFmtId="1" fontId="2" fillId="4" borderId="15" xfId="0" applyNumberFormat="1" applyFont="1" applyFill="1" applyBorder="1" applyAlignment="1">
      <alignment horizontal="center" vertical="top"/>
    </xf>
    <xf numFmtId="3" fontId="2" fillId="4" borderId="66" xfId="0" applyNumberFormat="1" applyFont="1" applyFill="1" applyBorder="1" applyAlignment="1">
      <alignment horizontal="center" vertical="top"/>
    </xf>
    <xf numFmtId="3" fontId="2" fillId="4" borderId="67" xfId="0" applyNumberFormat="1" applyFont="1" applyFill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 wrapText="1"/>
    </xf>
    <xf numFmtId="3" fontId="2" fillId="4" borderId="52" xfId="0" applyNumberFormat="1" applyFont="1" applyFill="1" applyBorder="1" applyAlignment="1">
      <alignment horizontal="left" vertical="top" wrapText="1"/>
    </xf>
    <xf numFmtId="167" fontId="2" fillId="9" borderId="6" xfId="2" applyNumberFormat="1" applyFont="1" applyFill="1" applyBorder="1" applyAlignment="1">
      <alignment horizontal="left" vertical="top" wrapText="1"/>
    </xf>
    <xf numFmtId="164" fontId="2" fillId="4" borderId="66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horizontal="center" vertical="top" wrapText="1"/>
    </xf>
    <xf numFmtId="167" fontId="2" fillId="9" borderId="48" xfId="2" applyNumberFormat="1" applyFont="1" applyFill="1" applyBorder="1" applyAlignment="1">
      <alignment vertical="top" wrapText="1"/>
    </xf>
    <xf numFmtId="0" fontId="2" fillId="4" borderId="55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3" fontId="2" fillId="4" borderId="72" xfId="0" applyNumberFormat="1" applyFont="1" applyFill="1" applyBorder="1" applyAlignment="1">
      <alignment vertical="top" wrapText="1"/>
    </xf>
    <xf numFmtId="3" fontId="2" fillId="4" borderId="15" xfId="0" applyNumberFormat="1" applyFont="1" applyFill="1" applyBorder="1" applyAlignment="1">
      <alignment vertical="top" wrapText="1"/>
    </xf>
    <xf numFmtId="3" fontId="13" fillId="4" borderId="51" xfId="0" applyNumberFormat="1" applyFont="1" applyFill="1" applyBorder="1" applyAlignment="1">
      <alignment horizontal="center" vertical="top" wrapText="1"/>
    </xf>
    <xf numFmtId="3" fontId="13" fillId="0" borderId="13" xfId="0" applyNumberFormat="1" applyFont="1" applyFill="1" applyBorder="1" applyAlignment="1">
      <alignment horizontal="center" vertical="top" textRotation="90" wrapText="1"/>
    </xf>
    <xf numFmtId="0" fontId="2" fillId="4" borderId="55" xfId="0" applyNumberFormat="1" applyFont="1" applyFill="1" applyBorder="1" applyAlignment="1">
      <alignment horizontal="center" vertical="top"/>
    </xf>
    <xf numFmtId="3" fontId="12" fillId="4" borderId="0" xfId="0" applyNumberFormat="1" applyFont="1" applyFill="1" applyBorder="1" applyAlignment="1">
      <alignment horizontal="center" vertical="top" wrapText="1"/>
    </xf>
    <xf numFmtId="49" fontId="2" fillId="4" borderId="55" xfId="2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vertical="top" wrapText="1"/>
    </xf>
    <xf numFmtId="3" fontId="2" fillId="4" borderId="0" xfId="0" applyNumberFormat="1" applyFont="1" applyFill="1" applyAlignment="1">
      <alignment wrapText="1"/>
    </xf>
    <xf numFmtId="3" fontId="8" fillId="4" borderId="17" xfId="0" applyNumberFormat="1" applyFont="1" applyFill="1" applyBorder="1" applyAlignment="1">
      <alignment horizontal="center" vertical="top" wrapText="1"/>
    </xf>
    <xf numFmtId="3" fontId="8" fillId="4" borderId="8" xfId="0" applyNumberFormat="1" applyFont="1" applyFill="1" applyBorder="1" applyAlignment="1">
      <alignment horizontal="center" vertical="top" wrapText="1"/>
    </xf>
    <xf numFmtId="3" fontId="8" fillId="4" borderId="18" xfId="0" applyNumberFormat="1" applyFont="1" applyFill="1" applyBorder="1" applyAlignment="1">
      <alignment horizontal="center" vertical="top" wrapText="1"/>
    </xf>
    <xf numFmtId="3" fontId="8" fillId="4" borderId="7" xfId="0" applyNumberFormat="1" applyFont="1" applyFill="1" applyBorder="1" applyAlignment="1">
      <alignment horizontal="center" vertical="top" wrapText="1"/>
    </xf>
    <xf numFmtId="167" fontId="2" fillId="9" borderId="31" xfId="2" applyNumberFormat="1" applyFont="1" applyFill="1" applyBorder="1" applyAlignment="1">
      <alignment horizontal="center" vertical="top"/>
    </xf>
    <xf numFmtId="167" fontId="2" fillId="9" borderId="66" xfId="2" applyNumberFormat="1" applyFont="1" applyFill="1" applyBorder="1" applyAlignment="1">
      <alignment horizontal="center" vertical="top"/>
    </xf>
    <xf numFmtId="49" fontId="2" fillId="4" borderId="53" xfId="2" applyNumberFormat="1" applyFont="1" applyFill="1" applyBorder="1" applyAlignment="1">
      <alignment horizontal="center" vertical="top"/>
    </xf>
    <xf numFmtId="3" fontId="2" fillId="4" borderId="4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wrapText="1"/>
    </xf>
    <xf numFmtId="164" fontId="2" fillId="4" borderId="17" xfId="2" applyNumberFormat="1" applyFont="1" applyFill="1" applyBorder="1" applyAlignment="1">
      <alignment horizontal="center" vertical="top"/>
    </xf>
    <xf numFmtId="167" fontId="2" fillId="11" borderId="7" xfId="2" applyNumberFormat="1" applyFont="1" applyFill="1" applyBorder="1" applyAlignment="1">
      <alignment horizontal="center" vertical="top"/>
    </xf>
    <xf numFmtId="3" fontId="3" fillId="2" borderId="46" xfId="0" applyNumberFormat="1" applyFont="1" applyFill="1" applyBorder="1" applyAlignment="1">
      <alignment horizontal="center" vertical="top" wrapText="1"/>
    </xf>
    <xf numFmtId="3" fontId="3" fillId="2" borderId="60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3" fontId="2" fillId="3" borderId="51" xfId="0" applyNumberFormat="1" applyFont="1" applyFill="1" applyBorder="1" applyAlignment="1">
      <alignment horizontal="left" vertical="top" wrapText="1"/>
    </xf>
    <xf numFmtId="3" fontId="2" fillId="3" borderId="37" xfId="0" applyNumberFormat="1" applyFont="1" applyFill="1" applyBorder="1" applyAlignment="1">
      <alignment horizontal="left" vertical="top" wrapText="1"/>
    </xf>
    <xf numFmtId="3" fontId="2" fillId="4" borderId="55" xfId="0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center" vertical="top"/>
    </xf>
    <xf numFmtId="3" fontId="2" fillId="4" borderId="18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left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2" fillId="4" borderId="37" xfId="0" applyNumberFormat="1" applyFont="1" applyFill="1" applyBorder="1" applyAlignment="1">
      <alignment horizontal="left" vertical="top" wrapText="1"/>
    </xf>
    <xf numFmtId="3" fontId="2" fillId="4" borderId="16" xfId="0" applyNumberFormat="1" applyFont="1" applyFill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49" fontId="3" fillId="8" borderId="17" xfId="0" applyNumberFormat="1" applyFont="1" applyFill="1" applyBorder="1" applyAlignment="1">
      <alignment horizontal="center" vertical="top"/>
    </xf>
    <xf numFmtId="49" fontId="3" fillId="8" borderId="48" xfId="0" applyNumberFormat="1" applyFont="1" applyFill="1" applyBorder="1" applyAlignment="1">
      <alignment horizontal="center" vertical="top"/>
    </xf>
    <xf numFmtId="3" fontId="2" fillId="4" borderId="13" xfId="0" applyNumberFormat="1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3" fontId="2" fillId="4" borderId="51" xfId="0" applyNumberFormat="1" applyFont="1" applyFill="1" applyBorder="1" applyAlignment="1">
      <alignment vertical="top" wrapText="1"/>
    </xf>
    <xf numFmtId="3" fontId="2" fillId="4" borderId="18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right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2" fillId="4" borderId="19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left" vertical="top" wrapText="1"/>
    </xf>
    <xf numFmtId="3" fontId="2" fillId="4" borderId="38" xfId="0" applyNumberFormat="1" applyFont="1" applyFill="1" applyBorder="1" applyAlignment="1">
      <alignment horizontal="left" vertical="top" wrapText="1"/>
    </xf>
    <xf numFmtId="49" fontId="3" fillId="8" borderId="16" xfId="0" applyNumberFormat="1" applyFont="1" applyFill="1" applyBorder="1" applyAlignment="1">
      <alignment horizontal="center" vertical="top"/>
    </xf>
    <xf numFmtId="3" fontId="3" fillId="4" borderId="13" xfId="0" applyNumberFormat="1" applyFont="1" applyFill="1" applyBorder="1" applyAlignment="1">
      <alignment horizontal="left" vertical="top" wrapText="1"/>
    </xf>
    <xf numFmtId="3" fontId="3" fillId="4" borderId="19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textRotation="90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2" fillId="4" borderId="42" xfId="0" applyNumberFormat="1" applyFont="1" applyFill="1" applyBorder="1" applyAlignment="1">
      <alignment horizontal="left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left" vertical="top" wrapText="1"/>
    </xf>
    <xf numFmtId="3" fontId="2" fillId="4" borderId="38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left" vertical="top" wrapText="1"/>
    </xf>
    <xf numFmtId="3" fontId="13" fillId="4" borderId="44" xfId="0" applyNumberFormat="1" applyFont="1" applyFill="1" applyBorder="1" applyAlignment="1">
      <alignment horizontal="center" vertical="top" textRotation="90" wrapText="1"/>
    </xf>
    <xf numFmtId="4" fontId="2" fillId="4" borderId="33" xfId="0" applyNumberFormat="1" applyFont="1" applyFill="1" applyBorder="1" applyAlignment="1">
      <alignment horizontal="center" vertical="top" wrapText="1"/>
    </xf>
    <xf numFmtId="3" fontId="2" fillId="0" borderId="48" xfId="0" applyNumberFormat="1" applyFont="1" applyFill="1" applyBorder="1" applyAlignment="1">
      <alignment horizontal="center" vertical="top" wrapText="1"/>
    </xf>
    <xf numFmtId="3" fontId="3" fillId="2" borderId="46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49" fontId="3" fillId="8" borderId="17" xfId="0" applyNumberFormat="1" applyFont="1" applyFill="1" applyBorder="1" applyAlignment="1">
      <alignment horizontal="center" vertical="top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2" fillId="4" borderId="19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vertical="top" wrapText="1"/>
    </xf>
    <xf numFmtId="164" fontId="2" fillId="4" borderId="73" xfId="0" applyNumberFormat="1" applyFont="1" applyFill="1" applyBorder="1" applyAlignment="1">
      <alignment horizontal="center" vertical="top"/>
    </xf>
    <xf numFmtId="164" fontId="2" fillId="4" borderId="75" xfId="0" applyNumberFormat="1" applyFont="1" applyFill="1" applyBorder="1" applyAlignment="1">
      <alignment horizontal="center" vertical="top"/>
    </xf>
    <xf numFmtId="164" fontId="16" fillId="4" borderId="18" xfId="0" applyNumberFormat="1" applyFont="1" applyFill="1" applyBorder="1" applyAlignment="1">
      <alignment horizontal="center" vertical="top" wrapText="1"/>
    </xf>
    <xf numFmtId="164" fontId="16" fillId="4" borderId="7" xfId="0" applyNumberFormat="1" applyFont="1" applyFill="1" applyBorder="1" applyAlignment="1">
      <alignment horizontal="center" vertical="top" wrapText="1"/>
    </xf>
    <xf numFmtId="164" fontId="17" fillId="4" borderId="18" xfId="0" applyNumberFormat="1" applyFont="1" applyFill="1" applyBorder="1" applyAlignment="1">
      <alignment horizontal="center" vertical="top" wrapText="1"/>
    </xf>
    <xf numFmtId="164" fontId="17" fillId="4" borderId="7" xfId="0" applyNumberFormat="1" applyFont="1" applyFill="1" applyBorder="1" applyAlignment="1">
      <alignment horizontal="center" vertical="top" wrapText="1"/>
    </xf>
    <xf numFmtId="164" fontId="16" fillId="4" borderId="18" xfId="0" applyNumberFormat="1" applyFont="1" applyFill="1" applyBorder="1" applyAlignment="1">
      <alignment horizontal="center" vertical="top"/>
    </xf>
    <xf numFmtId="164" fontId="16" fillId="4" borderId="7" xfId="0" applyNumberFormat="1" applyFont="1" applyFill="1" applyBorder="1" applyAlignment="1">
      <alignment horizontal="center" vertical="top"/>
    </xf>
    <xf numFmtId="3" fontId="2" fillId="4" borderId="26" xfId="0" applyNumberFormat="1" applyFont="1" applyFill="1" applyBorder="1" applyAlignment="1">
      <alignment horizontal="left" vertical="top" wrapText="1"/>
    </xf>
    <xf numFmtId="3" fontId="2" fillId="4" borderId="50" xfId="0" applyNumberFormat="1" applyFont="1" applyFill="1" applyBorder="1" applyAlignment="1">
      <alignment horizontal="left" vertical="top" wrapText="1"/>
    </xf>
    <xf numFmtId="3" fontId="16" fillId="4" borderId="17" xfId="0" applyNumberFormat="1" applyFont="1" applyFill="1" applyBorder="1" applyAlignment="1">
      <alignment horizontal="center" vertical="top" wrapText="1"/>
    </xf>
    <xf numFmtId="164" fontId="16" fillId="4" borderId="7" xfId="0" applyNumberFormat="1" applyFont="1" applyFill="1" applyBorder="1" applyAlignment="1">
      <alignment horizontal="center" vertical="center"/>
    </xf>
    <xf numFmtId="164" fontId="16" fillId="4" borderId="18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top" wrapText="1"/>
    </xf>
    <xf numFmtId="164" fontId="17" fillId="4" borderId="17" xfId="0" applyNumberFormat="1" applyFont="1" applyFill="1" applyBorder="1" applyAlignment="1">
      <alignment horizontal="center" vertical="top" wrapText="1"/>
    </xf>
    <xf numFmtId="164" fontId="16" fillId="4" borderId="17" xfId="0" applyNumberFormat="1" applyFont="1" applyFill="1" applyBorder="1" applyAlignment="1">
      <alignment horizontal="center" vertical="top"/>
    </xf>
    <xf numFmtId="164" fontId="16" fillId="4" borderId="17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top"/>
    </xf>
    <xf numFmtId="3" fontId="13" fillId="4" borderId="31" xfId="0" applyNumberFormat="1" applyFont="1" applyFill="1" applyBorder="1" applyAlignment="1">
      <alignment horizontal="center" vertical="top" wrapText="1"/>
    </xf>
    <xf numFmtId="3" fontId="13" fillId="4" borderId="31" xfId="0" applyNumberFormat="1" applyFont="1" applyFill="1" applyBorder="1" applyAlignment="1">
      <alignment horizontal="center" vertical="top" textRotation="90" wrapText="1"/>
    </xf>
    <xf numFmtId="3" fontId="13" fillId="4" borderId="38" xfId="0" applyNumberFormat="1" applyFont="1" applyFill="1" applyBorder="1" applyAlignment="1">
      <alignment horizontal="center" vertical="top" textRotation="90" wrapText="1"/>
    </xf>
    <xf numFmtId="3" fontId="13" fillId="0" borderId="38" xfId="0" applyNumberFormat="1" applyFont="1" applyFill="1" applyBorder="1" applyAlignment="1">
      <alignment horizontal="center" vertical="top" textRotation="90" wrapText="1"/>
    </xf>
    <xf numFmtId="3" fontId="2" fillId="4" borderId="29" xfId="0" applyNumberFormat="1" applyFont="1" applyFill="1" applyBorder="1" applyAlignment="1">
      <alignment horizontal="center" vertical="top" wrapText="1"/>
    </xf>
    <xf numFmtId="3" fontId="3" fillId="5" borderId="6" xfId="0" applyNumberFormat="1" applyFont="1" applyFill="1" applyBorder="1" applyAlignment="1">
      <alignment horizontal="center" vertical="top" wrapText="1"/>
    </xf>
    <xf numFmtId="164" fontId="3" fillId="5" borderId="26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164" fontId="16" fillId="0" borderId="17" xfId="0" applyNumberFormat="1" applyFont="1" applyFill="1" applyBorder="1" applyAlignment="1">
      <alignment horizontal="center" vertical="top" wrapText="1"/>
    </xf>
    <xf numFmtId="164" fontId="16" fillId="0" borderId="18" xfId="0" applyNumberFormat="1" applyFont="1" applyFill="1" applyBorder="1" applyAlignment="1">
      <alignment horizontal="center" vertical="top" wrapText="1"/>
    </xf>
    <xf numFmtId="164" fontId="16" fillId="12" borderId="17" xfId="2" applyNumberFormat="1" applyFont="1" applyFill="1" applyBorder="1" applyAlignment="1">
      <alignment horizontal="center" vertical="top"/>
    </xf>
    <xf numFmtId="164" fontId="16" fillId="12" borderId="18" xfId="2" applyNumberFormat="1" applyFont="1" applyFill="1" applyBorder="1" applyAlignment="1">
      <alignment horizontal="center" vertical="top"/>
    </xf>
    <xf numFmtId="3" fontId="13" fillId="4" borderId="31" xfId="0" applyNumberFormat="1" applyFont="1" applyFill="1" applyBorder="1" applyAlignment="1">
      <alignment vertical="top" wrapText="1"/>
    </xf>
    <xf numFmtId="3" fontId="13" fillId="4" borderId="30" xfId="0" applyNumberFormat="1" applyFont="1" applyFill="1" applyBorder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16" fillId="12" borderId="0" xfId="2" applyNumberFormat="1" applyFont="1" applyFill="1" applyBorder="1" applyAlignment="1">
      <alignment horizontal="center" vertical="top"/>
    </xf>
    <xf numFmtId="164" fontId="16" fillId="4" borderId="0" xfId="2" applyNumberFormat="1" applyFont="1" applyFill="1" applyBorder="1" applyAlignment="1">
      <alignment horizontal="center" vertical="top"/>
    </xf>
    <xf numFmtId="164" fontId="16" fillId="4" borderId="0" xfId="0" applyNumberFormat="1" applyFont="1" applyFill="1" applyBorder="1" applyAlignment="1">
      <alignment horizontal="center" vertical="top" wrapText="1"/>
    </xf>
    <xf numFmtId="164" fontId="16" fillId="11" borderId="0" xfId="2" applyNumberFormat="1" applyFont="1" applyFill="1" applyBorder="1" applyAlignment="1">
      <alignment horizontal="center" vertical="top"/>
    </xf>
    <xf numFmtId="164" fontId="16" fillId="4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 wrapText="1"/>
    </xf>
    <xf numFmtId="49" fontId="16" fillId="4" borderId="17" xfId="2" applyNumberFormat="1" applyFont="1" applyFill="1" applyBorder="1" applyAlignment="1">
      <alignment horizontal="center" vertical="top"/>
    </xf>
    <xf numFmtId="49" fontId="16" fillId="13" borderId="17" xfId="2" applyNumberFormat="1" applyFont="1" applyFill="1" applyBorder="1" applyAlignment="1">
      <alignment horizontal="center" vertical="top" wrapText="1"/>
    </xf>
    <xf numFmtId="0" fontId="16" fillId="4" borderId="17" xfId="2" applyNumberFormat="1" applyFont="1" applyFill="1" applyBorder="1" applyAlignment="1">
      <alignment horizontal="center" vertical="top"/>
    </xf>
    <xf numFmtId="0" fontId="16" fillId="4" borderId="17" xfId="2" applyNumberFormat="1" applyFont="1" applyFill="1" applyBorder="1" applyAlignment="1">
      <alignment horizontal="center" vertical="center"/>
    </xf>
    <xf numFmtId="0" fontId="16" fillId="0" borderId="17" xfId="2" applyNumberFormat="1" applyFont="1" applyFill="1" applyBorder="1" applyAlignment="1">
      <alignment horizontal="center" vertical="top"/>
    </xf>
    <xf numFmtId="0" fontId="16" fillId="4" borderId="17" xfId="0" applyFont="1" applyFill="1" applyBorder="1" applyAlignment="1">
      <alignment horizontal="center" vertical="top" wrapText="1"/>
    </xf>
    <xf numFmtId="49" fontId="16" fillId="4" borderId="17" xfId="2" applyNumberFormat="1" applyFont="1" applyFill="1" applyBorder="1" applyAlignment="1">
      <alignment horizontal="center" vertical="top" wrapText="1"/>
    </xf>
    <xf numFmtId="49" fontId="2" fillId="13" borderId="62" xfId="2" applyNumberFormat="1" applyFont="1" applyFill="1" applyBorder="1" applyAlignment="1">
      <alignment horizontal="center" vertical="top" wrapText="1"/>
    </xf>
    <xf numFmtId="49" fontId="2" fillId="13" borderId="55" xfId="2" applyNumberFormat="1" applyFont="1" applyFill="1" applyBorder="1" applyAlignment="1">
      <alignment horizontal="center" vertical="top" wrapText="1"/>
    </xf>
    <xf numFmtId="49" fontId="2" fillId="13" borderId="52" xfId="2" applyNumberFormat="1" applyFont="1" applyFill="1" applyBorder="1" applyAlignment="1">
      <alignment horizontal="center" vertical="top" wrapText="1"/>
    </xf>
    <xf numFmtId="49" fontId="2" fillId="4" borderId="17" xfId="2" applyNumberFormat="1" applyFont="1" applyFill="1" applyBorder="1" applyAlignment="1">
      <alignment horizontal="center" vertical="top"/>
    </xf>
    <xf numFmtId="164" fontId="16" fillId="4" borderId="17" xfId="2" applyNumberFormat="1" applyFont="1" applyFill="1" applyBorder="1" applyAlignment="1">
      <alignment horizontal="center" vertical="top"/>
    </xf>
    <xf numFmtId="164" fontId="16" fillId="11" borderId="17" xfId="2" applyNumberFormat="1" applyFont="1" applyFill="1" applyBorder="1" applyAlignment="1">
      <alignment horizontal="center" vertical="top"/>
    </xf>
    <xf numFmtId="164" fontId="16" fillId="4" borderId="18" xfId="2" applyNumberFormat="1" applyFont="1" applyFill="1" applyBorder="1" applyAlignment="1">
      <alignment horizontal="center" vertical="top"/>
    </xf>
    <xf numFmtId="164" fontId="16" fillId="11" borderId="18" xfId="2" applyNumberFormat="1" applyFont="1" applyFill="1" applyBorder="1" applyAlignment="1">
      <alignment horizontal="center" vertical="top"/>
    </xf>
    <xf numFmtId="164" fontId="8" fillId="4" borderId="17" xfId="0" applyNumberFormat="1" applyFont="1" applyFill="1" applyBorder="1" applyAlignment="1">
      <alignment horizontal="center" vertical="top" wrapText="1"/>
    </xf>
    <xf numFmtId="164" fontId="8" fillId="4" borderId="18" xfId="0" applyNumberFormat="1" applyFont="1" applyFill="1" applyBorder="1" applyAlignment="1">
      <alignment horizontal="center" vertical="top" wrapText="1"/>
    </xf>
    <xf numFmtId="167" fontId="2" fillId="9" borderId="81" xfId="2" applyNumberFormat="1" applyFont="1" applyFill="1" applyBorder="1" applyAlignment="1">
      <alignment horizontal="center" vertical="center"/>
    </xf>
    <xf numFmtId="167" fontId="2" fillId="9" borderId="82" xfId="2" applyNumberFormat="1" applyFont="1" applyFill="1" applyBorder="1" applyAlignment="1">
      <alignment horizontal="center" vertical="center"/>
    </xf>
    <xf numFmtId="167" fontId="2" fillId="9" borderId="52" xfId="2" applyNumberFormat="1" applyFont="1" applyFill="1" applyBorder="1" applyAlignment="1">
      <alignment horizontal="center" vertical="top"/>
    </xf>
    <xf numFmtId="167" fontId="2" fillId="9" borderId="17" xfId="2" applyNumberFormat="1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167" fontId="2" fillId="9" borderId="52" xfId="2" applyNumberFormat="1" applyFont="1" applyFill="1" applyBorder="1" applyAlignment="1">
      <alignment horizontal="center" vertical="top" wrapText="1"/>
    </xf>
    <xf numFmtId="167" fontId="2" fillId="9" borderId="17" xfId="2" applyNumberFormat="1" applyFont="1" applyFill="1" applyBorder="1" applyAlignment="1">
      <alignment horizontal="center" vertical="top" wrapText="1"/>
    </xf>
    <xf numFmtId="167" fontId="2" fillId="9" borderId="77" xfId="2" applyNumberFormat="1" applyFont="1" applyFill="1" applyBorder="1" applyAlignment="1">
      <alignment horizontal="center" vertical="center"/>
    </xf>
    <xf numFmtId="167" fontId="2" fillId="9" borderId="83" xfId="2" applyNumberFormat="1" applyFont="1" applyFill="1" applyBorder="1" applyAlignment="1">
      <alignment horizontal="center" vertical="center"/>
    </xf>
    <xf numFmtId="3" fontId="2" fillId="11" borderId="52" xfId="2" applyNumberFormat="1" applyFont="1" applyFill="1" applyBorder="1" applyAlignment="1">
      <alignment horizontal="center" vertical="top"/>
    </xf>
    <xf numFmtId="167" fontId="2" fillId="9" borderId="68" xfId="2" applyNumberFormat="1" applyFont="1" applyFill="1" applyBorder="1" applyAlignment="1">
      <alignment horizontal="center" vertical="top"/>
    </xf>
    <xf numFmtId="164" fontId="2" fillId="4" borderId="53" xfId="2" applyNumberFormat="1" applyFont="1" applyFill="1" applyBorder="1" applyAlignment="1"/>
    <xf numFmtId="167" fontId="2" fillId="9" borderId="37" xfId="2" applyNumberFormat="1" applyFont="1" applyFill="1" applyBorder="1" applyAlignment="1">
      <alignment horizontal="center" vertical="top"/>
    </xf>
    <xf numFmtId="164" fontId="2" fillId="4" borderId="52" xfId="2" applyNumberFormat="1" applyFont="1" applyFill="1" applyBorder="1" applyAlignment="1"/>
    <xf numFmtId="167" fontId="2" fillId="11" borderId="83" xfId="2" applyNumberFormat="1" applyFont="1" applyFill="1" applyBorder="1" applyAlignment="1">
      <alignment horizontal="center" vertical="top"/>
    </xf>
    <xf numFmtId="167" fontId="2" fillId="11" borderId="76" xfId="2" applyNumberFormat="1" applyFont="1" applyFill="1" applyBorder="1" applyAlignment="1">
      <alignment horizontal="center" vertical="top"/>
    </xf>
    <xf numFmtId="167" fontId="2" fillId="11" borderId="84" xfId="2" applyNumberFormat="1" applyFont="1" applyFill="1" applyBorder="1" applyAlignment="1">
      <alignment horizontal="center" vertical="top"/>
    </xf>
    <xf numFmtId="3" fontId="2" fillId="4" borderId="27" xfId="0" applyNumberFormat="1" applyFont="1" applyFill="1" applyBorder="1" applyAlignment="1">
      <alignment horizontal="left" vertical="top" wrapText="1"/>
    </xf>
    <xf numFmtId="3" fontId="2" fillId="4" borderId="7" xfId="0" applyNumberFormat="1" applyFont="1" applyFill="1" applyBorder="1" applyAlignment="1">
      <alignment horizontal="left" vertical="top" wrapText="1"/>
    </xf>
    <xf numFmtId="3" fontId="2" fillId="4" borderId="25" xfId="0" applyNumberFormat="1" applyFont="1" applyFill="1" applyBorder="1" applyAlignment="1">
      <alignment vertical="top" wrapText="1"/>
    </xf>
    <xf numFmtId="164" fontId="3" fillId="5" borderId="38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3" fontId="16" fillId="4" borderId="53" xfId="0" applyNumberFormat="1" applyFont="1" applyFill="1" applyBorder="1" applyAlignment="1">
      <alignment horizontal="center" vertical="top" wrapText="1"/>
    </xf>
    <xf numFmtId="164" fontId="16" fillId="4" borderId="49" xfId="0" applyNumberFormat="1" applyFont="1" applyFill="1" applyBorder="1" applyAlignment="1">
      <alignment horizontal="center" vertical="top"/>
    </xf>
    <xf numFmtId="164" fontId="16" fillId="4" borderId="53" xfId="0" applyNumberFormat="1" applyFont="1" applyFill="1" applyBorder="1" applyAlignment="1">
      <alignment horizontal="center" vertical="top"/>
    </xf>
    <xf numFmtId="164" fontId="16" fillId="4" borderId="37" xfId="0" applyNumberFormat="1" applyFont="1" applyFill="1" applyBorder="1" applyAlignment="1">
      <alignment horizontal="center" vertical="top"/>
    </xf>
    <xf numFmtId="168" fontId="2" fillId="9" borderId="6" xfId="2" applyNumberFormat="1" applyFont="1" applyFill="1" applyBorder="1" applyAlignment="1">
      <alignment vertical="top" wrapText="1"/>
    </xf>
    <xf numFmtId="168" fontId="2" fillId="9" borderId="8" xfId="2" applyNumberFormat="1" applyFont="1" applyFill="1" applyBorder="1" applyAlignment="1">
      <alignment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167" fontId="2" fillId="9" borderId="65" xfId="2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167" fontId="2" fillId="11" borderId="8" xfId="2" applyNumberFormat="1" applyFont="1" applyFill="1" applyBorder="1" applyAlignment="1">
      <alignment horizontal="left" vertical="top" wrapText="1"/>
    </xf>
    <xf numFmtId="167" fontId="2" fillId="9" borderId="5" xfId="2" applyNumberFormat="1" applyFont="1" applyFill="1" applyBorder="1" applyAlignment="1">
      <alignment horizontal="left" vertical="top" wrapText="1"/>
    </xf>
    <xf numFmtId="167" fontId="2" fillId="9" borderId="8" xfId="2" applyNumberFormat="1" applyFont="1" applyFill="1" applyBorder="1" applyAlignment="1">
      <alignment vertical="top" wrapText="1"/>
    </xf>
    <xf numFmtId="167" fontId="2" fillId="9" borderId="6" xfId="2" applyNumberFormat="1" applyFont="1" applyFill="1" applyBorder="1" applyAlignment="1">
      <alignment vertical="top" wrapText="1"/>
    </xf>
    <xf numFmtId="167" fontId="2" fillId="9" borderId="42" xfId="2" applyNumberFormat="1" applyFont="1" applyFill="1" applyBorder="1" applyAlignment="1">
      <alignment vertical="top" wrapText="1"/>
    </xf>
    <xf numFmtId="164" fontId="16" fillId="0" borderId="17" xfId="0" applyNumberFormat="1" applyFont="1" applyFill="1" applyBorder="1" applyAlignment="1">
      <alignment horizontal="center" vertical="top"/>
    </xf>
    <xf numFmtId="3" fontId="16" fillId="0" borderId="8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3" fontId="16" fillId="4" borderId="8" xfId="0" applyNumberFormat="1" applyFont="1" applyFill="1" applyBorder="1" applyAlignment="1">
      <alignment horizontal="center" vertical="top" wrapText="1"/>
    </xf>
    <xf numFmtId="164" fontId="16" fillId="0" borderId="18" xfId="0" applyNumberFormat="1" applyFont="1" applyFill="1" applyBorder="1" applyAlignment="1">
      <alignment horizontal="center" vertical="top"/>
    </xf>
    <xf numFmtId="164" fontId="16" fillId="0" borderId="7" xfId="0" applyNumberFormat="1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164" fontId="2" fillId="3" borderId="17" xfId="0" applyNumberFormat="1" applyFont="1" applyFill="1" applyBorder="1" applyAlignment="1">
      <alignment horizontal="center" vertical="top" wrapText="1"/>
    </xf>
    <xf numFmtId="164" fontId="2" fillId="3" borderId="18" xfId="0" applyNumberFormat="1" applyFont="1" applyFill="1" applyBorder="1" applyAlignment="1">
      <alignment horizontal="center" vertical="top" wrapText="1"/>
    </xf>
    <xf numFmtId="3" fontId="16" fillId="0" borderId="17" xfId="0" applyNumberFormat="1" applyFont="1" applyFill="1" applyBorder="1" applyAlignment="1">
      <alignment horizontal="center" vertical="top" wrapText="1"/>
    </xf>
    <xf numFmtId="3" fontId="12" fillId="4" borderId="45" xfId="0" applyNumberFormat="1" applyFont="1" applyFill="1" applyBorder="1" applyAlignment="1">
      <alignment horizontal="center" vertical="top" wrapText="1"/>
    </xf>
    <xf numFmtId="3" fontId="13" fillId="4" borderId="44" xfId="0" applyNumberFormat="1" applyFont="1" applyFill="1" applyBorder="1" applyAlignment="1">
      <alignment horizontal="center" vertical="center" textRotation="90" wrapText="1"/>
    </xf>
    <xf numFmtId="3" fontId="13" fillId="4" borderId="30" xfId="0" applyNumberFormat="1" applyFont="1" applyFill="1" applyBorder="1" applyAlignment="1">
      <alignment horizontal="center" vertical="center" textRotation="90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13" fillId="0" borderId="58" xfId="0" applyNumberFormat="1" applyFont="1" applyFill="1" applyBorder="1" applyAlignment="1">
      <alignment horizontal="center" vertical="top" textRotation="90" wrapText="1"/>
    </xf>
    <xf numFmtId="3" fontId="2" fillId="3" borderId="23" xfId="0" applyNumberFormat="1" applyFont="1" applyFill="1" applyBorder="1" applyAlignment="1">
      <alignment horizontal="center" vertical="top" wrapText="1"/>
    </xf>
    <xf numFmtId="3" fontId="16" fillId="4" borderId="17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164" fontId="2" fillId="3" borderId="55" xfId="0" applyNumberFormat="1" applyFont="1" applyFill="1" applyBorder="1" applyAlignment="1">
      <alignment horizontal="center" vertical="top" wrapText="1"/>
    </xf>
    <xf numFmtId="164" fontId="2" fillId="3" borderId="56" xfId="0" applyNumberFormat="1" applyFont="1" applyFill="1" applyBorder="1" applyAlignment="1">
      <alignment horizontal="center" vertical="top" wrapText="1"/>
    </xf>
    <xf numFmtId="164" fontId="2" fillId="3" borderId="25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center" textRotation="90" wrapText="1"/>
    </xf>
    <xf numFmtId="3" fontId="2" fillId="0" borderId="19" xfId="0" applyNumberFormat="1" applyFont="1" applyFill="1" applyBorder="1" applyAlignment="1">
      <alignment vertical="top" wrapText="1"/>
    </xf>
    <xf numFmtId="3" fontId="2" fillId="4" borderId="59" xfId="0" applyNumberFormat="1" applyFont="1" applyFill="1" applyBorder="1" applyAlignment="1">
      <alignment vertical="top" wrapText="1"/>
    </xf>
    <xf numFmtId="3" fontId="2" fillId="0" borderId="48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3" fontId="2" fillId="0" borderId="59" xfId="0" applyNumberFormat="1" applyFont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center" vertical="top"/>
    </xf>
    <xf numFmtId="3" fontId="2" fillId="4" borderId="48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3" fillId="5" borderId="47" xfId="0" applyFont="1" applyFill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top" wrapText="1"/>
    </xf>
    <xf numFmtId="165" fontId="2" fillId="0" borderId="52" xfId="0" applyNumberFormat="1" applyFont="1" applyBorder="1" applyAlignment="1">
      <alignment horizontal="center" vertical="top" wrapText="1"/>
    </xf>
    <xf numFmtId="165" fontId="2" fillId="0" borderId="51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165" fontId="2" fillId="0" borderId="55" xfId="0" applyNumberFormat="1" applyFont="1" applyBorder="1" applyAlignment="1">
      <alignment horizontal="center" vertical="top" wrapText="1"/>
    </xf>
    <xf numFmtId="165" fontId="2" fillId="0" borderId="56" xfId="0" applyNumberFormat="1" applyFont="1" applyBorder="1" applyAlignment="1">
      <alignment horizontal="center" vertical="top" wrapText="1"/>
    </xf>
    <xf numFmtId="165" fontId="2" fillId="0" borderId="25" xfId="0" applyNumberFormat="1" applyFont="1" applyBorder="1" applyAlignment="1">
      <alignment horizontal="center" vertical="top" wrapText="1"/>
    </xf>
    <xf numFmtId="164" fontId="3" fillId="8" borderId="59" xfId="0" applyNumberFormat="1" applyFont="1" applyFill="1" applyBorder="1" applyAlignment="1">
      <alignment horizontal="center" vertical="top" wrapText="1"/>
    </xf>
    <xf numFmtId="164" fontId="3" fillId="7" borderId="59" xfId="0" applyNumberFormat="1" applyFont="1" applyFill="1" applyBorder="1" applyAlignment="1">
      <alignment horizontal="center" vertical="top" wrapText="1"/>
    </xf>
    <xf numFmtId="165" fontId="18" fillId="4" borderId="0" xfId="0" applyNumberFormat="1" applyFont="1" applyFill="1" applyBorder="1" applyAlignment="1">
      <alignment horizontal="center" vertical="top" wrapText="1"/>
    </xf>
    <xf numFmtId="3" fontId="18" fillId="4" borderId="0" xfId="0" applyNumberFormat="1" applyFont="1" applyFill="1" applyBorder="1" applyAlignment="1">
      <alignment vertical="top" wrapText="1"/>
    </xf>
    <xf numFmtId="3" fontId="13" fillId="4" borderId="67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13" fillId="4" borderId="31" xfId="0" applyNumberFormat="1" applyFont="1" applyFill="1" applyBorder="1" applyAlignment="1">
      <alignment horizontal="center" vertical="top" wrapText="1"/>
    </xf>
    <xf numFmtId="3" fontId="13" fillId="4" borderId="45" xfId="0" applyNumberFormat="1" applyFont="1" applyFill="1" applyBorder="1" applyAlignment="1">
      <alignment horizontal="center" vertical="top" wrapText="1"/>
    </xf>
    <xf numFmtId="3" fontId="13" fillId="4" borderId="66" xfId="0" applyNumberFormat="1" applyFont="1" applyFill="1" applyBorder="1" applyAlignment="1">
      <alignment horizontal="center" vertical="top" wrapText="1"/>
    </xf>
    <xf numFmtId="3" fontId="13" fillId="4" borderId="67" xfId="0" applyNumberFormat="1" applyFont="1" applyFill="1" applyBorder="1" applyAlignment="1">
      <alignment horizontal="center" vertical="top" textRotation="180" wrapText="1"/>
    </xf>
    <xf numFmtId="3" fontId="13" fillId="0" borderId="29" xfId="0" applyNumberFormat="1" applyFont="1" applyFill="1" applyBorder="1" applyAlignment="1">
      <alignment horizontal="center" vertical="top" textRotation="180" wrapText="1"/>
    </xf>
    <xf numFmtId="3" fontId="2" fillId="4" borderId="55" xfId="0" applyNumberFormat="1" applyFont="1" applyFill="1" applyBorder="1" applyAlignment="1">
      <alignment horizontal="center" vertical="top"/>
    </xf>
    <xf numFmtId="49" fontId="2" fillId="3" borderId="37" xfId="0" applyNumberFormat="1" applyFont="1" applyFill="1" applyBorder="1" applyAlignment="1">
      <alignment horizontal="center" vertical="top" wrapText="1"/>
    </xf>
    <xf numFmtId="167" fontId="2" fillId="11" borderId="52" xfId="2" applyNumberFormat="1" applyFont="1" applyFill="1" applyBorder="1" applyAlignment="1">
      <alignment horizontal="left" vertical="top" wrapText="1"/>
    </xf>
    <xf numFmtId="167" fontId="2" fillId="11" borderId="17" xfId="2" applyNumberFormat="1" applyFont="1" applyFill="1" applyBorder="1" applyAlignment="1">
      <alignment horizontal="left" vertical="top" wrapText="1"/>
    </xf>
    <xf numFmtId="49" fontId="2" fillId="4" borderId="51" xfId="0" applyNumberFormat="1" applyFont="1" applyFill="1" applyBorder="1" applyAlignment="1">
      <alignment horizontal="center" vertical="top" wrapText="1"/>
    </xf>
    <xf numFmtId="49" fontId="2" fillId="4" borderId="3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textRotation="90" wrapText="1"/>
    </xf>
    <xf numFmtId="49" fontId="8" fillId="4" borderId="37" xfId="0" applyNumberFormat="1" applyFont="1" applyFill="1" applyBorder="1" applyAlignment="1">
      <alignment horizontal="center" vertical="top" wrapText="1"/>
    </xf>
    <xf numFmtId="49" fontId="2" fillId="13" borderId="0" xfId="2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3" fontId="2" fillId="3" borderId="16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 wrapText="1"/>
    </xf>
    <xf numFmtId="3" fontId="3" fillId="4" borderId="26" xfId="0" applyNumberFormat="1" applyFont="1" applyFill="1" applyBorder="1" applyAlignment="1">
      <alignment horizontal="center" vertical="top" wrapText="1"/>
    </xf>
    <xf numFmtId="3" fontId="2" fillId="4" borderId="3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3" fontId="13" fillId="4" borderId="26" xfId="0" applyNumberFormat="1" applyFont="1" applyFill="1" applyBorder="1" applyAlignment="1">
      <alignment horizontal="center" vertical="top" textRotation="90" wrapText="1"/>
    </xf>
    <xf numFmtId="3" fontId="13" fillId="4" borderId="30" xfId="0" applyNumberFormat="1" applyFont="1" applyFill="1" applyBorder="1" applyAlignment="1">
      <alignment horizontal="center" vertical="top" textRotation="90" wrapText="1"/>
    </xf>
    <xf numFmtId="3" fontId="3" fillId="4" borderId="18" xfId="0" applyNumberFormat="1" applyFont="1" applyFill="1" applyBorder="1" applyAlignment="1">
      <alignment horizontal="left" vertical="top" wrapText="1"/>
    </xf>
    <xf numFmtId="3" fontId="3" fillId="4" borderId="19" xfId="0" applyNumberFormat="1" applyFont="1" applyFill="1" applyBorder="1" applyAlignment="1">
      <alignment horizontal="left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left" vertical="top" wrapText="1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17" xfId="0" applyNumberFormat="1" applyFont="1" applyFill="1" applyBorder="1" applyAlignment="1">
      <alignment horizontal="center" vertical="top"/>
    </xf>
    <xf numFmtId="49" fontId="3" fillId="8" borderId="48" xfId="0" applyNumberFormat="1" applyFont="1" applyFill="1" applyBorder="1" applyAlignment="1">
      <alignment horizontal="center" vertical="top"/>
    </xf>
    <xf numFmtId="3" fontId="2" fillId="4" borderId="37" xfId="0" applyNumberFormat="1" applyFont="1" applyFill="1" applyBorder="1" applyAlignment="1">
      <alignment horizontal="left" vertical="top" wrapText="1"/>
    </xf>
    <xf numFmtId="3" fontId="3" fillId="4" borderId="13" xfId="0" applyNumberFormat="1" applyFont="1" applyFill="1" applyBorder="1" applyAlignment="1">
      <alignment horizontal="left" vertical="top" wrapText="1"/>
    </xf>
    <xf numFmtId="3" fontId="2" fillId="4" borderId="3" xfId="0" applyNumberFormat="1" applyFont="1" applyFill="1" applyBorder="1" applyAlignment="1">
      <alignment horizontal="left" vertical="top" wrapText="1"/>
    </xf>
    <xf numFmtId="3" fontId="2" fillId="4" borderId="38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4" borderId="42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13" fillId="4" borderId="18" xfId="0" applyNumberFormat="1" applyFont="1" applyFill="1" applyBorder="1" applyAlignment="1">
      <alignment horizontal="center" vertical="top" wrapText="1"/>
    </xf>
    <xf numFmtId="3" fontId="2" fillId="4" borderId="26" xfId="0" applyNumberFormat="1" applyFont="1" applyFill="1" applyBorder="1" applyAlignment="1">
      <alignment horizontal="left" vertical="top" wrapText="1"/>
    </xf>
    <xf numFmtId="3" fontId="13" fillId="4" borderId="31" xfId="0" applyNumberFormat="1" applyFont="1" applyFill="1" applyBorder="1" applyAlignment="1">
      <alignment horizontal="center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3" fillId="5" borderId="39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49" fontId="2" fillId="3" borderId="51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2" fillId="3" borderId="51" xfId="0" applyNumberFormat="1" applyFont="1" applyFill="1" applyBorder="1" applyAlignment="1">
      <alignment horizontal="left" vertical="top" wrapText="1"/>
    </xf>
    <xf numFmtId="3" fontId="13" fillId="0" borderId="18" xfId="0" applyNumberFormat="1" applyFont="1" applyFill="1" applyBorder="1" applyAlignment="1">
      <alignment horizontal="center" vertical="top" textRotation="90" wrapText="1"/>
    </xf>
    <xf numFmtId="3" fontId="13" fillId="0" borderId="19" xfId="0" applyNumberFormat="1" applyFont="1" applyFill="1" applyBorder="1" applyAlignment="1">
      <alignment horizontal="center" vertical="top" textRotation="90" wrapText="1"/>
    </xf>
    <xf numFmtId="3" fontId="2" fillId="4" borderId="52" xfId="0" applyNumberFormat="1" applyFont="1" applyFill="1" applyBorder="1" applyAlignment="1">
      <alignment horizontal="left" vertical="top" wrapText="1"/>
    </xf>
    <xf numFmtId="3" fontId="2" fillId="4" borderId="53" xfId="0" applyNumberFormat="1" applyFont="1" applyFill="1" applyBorder="1" applyAlignment="1">
      <alignment horizontal="left" vertical="top" wrapText="1"/>
    </xf>
    <xf numFmtId="49" fontId="2" fillId="3" borderId="51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2" fillId="4" borderId="51" xfId="0" applyNumberFormat="1" applyFont="1" applyFill="1" applyBorder="1" applyAlignment="1">
      <alignment vertical="top" wrapText="1"/>
    </xf>
    <xf numFmtId="3" fontId="2" fillId="4" borderId="18" xfId="0" applyNumberFormat="1" applyFont="1" applyFill="1" applyBorder="1" applyAlignment="1">
      <alignment vertical="top" wrapText="1"/>
    </xf>
    <xf numFmtId="3" fontId="2" fillId="4" borderId="37" xfId="0" applyNumberFormat="1" applyFont="1" applyFill="1" applyBorder="1" applyAlignment="1">
      <alignment vertical="top" wrapText="1"/>
    </xf>
    <xf numFmtId="3" fontId="3" fillId="2" borderId="46" xfId="0" applyNumberFormat="1" applyFont="1" applyFill="1" applyBorder="1" applyAlignment="1">
      <alignment horizontal="center" vertical="top" wrapText="1"/>
    </xf>
    <xf numFmtId="3" fontId="3" fillId="2" borderId="60" xfId="0" applyNumberFormat="1" applyFont="1" applyFill="1" applyBorder="1" applyAlignment="1">
      <alignment horizontal="center" vertical="top" wrapText="1"/>
    </xf>
    <xf numFmtId="3" fontId="2" fillId="3" borderId="37" xfId="0" applyNumberFormat="1" applyFont="1" applyFill="1" applyBorder="1" applyAlignment="1">
      <alignment horizontal="left" vertical="top" wrapText="1"/>
    </xf>
    <xf numFmtId="167" fontId="2" fillId="9" borderId="52" xfId="2" applyNumberFormat="1" applyFont="1" applyFill="1" applyBorder="1" applyAlignment="1">
      <alignment vertical="top" wrapText="1"/>
    </xf>
    <xf numFmtId="49" fontId="2" fillId="3" borderId="51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left" vertical="top" wrapText="1"/>
    </xf>
    <xf numFmtId="0" fontId="2" fillId="4" borderId="52" xfId="0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49" xfId="0" applyNumberFormat="1" applyFont="1" applyFill="1" applyBorder="1" applyAlignment="1">
      <alignment vertical="top" wrapText="1"/>
    </xf>
    <xf numFmtId="3" fontId="2" fillId="4" borderId="58" xfId="0" applyNumberFormat="1" applyFont="1" applyFill="1" applyBorder="1" applyAlignment="1">
      <alignment horizontal="left" vertical="top" wrapText="1"/>
    </xf>
    <xf numFmtId="3" fontId="2" fillId="4" borderId="16" xfId="0" applyNumberFormat="1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left" vertical="top" wrapText="1"/>
    </xf>
    <xf numFmtId="3" fontId="2" fillId="4" borderId="52" xfId="0" applyNumberFormat="1" applyFont="1" applyFill="1" applyBorder="1" applyAlignment="1">
      <alignment horizontal="left" vertical="top" wrapText="1"/>
    </xf>
    <xf numFmtId="3" fontId="2" fillId="4" borderId="34" xfId="0" applyNumberFormat="1" applyFont="1" applyFill="1" applyBorder="1" applyAlignment="1">
      <alignment horizontal="center" vertical="top" wrapText="1"/>
    </xf>
    <xf numFmtId="3" fontId="2" fillId="4" borderId="21" xfId="0" applyNumberFormat="1" applyFont="1" applyFill="1" applyBorder="1" applyAlignment="1">
      <alignment horizontal="center" vertical="top" wrapText="1"/>
    </xf>
    <xf numFmtId="3" fontId="2" fillId="0" borderId="66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66" xfId="0" applyFont="1" applyFill="1" applyBorder="1" applyAlignment="1">
      <alignment horizontal="center" vertical="top" wrapText="1"/>
    </xf>
    <xf numFmtId="3" fontId="2" fillId="4" borderId="67" xfId="0" applyNumberFormat="1" applyFont="1" applyFill="1" applyBorder="1" applyAlignment="1">
      <alignment horizontal="center" vertical="top" wrapText="1"/>
    </xf>
    <xf numFmtId="3" fontId="2" fillId="4" borderId="85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8" fillId="4" borderId="29" xfId="0" applyNumberFormat="1" applyFont="1" applyFill="1" applyBorder="1" applyAlignment="1">
      <alignment horizontal="center" vertical="top" wrapText="1"/>
    </xf>
    <xf numFmtId="167" fontId="2" fillId="9" borderId="87" xfId="2" applyNumberFormat="1" applyFont="1" applyFill="1" applyBorder="1" applyAlignment="1">
      <alignment horizontal="center" vertical="center"/>
    </xf>
    <xf numFmtId="167" fontId="2" fillId="9" borderId="88" xfId="2" applyNumberFormat="1" applyFont="1" applyFill="1" applyBorder="1" applyAlignment="1">
      <alignment horizontal="center" vertical="center"/>
    </xf>
    <xf numFmtId="167" fontId="2" fillId="9" borderId="35" xfId="2" applyNumberFormat="1" applyFont="1" applyFill="1" applyBorder="1" applyAlignment="1">
      <alignment horizontal="center" vertical="top"/>
    </xf>
    <xf numFmtId="167" fontId="2" fillId="9" borderId="29" xfId="2" applyNumberFormat="1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 wrapText="1"/>
    </xf>
    <xf numFmtId="0" fontId="2" fillId="4" borderId="67" xfId="0" applyFont="1" applyFill="1" applyBorder="1" applyAlignment="1">
      <alignment horizontal="center" vertical="top" wrapText="1"/>
    </xf>
    <xf numFmtId="167" fontId="2" fillId="9" borderId="29" xfId="2" applyNumberFormat="1" applyFont="1" applyFill="1" applyBorder="1" applyAlignment="1">
      <alignment horizontal="center" vertical="top" wrapText="1"/>
    </xf>
    <xf numFmtId="167" fontId="2" fillId="9" borderId="21" xfId="2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top" wrapText="1"/>
    </xf>
    <xf numFmtId="167" fontId="2" fillId="11" borderId="35" xfId="2" applyNumberFormat="1" applyFont="1" applyFill="1" applyBorder="1" applyAlignment="1">
      <alignment horizontal="center" vertical="top"/>
    </xf>
    <xf numFmtId="167" fontId="2" fillId="11" borderId="29" xfId="2" applyNumberFormat="1" applyFont="1" applyFill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top" wrapText="1"/>
    </xf>
    <xf numFmtId="167" fontId="2" fillId="9" borderId="87" xfId="2" applyNumberFormat="1" applyFont="1" applyFill="1" applyBorder="1" applyAlignment="1">
      <alignment horizontal="center" vertical="top" wrapText="1"/>
    </xf>
    <xf numFmtId="167" fontId="2" fillId="9" borderId="87" xfId="2" applyNumberFormat="1" applyFont="1" applyFill="1" applyBorder="1" applyAlignment="1">
      <alignment horizontal="center" vertical="top"/>
    </xf>
    <xf numFmtId="167" fontId="2" fillId="9" borderId="35" xfId="2" applyNumberFormat="1" applyFont="1" applyFill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/>
    </xf>
    <xf numFmtId="3" fontId="2" fillId="0" borderId="62" xfId="0" applyNumberFormat="1" applyFont="1" applyBorder="1" applyAlignment="1">
      <alignment vertical="top"/>
    </xf>
    <xf numFmtId="3" fontId="2" fillId="0" borderId="34" xfId="0" applyNumberFormat="1" applyFont="1" applyBorder="1" applyAlignment="1">
      <alignment vertical="top"/>
    </xf>
    <xf numFmtId="3" fontId="2" fillId="0" borderId="66" xfId="0" applyNumberFormat="1" applyFont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0" fontId="2" fillId="4" borderId="66" xfId="0" applyNumberFormat="1" applyFont="1" applyFill="1" applyBorder="1" applyAlignment="1">
      <alignment horizontal="center" vertical="top"/>
    </xf>
    <xf numFmtId="1" fontId="2" fillId="4" borderId="67" xfId="0" applyNumberFormat="1" applyFont="1" applyFill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 wrapText="1"/>
    </xf>
    <xf numFmtId="3" fontId="2" fillId="4" borderId="34" xfId="0" applyNumberFormat="1" applyFont="1" applyFill="1" applyBorder="1" applyAlignment="1">
      <alignment horizontal="center" vertical="top"/>
    </xf>
    <xf numFmtId="164" fontId="2" fillId="4" borderId="34" xfId="0" applyNumberFormat="1" applyFont="1" applyFill="1" applyBorder="1" applyAlignment="1">
      <alignment horizontal="center" vertical="top"/>
    </xf>
    <xf numFmtId="164" fontId="2" fillId="4" borderId="66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2" fillId="4" borderId="29" xfId="0" applyNumberFormat="1" applyFont="1" applyFill="1" applyBorder="1" applyAlignment="1">
      <alignment horizontal="center" vertical="top" wrapText="1"/>
    </xf>
    <xf numFmtId="164" fontId="2" fillId="4" borderId="67" xfId="0" applyNumberFormat="1" applyFont="1" applyFill="1" applyBorder="1" applyAlignment="1">
      <alignment horizontal="center" vertical="top" wrapText="1"/>
    </xf>
    <xf numFmtId="164" fontId="3" fillId="4" borderId="29" xfId="0" applyNumberFormat="1" applyFont="1" applyFill="1" applyBorder="1" applyAlignment="1">
      <alignment horizontal="center" vertical="top" wrapText="1"/>
    </xf>
    <xf numFmtId="164" fontId="2" fillId="4" borderId="21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/>
    </xf>
    <xf numFmtId="164" fontId="2" fillId="4" borderId="67" xfId="0" applyNumberFormat="1" applyFont="1" applyFill="1" applyBorder="1" applyAlignment="1">
      <alignment horizontal="center" vertical="top"/>
    </xf>
    <xf numFmtId="164" fontId="2" fillId="4" borderId="29" xfId="0" applyNumberFormat="1" applyFont="1" applyFill="1" applyBorder="1" applyAlignment="1">
      <alignment horizontal="center" vertical="top"/>
    </xf>
    <xf numFmtId="164" fontId="2" fillId="4" borderId="73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 wrapText="1"/>
    </xf>
    <xf numFmtId="164" fontId="2" fillId="4" borderId="66" xfId="0" applyNumberFormat="1" applyFont="1" applyFill="1" applyBorder="1" applyAlignment="1">
      <alignment horizontal="center" vertical="center" wrapText="1"/>
    </xf>
    <xf numFmtId="164" fontId="2" fillId="4" borderId="85" xfId="0" applyNumberFormat="1" applyFont="1" applyFill="1" applyBorder="1" applyAlignment="1">
      <alignment horizontal="center" vertical="top" wrapText="1"/>
    </xf>
    <xf numFmtId="164" fontId="3" fillId="5" borderId="85" xfId="0" applyNumberFormat="1" applyFont="1" applyFill="1" applyBorder="1" applyAlignment="1">
      <alignment horizontal="center" vertical="top" wrapText="1"/>
    </xf>
    <xf numFmtId="0" fontId="2" fillId="4" borderId="73" xfId="0" applyFont="1" applyFill="1" applyBorder="1" applyAlignment="1">
      <alignment horizontal="center" vertical="top" wrapText="1"/>
    </xf>
    <xf numFmtId="164" fontId="3" fillId="5" borderId="21" xfId="0" applyNumberFormat="1" applyFont="1" applyFill="1" applyBorder="1" applyAlignment="1">
      <alignment horizontal="center" vertical="top" wrapText="1"/>
    </xf>
    <xf numFmtId="164" fontId="3" fillId="2" borderId="86" xfId="0" applyNumberFormat="1" applyFont="1" applyFill="1" applyBorder="1" applyAlignment="1">
      <alignment horizontal="center" vertical="top" wrapText="1"/>
    </xf>
    <xf numFmtId="164" fontId="3" fillId="8" borderId="86" xfId="0" applyNumberFormat="1" applyFont="1" applyFill="1" applyBorder="1" applyAlignment="1">
      <alignment horizontal="center" vertical="top" wrapText="1"/>
    </xf>
    <xf numFmtId="0" fontId="2" fillId="15" borderId="55" xfId="0" applyFont="1" applyFill="1" applyBorder="1" applyAlignment="1">
      <alignment horizontal="center" vertical="top" wrapText="1"/>
    </xf>
    <xf numFmtId="164" fontId="8" fillId="4" borderId="67" xfId="0" applyNumberFormat="1" applyFont="1" applyFill="1" applyBorder="1" applyAlignment="1">
      <alignment horizontal="center" vertical="top" wrapText="1"/>
    </xf>
    <xf numFmtId="164" fontId="2" fillId="12" borderId="35" xfId="2" applyNumberFormat="1" applyFont="1" applyFill="1" applyBorder="1" applyAlignment="1">
      <alignment horizontal="center" vertical="top"/>
    </xf>
    <xf numFmtId="164" fontId="2" fillId="12" borderId="66" xfId="2" applyNumberFormat="1" applyFont="1" applyFill="1" applyBorder="1" applyAlignment="1">
      <alignment horizontal="center" vertical="top"/>
    </xf>
    <xf numFmtId="164" fontId="2" fillId="4" borderId="67" xfId="2" applyNumberFormat="1" applyFont="1" applyFill="1" applyBorder="1" applyAlignment="1">
      <alignment horizontal="center" vertical="top"/>
    </xf>
    <xf numFmtId="164" fontId="2" fillId="11" borderId="66" xfId="2" applyNumberFormat="1" applyFont="1" applyFill="1" applyBorder="1" applyAlignment="1">
      <alignment horizontal="center" vertical="top"/>
    </xf>
    <xf numFmtId="164" fontId="2" fillId="11" borderId="35" xfId="2" applyNumberFormat="1" applyFont="1" applyFill="1" applyBorder="1" applyAlignment="1">
      <alignment horizontal="center" vertical="top"/>
    </xf>
    <xf numFmtId="164" fontId="2" fillId="0" borderId="34" xfId="0" applyNumberFormat="1" applyFont="1" applyFill="1" applyBorder="1" applyAlignment="1">
      <alignment horizontal="center" vertical="top" wrapText="1"/>
    </xf>
    <xf numFmtId="164" fontId="2" fillId="12" borderId="29" xfId="2" applyNumberFormat="1" applyFont="1" applyFill="1" applyBorder="1" applyAlignment="1">
      <alignment horizontal="center" vertical="top"/>
    </xf>
    <xf numFmtId="164" fontId="3" fillId="14" borderId="66" xfId="2" applyNumberFormat="1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 wrapText="1"/>
    </xf>
    <xf numFmtId="164" fontId="3" fillId="4" borderId="35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/>
    </xf>
    <xf numFmtId="3" fontId="2" fillId="0" borderId="49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164" fontId="2" fillId="0" borderId="67" xfId="0" applyNumberFormat="1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center" vertical="top"/>
    </xf>
    <xf numFmtId="164" fontId="2" fillId="0" borderId="73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66" xfId="0" applyNumberFormat="1" applyFont="1" applyFill="1" applyBorder="1" applyAlignment="1">
      <alignment horizontal="center" vertical="top"/>
    </xf>
    <xf numFmtId="164" fontId="3" fillId="5" borderId="85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 wrapText="1"/>
    </xf>
    <xf numFmtId="164" fontId="2" fillId="3" borderId="34" xfId="0" applyNumberFormat="1" applyFont="1" applyFill="1" applyBorder="1" applyAlignment="1">
      <alignment horizontal="center" vertical="top" wrapText="1"/>
    </xf>
    <xf numFmtId="164" fontId="2" fillId="3" borderId="67" xfId="0" applyNumberFormat="1" applyFont="1" applyFill="1" applyBorder="1" applyAlignment="1">
      <alignment horizontal="center" vertical="top" wrapText="1"/>
    </xf>
    <xf numFmtId="164" fontId="2" fillId="4" borderId="89" xfId="0" applyNumberFormat="1" applyFont="1" applyFill="1" applyBorder="1" applyAlignment="1">
      <alignment horizontal="center" vertical="top"/>
    </xf>
    <xf numFmtId="165" fontId="2" fillId="0" borderId="34" xfId="0" applyNumberFormat="1" applyFont="1" applyBorder="1" applyAlignment="1">
      <alignment horizontal="center" vertical="top" wrapText="1"/>
    </xf>
    <xf numFmtId="164" fontId="3" fillId="8" borderId="21" xfId="0" applyNumberFormat="1" applyFont="1" applyFill="1" applyBorder="1" applyAlignment="1">
      <alignment horizontal="center" vertical="top" wrapText="1"/>
    </xf>
    <xf numFmtId="164" fontId="3" fillId="7" borderId="21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53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167" fontId="2" fillId="9" borderId="90" xfId="2" applyNumberFormat="1" applyFont="1" applyFill="1" applyBorder="1" applyAlignment="1">
      <alignment horizontal="left" vertical="top" wrapText="1"/>
    </xf>
    <xf numFmtId="3" fontId="2" fillId="0" borderId="56" xfId="0" applyNumberFormat="1" applyFont="1" applyFill="1" applyBorder="1" applyAlignment="1">
      <alignment vertical="top" wrapText="1"/>
    </xf>
    <xf numFmtId="3" fontId="2" fillId="4" borderId="90" xfId="0" applyNumberFormat="1" applyFont="1" applyFill="1" applyBorder="1" applyAlignment="1">
      <alignment horizontal="center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4" borderId="67" xfId="0" applyNumberFormat="1" applyFont="1" applyFill="1" applyBorder="1" applyAlignment="1">
      <alignment horizontal="center" vertical="top" wrapText="1"/>
    </xf>
    <xf numFmtId="3" fontId="13" fillId="4" borderId="67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167" fontId="2" fillId="9" borderId="36" xfId="2" applyNumberFormat="1" applyFont="1" applyFill="1" applyBorder="1" applyAlignment="1">
      <alignment horizontal="left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2" fillId="4" borderId="21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3" fontId="13" fillId="0" borderId="18" xfId="0" applyNumberFormat="1" applyFont="1" applyFill="1" applyBorder="1" applyAlignment="1">
      <alignment horizontal="center" vertical="top" textRotation="90" wrapText="1"/>
    </xf>
    <xf numFmtId="3" fontId="2" fillId="0" borderId="5" xfId="0" applyNumberFormat="1" applyFont="1" applyBorder="1" applyAlignment="1">
      <alignment horizontal="center" vertical="top" wrapText="1"/>
    </xf>
    <xf numFmtId="49" fontId="2" fillId="3" borderId="51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 wrapText="1"/>
    </xf>
    <xf numFmtId="164" fontId="2" fillId="4" borderId="73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left" vertical="top" wrapText="1"/>
    </xf>
    <xf numFmtId="3" fontId="2" fillId="4" borderId="12" xfId="0" applyNumberFormat="1" applyFont="1" applyFill="1" applyBorder="1" applyAlignment="1">
      <alignment horizontal="center" vertical="top" wrapText="1"/>
    </xf>
    <xf numFmtId="164" fontId="2" fillId="4" borderId="86" xfId="0" applyNumberFormat="1" applyFont="1" applyFill="1" applyBorder="1" applyAlignment="1">
      <alignment horizontal="center" vertical="top" wrapText="1"/>
    </xf>
    <xf numFmtId="3" fontId="2" fillId="4" borderId="46" xfId="0" applyNumberFormat="1" applyFont="1" applyFill="1" applyBorder="1" applyAlignment="1">
      <alignment vertical="top" wrapText="1"/>
    </xf>
    <xf numFmtId="3" fontId="2" fillId="4" borderId="86" xfId="0" applyNumberFormat="1" applyFont="1" applyFill="1" applyBorder="1" applyAlignment="1">
      <alignment horizontal="center" vertical="top" wrapText="1"/>
    </xf>
    <xf numFmtId="165" fontId="2" fillId="4" borderId="73" xfId="0" applyNumberFormat="1" applyFont="1" applyFill="1" applyBorder="1" applyAlignment="1">
      <alignment horizontal="center" vertical="top"/>
    </xf>
    <xf numFmtId="164" fontId="2" fillId="0" borderId="29" xfId="0" applyNumberFormat="1" applyFont="1" applyBorder="1" applyAlignment="1">
      <alignment horizontal="center" vertical="top" wrapText="1"/>
    </xf>
    <xf numFmtId="164" fontId="2" fillId="4" borderId="66" xfId="2" applyNumberFormat="1" applyFont="1" applyFill="1" applyBorder="1" applyAlignment="1">
      <alignment horizontal="center" vertical="top"/>
    </xf>
    <xf numFmtId="167" fontId="2" fillId="9" borderId="33" xfId="2" applyNumberFormat="1" applyFont="1" applyFill="1" applyBorder="1" applyAlignment="1">
      <alignment horizontal="left" vertical="top" wrapText="1"/>
    </xf>
    <xf numFmtId="3" fontId="2" fillId="4" borderId="42" xfId="0" applyNumberFormat="1" applyFont="1" applyFill="1" applyBorder="1" applyAlignment="1">
      <alignment vertical="top" wrapText="1"/>
    </xf>
    <xf numFmtId="3" fontId="13" fillId="4" borderId="35" xfId="0" applyNumberFormat="1" applyFont="1" applyFill="1" applyBorder="1" applyAlignment="1">
      <alignment vertical="top" wrapText="1"/>
    </xf>
    <xf numFmtId="167" fontId="2" fillId="11" borderId="53" xfId="2" applyNumberFormat="1" applyFont="1" applyFill="1" applyBorder="1" applyAlignment="1">
      <alignment horizontal="left" vertical="top" wrapText="1"/>
    </xf>
    <xf numFmtId="167" fontId="2" fillId="11" borderId="67" xfId="2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 wrapText="1"/>
    </xf>
    <xf numFmtId="49" fontId="2" fillId="4" borderId="56" xfId="0" applyNumberFormat="1" applyFont="1" applyFill="1" applyBorder="1" applyAlignment="1">
      <alignment horizontal="center" vertical="top" wrapText="1"/>
    </xf>
    <xf numFmtId="3" fontId="2" fillId="4" borderId="91" xfId="0" applyNumberFormat="1" applyFont="1" applyFill="1" applyBorder="1" applyAlignment="1">
      <alignment horizontal="center" vertical="top" wrapText="1"/>
    </xf>
    <xf numFmtId="3" fontId="2" fillId="4" borderId="67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3" fontId="2" fillId="4" borderId="29" xfId="0" applyNumberFormat="1" applyFont="1" applyFill="1" applyBorder="1" applyAlignment="1">
      <alignment horizontal="center" vertical="top" wrapText="1"/>
    </xf>
    <xf numFmtId="3" fontId="2" fillId="4" borderId="37" xfId="0" applyNumberFormat="1" applyFont="1" applyFill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2" fillId="4" borderId="30" xfId="0" applyNumberFormat="1" applyFont="1" applyFill="1" applyBorder="1" applyAlignment="1">
      <alignment horizontal="left" vertical="top" wrapText="1"/>
    </xf>
    <xf numFmtId="3" fontId="2" fillId="4" borderId="52" xfId="0" applyNumberFormat="1" applyFont="1" applyFill="1" applyBorder="1" applyAlignment="1">
      <alignment horizontal="left" vertical="top" wrapText="1"/>
    </xf>
    <xf numFmtId="3" fontId="13" fillId="0" borderId="18" xfId="0" applyNumberFormat="1" applyFont="1" applyFill="1" applyBorder="1" applyAlignment="1">
      <alignment horizontal="center" vertical="top" textRotation="90" wrapText="1"/>
    </xf>
    <xf numFmtId="3" fontId="13" fillId="4" borderId="29" xfId="0" applyNumberFormat="1" applyFont="1" applyFill="1" applyBorder="1" applyAlignment="1">
      <alignment horizontal="center" vertical="top" wrapText="1"/>
    </xf>
    <xf numFmtId="164" fontId="8" fillId="4" borderId="29" xfId="0" applyNumberFormat="1" applyFont="1" applyFill="1" applyBorder="1" applyAlignment="1">
      <alignment horizontal="center" vertical="top" wrapText="1"/>
    </xf>
    <xf numFmtId="3" fontId="2" fillId="3" borderId="51" xfId="0" applyNumberFormat="1" applyFont="1" applyFill="1" applyBorder="1" applyAlignment="1">
      <alignment vertical="top" wrapText="1"/>
    </xf>
    <xf numFmtId="3" fontId="3" fillId="4" borderId="56" xfId="0" applyNumberFormat="1" applyFont="1" applyFill="1" applyBorder="1" applyAlignment="1">
      <alignment horizontal="left" vertical="top" wrapText="1"/>
    </xf>
    <xf numFmtId="3" fontId="2" fillId="4" borderId="72" xfId="0" applyNumberFormat="1" applyFont="1" applyFill="1" applyBorder="1" applyAlignment="1">
      <alignment horizontal="left" vertical="top" wrapText="1"/>
    </xf>
    <xf numFmtId="3" fontId="2" fillId="4" borderId="36" xfId="0" applyNumberFormat="1" applyFont="1" applyFill="1" applyBorder="1" applyAlignment="1">
      <alignment horizontal="left" vertical="top" wrapText="1"/>
    </xf>
    <xf numFmtId="3" fontId="2" fillId="4" borderId="90" xfId="0" applyNumberFormat="1" applyFont="1" applyFill="1" applyBorder="1" applyAlignment="1">
      <alignment horizontal="left" vertical="top" wrapText="1"/>
    </xf>
    <xf numFmtId="3" fontId="2" fillId="4" borderId="29" xfId="0" applyNumberFormat="1" applyFont="1" applyFill="1" applyBorder="1" applyAlignment="1">
      <alignment horizontal="center" vertical="top" wrapText="1"/>
    </xf>
    <xf numFmtId="3" fontId="2" fillId="4" borderId="67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2" fillId="4" borderId="20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 wrapText="1"/>
    </xf>
    <xf numFmtId="164" fontId="2" fillId="4" borderId="21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/>
    </xf>
    <xf numFmtId="3" fontId="2" fillId="4" borderId="67" xfId="0" applyNumberFormat="1" applyFont="1" applyFill="1" applyBorder="1" applyAlignment="1">
      <alignment horizontal="center" vertical="top"/>
    </xf>
    <xf numFmtId="3" fontId="2" fillId="4" borderId="34" xfId="0" applyNumberFormat="1" applyFont="1" applyFill="1" applyBorder="1" applyAlignment="1">
      <alignment horizontal="center" vertical="top" wrapText="1"/>
    </xf>
    <xf numFmtId="3" fontId="2" fillId="4" borderId="26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0" fontId="2" fillId="4" borderId="52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53" xfId="0" applyFont="1" applyFill="1" applyBorder="1" applyAlignment="1">
      <alignment horizontal="left" vertical="top" wrapText="1"/>
    </xf>
    <xf numFmtId="49" fontId="2" fillId="3" borderId="51" xfId="0" applyNumberFormat="1" applyFont="1" applyFill="1" applyBorder="1" applyAlignment="1">
      <alignment horizontal="center" vertical="top" wrapText="1"/>
    </xf>
    <xf numFmtId="49" fontId="2" fillId="3" borderId="37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vertical="top" wrapText="1"/>
    </xf>
    <xf numFmtId="3" fontId="2" fillId="4" borderId="37" xfId="0" applyNumberFormat="1" applyFont="1" applyFill="1" applyBorder="1" applyAlignment="1">
      <alignment vertical="top" wrapText="1"/>
    </xf>
    <xf numFmtId="49" fontId="2" fillId="4" borderId="72" xfId="2" applyNumberFormat="1" applyFont="1" applyFill="1" applyBorder="1" applyAlignment="1">
      <alignment horizontal="center" vertical="top"/>
    </xf>
    <xf numFmtId="49" fontId="2" fillId="4" borderId="90" xfId="2" applyNumberFormat="1" applyFont="1" applyFill="1" applyBorder="1" applyAlignment="1">
      <alignment horizontal="center" vertical="top"/>
    </xf>
    <xf numFmtId="164" fontId="2" fillId="12" borderId="35" xfId="2" applyNumberFormat="1" applyFont="1" applyFill="1" applyBorder="1" applyAlignment="1">
      <alignment horizontal="center" vertical="top"/>
    </xf>
    <xf numFmtId="164" fontId="2" fillId="12" borderId="67" xfId="2" applyNumberFormat="1" applyFont="1" applyFill="1" applyBorder="1" applyAlignment="1">
      <alignment horizontal="center" vertical="top"/>
    </xf>
    <xf numFmtId="3" fontId="2" fillId="4" borderId="51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4" borderId="37" xfId="0" applyNumberFormat="1" applyFont="1" applyFill="1" applyBorder="1" applyAlignment="1">
      <alignment horizontal="left" vertical="top" wrapText="1"/>
    </xf>
    <xf numFmtId="49" fontId="2" fillId="3" borderId="19" xfId="0" applyNumberFormat="1" applyFont="1" applyFill="1" applyBorder="1" applyAlignment="1">
      <alignment horizontal="center" vertical="top" wrapText="1"/>
    </xf>
    <xf numFmtId="3" fontId="2" fillId="4" borderId="19" xfId="0" applyNumberFormat="1" applyFont="1" applyFill="1" applyBorder="1" applyAlignment="1">
      <alignment horizontal="left" vertical="top" wrapText="1"/>
    </xf>
    <xf numFmtId="167" fontId="2" fillId="9" borderId="72" xfId="2" applyNumberFormat="1" applyFont="1" applyFill="1" applyBorder="1" applyAlignment="1">
      <alignment horizontal="left" vertical="top" wrapText="1"/>
    </xf>
    <xf numFmtId="167" fontId="2" fillId="9" borderId="20" xfId="2" applyNumberFormat="1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167" fontId="2" fillId="9" borderId="36" xfId="2" applyNumberFormat="1" applyFont="1" applyFill="1" applyBorder="1" applyAlignment="1">
      <alignment horizontal="left" vertical="top" wrapText="1"/>
    </xf>
    <xf numFmtId="167" fontId="2" fillId="9" borderId="90" xfId="2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67" xfId="0" applyNumberFormat="1" applyFont="1" applyFill="1" applyBorder="1" applyAlignment="1">
      <alignment horizontal="center" vertical="top" wrapText="1"/>
    </xf>
    <xf numFmtId="167" fontId="2" fillId="11" borderId="72" xfId="2" applyNumberFormat="1" applyFont="1" applyFill="1" applyBorder="1" applyAlignment="1">
      <alignment horizontal="left" vertical="top" wrapText="1"/>
    </xf>
    <xf numFmtId="167" fontId="2" fillId="11" borderId="90" xfId="2" applyNumberFormat="1" applyFont="1" applyFill="1" applyBorder="1" applyAlignment="1">
      <alignment horizontal="left" vertical="top" wrapText="1"/>
    </xf>
    <xf numFmtId="3" fontId="3" fillId="5" borderId="40" xfId="0" applyNumberFormat="1" applyFont="1" applyFill="1" applyBorder="1" applyAlignment="1">
      <alignment horizontal="right" vertical="top" wrapText="1"/>
    </xf>
    <xf numFmtId="3" fontId="3" fillId="5" borderId="38" xfId="0" applyNumberFormat="1" applyFont="1" applyFill="1" applyBorder="1" applyAlignment="1">
      <alignment horizontal="right" vertical="top" wrapText="1"/>
    </xf>
    <xf numFmtId="3" fontId="3" fillId="5" borderId="39" xfId="0" applyNumberFormat="1" applyFont="1" applyFill="1" applyBorder="1" applyAlignment="1">
      <alignment horizontal="right" vertical="top" wrapText="1"/>
    </xf>
    <xf numFmtId="3" fontId="3" fillId="4" borderId="51" xfId="0" applyNumberFormat="1" applyFont="1" applyFill="1" applyBorder="1" applyAlignment="1">
      <alignment horizontal="left" vertical="top" wrapText="1"/>
    </xf>
    <xf numFmtId="3" fontId="3" fillId="4" borderId="18" xfId="0" applyNumberFormat="1" applyFont="1" applyFill="1" applyBorder="1" applyAlignment="1">
      <alignment horizontal="left" vertical="top" wrapText="1"/>
    </xf>
    <xf numFmtId="3" fontId="3" fillId="4" borderId="13" xfId="0" applyNumberFormat="1" applyFont="1" applyFill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left" vertical="top" wrapText="1"/>
    </xf>
    <xf numFmtId="3" fontId="3" fillId="4" borderId="30" xfId="0" applyNumberFormat="1" applyFont="1" applyFill="1" applyBorder="1" applyAlignment="1">
      <alignment horizontal="left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horizontal="center" vertical="top" textRotation="90" wrapText="1"/>
    </xf>
    <xf numFmtId="3" fontId="3" fillId="4" borderId="19" xfId="0" applyNumberFormat="1" applyFont="1" applyFill="1" applyBorder="1" applyAlignment="1">
      <alignment horizontal="left" vertical="top" wrapText="1"/>
    </xf>
    <xf numFmtId="3" fontId="13" fillId="5" borderId="40" xfId="0" applyNumberFormat="1" applyFont="1" applyFill="1" applyBorder="1" applyAlignment="1">
      <alignment horizontal="right" vertical="top" wrapText="1"/>
    </xf>
    <xf numFmtId="3" fontId="13" fillId="5" borderId="39" xfId="0" applyNumberFormat="1" applyFont="1" applyFill="1" applyBorder="1" applyAlignment="1">
      <alignment horizontal="right" vertical="top" wrapText="1"/>
    </xf>
    <xf numFmtId="3" fontId="2" fillId="4" borderId="42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left" vertical="top" wrapText="1"/>
    </xf>
    <xf numFmtId="3" fontId="2" fillId="4" borderId="38" xfId="0" applyNumberFormat="1" applyFont="1" applyFill="1" applyBorder="1" applyAlignment="1">
      <alignment horizontal="left" vertical="top" wrapText="1"/>
    </xf>
    <xf numFmtId="3" fontId="3" fillId="5" borderId="41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3" fontId="6" fillId="0" borderId="0" xfId="0" applyNumberFormat="1" applyFont="1" applyAlignment="1">
      <alignment horizontal="left" vertical="top" wrapText="1"/>
    </xf>
    <xf numFmtId="3" fontId="11" fillId="4" borderId="18" xfId="0" applyNumberFormat="1" applyFont="1" applyFill="1" applyBorder="1" applyAlignment="1">
      <alignment horizontal="left" vertical="top" wrapText="1"/>
    </xf>
    <xf numFmtId="167" fontId="2" fillId="9" borderId="52" xfId="2" applyNumberFormat="1" applyFont="1" applyFill="1" applyBorder="1" applyAlignment="1">
      <alignment horizontal="left" vertical="top" wrapText="1"/>
    </xf>
    <xf numFmtId="167" fontId="2" fillId="9" borderId="17" xfId="2" applyNumberFormat="1" applyFont="1" applyFill="1" applyBorder="1" applyAlignment="1">
      <alignment horizontal="left" vertical="top" wrapText="1"/>
    </xf>
    <xf numFmtId="165" fontId="2" fillId="0" borderId="34" xfId="0" applyNumberFormat="1" applyFont="1" applyBorder="1" applyAlignment="1">
      <alignment horizontal="center" vertical="center" textRotation="90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21" xfId="0" applyNumberFormat="1" applyFont="1" applyBorder="1" applyAlignment="1">
      <alignment horizontal="center" vertical="center" textRotation="90" wrapText="1"/>
    </xf>
    <xf numFmtId="3" fontId="13" fillId="4" borderId="13" xfId="0" applyNumberFormat="1" applyFont="1" applyFill="1" applyBorder="1" applyAlignment="1">
      <alignment horizontal="center" vertical="top" wrapText="1"/>
    </xf>
    <xf numFmtId="3" fontId="13" fillId="4" borderId="18" xfId="0" applyNumberFormat="1" applyFont="1" applyFill="1" applyBorder="1" applyAlignment="1">
      <alignment horizontal="center" vertical="top" wrapText="1"/>
    </xf>
    <xf numFmtId="3" fontId="13" fillId="4" borderId="19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3" fillId="10" borderId="13" xfId="0" quotePrefix="1" applyNumberFormat="1" applyFont="1" applyFill="1" applyBorder="1" applyAlignment="1">
      <alignment horizontal="center" vertical="top" wrapText="1"/>
    </xf>
    <xf numFmtId="3" fontId="3" fillId="10" borderId="18" xfId="0" quotePrefix="1" applyNumberFormat="1" applyFont="1" applyFill="1" applyBorder="1" applyAlignment="1">
      <alignment horizontal="center" vertical="top" wrapText="1"/>
    </xf>
    <xf numFmtId="3" fontId="3" fillId="10" borderId="19" xfId="0" quotePrefix="1" applyNumberFormat="1" applyFont="1" applyFill="1" applyBorder="1" applyAlignment="1">
      <alignment horizontal="center" vertical="top" wrapText="1"/>
    </xf>
    <xf numFmtId="3" fontId="13" fillId="4" borderId="31" xfId="0" applyNumberFormat="1" applyFont="1" applyFill="1" applyBorder="1" applyAlignment="1">
      <alignment horizontal="center" vertical="top" wrapText="1"/>
    </xf>
    <xf numFmtId="3" fontId="13" fillId="4" borderId="30" xfId="0" applyNumberFormat="1" applyFont="1" applyFill="1" applyBorder="1" applyAlignment="1">
      <alignment horizontal="center" vertical="top" wrapText="1"/>
    </xf>
    <xf numFmtId="3" fontId="3" fillId="2" borderId="14" xfId="0" applyNumberFormat="1" applyFont="1" applyFill="1" applyBorder="1" applyAlignment="1">
      <alignment horizontal="right" vertical="top" wrapText="1"/>
    </xf>
    <xf numFmtId="3" fontId="3" fillId="2" borderId="46" xfId="0" applyNumberFormat="1" applyFont="1" applyFill="1" applyBorder="1" applyAlignment="1">
      <alignment horizontal="right" vertical="top" wrapText="1"/>
    </xf>
    <xf numFmtId="3" fontId="3" fillId="8" borderId="14" xfId="0" applyNumberFormat="1" applyFont="1" applyFill="1" applyBorder="1" applyAlignment="1">
      <alignment horizontal="right" vertical="top" wrapText="1"/>
    </xf>
    <xf numFmtId="3" fontId="3" fillId="8" borderId="46" xfId="0" applyNumberFormat="1" applyFont="1" applyFill="1" applyBorder="1" applyAlignment="1">
      <alignment horizontal="right" vertical="top" wrapText="1"/>
    </xf>
    <xf numFmtId="3" fontId="3" fillId="8" borderId="14" xfId="0" applyNumberFormat="1" applyFont="1" applyFill="1" applyBorder="1" applyAlignment="1">
      <alignment horizontal="left" vertical="top" wrapText="1"/>
    </xf>
    <xf numFmtId="3" fontId="3" fillId="8" borderId="46" xfId="0" applyNumberFormat="1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left" vertical="top" wrapText="1"/>
    </xf>
    <xf numFmtId="3" fontId="3" fillId="2" borderId="46" xfId="0" applyNumberFormat="1" applyFont="1" applyFill="1" applyBorder="1" applyAlignment="1">
      <alignment horizontal="left" vertical="top" wrapText="1"/>
    </xf>
    <xf numFmtId="3" fontId="3" fillId="2" borderId="6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vertical="top" wrapText="1"/>
    </xf>
    <xf numFmtId="3" fontId="2" fillId="0" borderId="32" xfId="0" applyNumberFormat="1" applyFont="1" applyBorder="1" applyAlignment="1">
      <alignment vertical="top" wrapText="1"/>
    </xf>
    <xf numFmtId="3" fontId="2" fillId="0" borderId="52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left" vertical="top" wrapText="1"/>
    </xf>
    <xf numFmtId="3" fontId="2" fillId="5" borderId="56" xfId="0" applyNumberFormat="1" applyFont="1" applyFill="1" applyBorder="1" applyAlignment="1">
      <alignment horizontal="left" vertical="top" wrapText="1"/>
    </xf>
    <xf numFmtId="3" fontId="2" fillId="5" borderId="44" xfId="0" applyNumberFormat="1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7" borderId="62" xfId="0" applyNumberFormat="1" applyFont="1" applyFill="1" applyBorder="1" applyAlignment="1">
      <alignment horizontal="right" vertical="top" wrapText="1"/>
    </xf>
    <xf numFmtId="3" fontId="3" fillId="7" borderId="50" xfId="0" applyNumberFormat="1" applyFont="1" applyFill="1" applyBorder="1" applyAlignment="1">
      <alignment horizontal="right" vertical="top" wrapText="1"/>
    </xf>
    <xf numFmtId="3" fontId="3" fillId="5" borderId="55" xfId="0" applyNumberFormat="1" applyFont="1" applyFill="1" applyBorder="1" applyAlignment="1">
      <alignment horizontal="right" vertical="top" wrapText="1"/>
    </xf>
    <xf numFmtId="3" fontId="3" fillId="5" borderId="32" xfId="0" applyNumberFormat="1" applyFont="1" applyFill="1" applyBorder="1" applyAlignment="1">
      <alignment horizontal="righ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3" fillId="7" borderId="55" xfId="0" applyNumberFormat="1" applyFont="1" applyFill="1" applyBorder="1" applyAlignment="1">
      <alignment horizontal="right" vertical="top" wrapText="1"/>
    </xf>
    <xf numFmtId="3" fontId="3" fillId="7" borderId="32" xfId="0" applyNumberFormat="1" applyFont="1" applyFill="1" applyBorder="1" applyAlignment="1">
      <alignment horizontal="right" vertical="top" wrapText="1"/>
    </xf>
    <xf numFmtId="3" fontId="2" fillId="0" borderId="53" xfId="0" applyNumberFormat="1" applyFont="1" applyBorder="1" applyAlignment="1">
      <alignment horizontal="left" vertical="top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25" xfId="0" applyNumberFormat="1" applyFont="1" applyBorder="1" applyAlignment="1">
      <alignment horizontal="left" vertical="top" wrapText="1"/>
    </xf>
    <xf numFmtId="3" fontId="3" fillId="0" borderId="55" xfId="0" applyNumberFormat="1" applyFont="1" applyBorder="1" applyAlignment="1">
      <alignment horizontal="left" vertical="top" wrapText="1"/>
    </xf>
    <xf numFmtId="3" fontId="3" fillId="0" borderId="32" xfId="0" applyNumberFormat="1" applyFont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left" vertical="top" wrapText="1"/>
    </xf>
    <xf numFmtId="3" fontId="2" fillId="4" borderId="52" xfId="0" applyNumberFormat="1" applyFont="1" applyFill="1" applyBorder="1" applyAlignment="1">
      <alignment horizontal="left" vertical="top" wrapText="1"/>
    </xf>
    <xf numFmtId="3" fontId="2" fillId="4" borderId="53" xfId="0" applyNumberFormat="1" applyFont="1" applyFill="1" applyBorder="1" applyAlignment="1">
      <alignment horizontal="left" vertical="top" wrapText="1"/>
    </xf>
    <xf numFmtId="3" fontId="2" fillId="4" borderId="20" xfId="0" applyNumberFormat="1" applyFont="1" applyFill="1" applyBorder="1" applyAlignment="1">
      <alignment horizontal="left" vertical="top" wrapText="1"/>
    </xf>
    <xf numFmtId="3" fontId="2" fillId="4" borderId="22" xfId="0" applyNumberFormat="1" applyFont="1" applyFill="1" applyBorder="1" applyAlignment="1">
      <alignment horizontal="left" vertical="top" wrapText="1"/>
    </xf>
    <xf numFmtId="3" fontId="3" fillId="0" borderId="38" xfId="0" applyNumberFormat="1" applyFont="1" applyFill="1" applyBorder="1" applyAlignment="1">
      <alignment horizontal="center" wrapText="1"/>
    </xf>
    <xf numFmtId="3" fontId="12" fillId="4" borderId="10" xfId="0" applyNumberFormat="1" applyFont="1" applyFill="1" applyBorder="1" applyAlignment="1">
      <alignment horizontal="center" vertical="top" wrapText="1"/>
    </xf>
    <xf numFmtId="3" fontId="12" fillId="4" borderId="42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17" xfId="0" applyNumberFormat="1" applyFont="1" applyFill="1" applyBorder="1" applyAlignment="1">
      <alignment horizontal="center" vertical="top"/>
    </xf>
    <xf numFmtId="49" fontId="3" fillId="8" borderId="48" xfId="0" applyNumberFormat="1" applyFont="1" applyFill="1" applyBorder="1" applyAlignment="1">
      <alignment horizontal="center" vertical="top"/>
    </xf>
    <xf numFmtId="3" fontId="3" fillId="6" borderId="16" xfId="0" applyNumberFormat="1" applyFont="1" applyFill="1" applyBorder="1" applyAlignment="1">
      <alignment horizontal="left" vertical="top" wrapText="1"/>
    </xf>
    <xf numFmtId="3" fontId="3" fillId="6" borderId="3" xfId="0" applyNumberFormat="1" applyFont="1" applyFill="1" applyBorder="1" applyAlignment="1">
      <alignment horizontal="left" vertical="top" wrapText="1"/>
    </xf>
    <xf numFmtId="3" fontId="3" fillId="6" borderId="23" xfId="0" applyNumberFormat="1" applyFont="1" applyFill="1" applyBorder="1" applyAlignment="1">
      <alignment horizontal="left" vertical="top" wrapText="1"/>
    </xf>
    <xf numFmtId="3" fontId="4" fillId="7" borderId="55" xfId="0" applyNumberFormat="1" applyFont="1" applyFill="1" applyBorder="1" applyAlignment="1">
      <alignment horizontal="left" vertical="top" wrapText="1"/>
    </xf>
    <xf numFmtId="3" fontId="4" fillId="7" borderId="32" xfId="0" applyNumberFormat="1" applyFont="1" applyFill="1" applyBorder="1" applyAlignment="1">
      <alignment horizontal="left" vertical="top" wrapText="1"/>
    </xf>
    <xf numFmtId="3" fontId="4" fillId="7" borderId="25" xfId="0" applyNumberFormat="1" applyFont="1" applyFill="1" applyBorder="1" applyAlignment="1">
      <alignment horizontal="left" vertical="top" wrapText="1"/>
    </xf>
    <xf numFmtId="167" fontId="2" fillId="9" borderId="53" xfId="2" applyNumberFormat="1" applyFont="1" applyFill="1" applyBorder="1" applyAlignment="1">
      <alignment horizontal="left" vertical="top" wrapText="1"/>
    </xf>
    <xf numFmtId="11" fontId="2" fillId="0" borderId="22" xfId="0" applyNumberFormat="1" applyFont="1" applyBorder="1" applyAlignment="1">
      <alignment horizontal="center" vertical="center" textRotation="90" wrapText="1"/>
    </xf>
    <xf numFmtId="11" fontId="2" fillId="0" borderId="36" xfId="0" applyNumberFormat="1" applyFont="1" applyBorder="1" applyAlignment="1">
      <alignment horizontal="center" vertical="center" textRotation="90" wrapText="1"/>
    </xf>
    <xf numFmtId="11" fontId="2" fillId="0" borderId="20" xfId="0" applyNumberFormat="1" applyFont="1" applyBorder="1" applyAlignment="1">
      <alignment horizontal="center" vertical="center" textRotation="90" wrapText="1"/>
    </xf>
    <xf numFmtId="11" fontId="2" fillId="0" borderId="13" xfId="0" applyNumberFormat="1" applyFont="1" applyBorder="1" applyAlignment="1">
      <alignment horizontal="center" vertical="center" textRotation="90" wrapText="1"/>
    </xf>
    <xf numFmtId="11" fontId="2" fillId="0" borderId="18" xfId="0" applyNumberFormat="1" applyFont="1" applyBorder="1" applyAlignment="1">
      <alignment horizontal="center" vertical="center" textRotation="90" wrapText="1"/>
    </xf>
    <xf numFmtId="11" fontId="2" fillId="0" borderId="19" xfId="0" applyNumberFormat="1" applyFont="1" applyBorder="1" applyAlignment="1">
      <alignment horizontal="center" vertical="center" textRotation="90" wrapText="1"/>
    </xf>
    <xf numFmtId="3" fontId="13" fillId="0" borderId="34" xfId="0" applyNumberFormat="1" applyFont="1" applyFill="1" applyBorder="1" applyAlignment="1">
      <alignment horizontal="center" vertical="top" wrapText="1"/>
    </xf>
    <xf numFmtId="3" fontId="13" fillId="0" borderId="29" xfId="0" applyNumberFormat="1" applyFont="1" applyFill="1" applyBorder="1" applyAlignment="1">
      <alignment horizontal="center" vertical="top" wrapText="1"/>
    </xf>
    <xf numFmtId="3" fontId="13" fillId="0" borderId="21" xfId="0" applyNumberFormat="1" applyFont="1" applyFill="1" applyBorder="1" applyAlignment="1">
      <alignment horizontal="center" vertical="top" wrapText="1"/>
    </xf>
    <xf numFmtId="3" fontId="2" fillId="4" borderId="48" xfId="0" applyNumberFormat="1" applyFont="1" applyFill="1" applyBorder="1" applyAlignment="1">
      <alignment horizontal="left" vertical="top" wrapText="1"/>
    </xf>
    <xf numFmtId="3" fontId="2" fillId="0" borderId="38" xfId="0" applyNumberFormat="1" applyFont="1" applyBorder="1" applyAlignment="1">
      <alignment horizontal="right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textRotation="90" wrapText="1"/>
    </xf>
    <xf numFmtId="3" fontId="12" fillId="0" borderId="29" xfId="0" applyNumberFormat="1" applyFont="1" applyBorder="1" applyAlignment="1">
      <alignment horizontal="center" vertical="center" textRotation="90" wrapText="1"/>
    </xf>
    <xf numFmtId="3" fontId="12" fillId="0" borderId="21" xfId="0" applyNumberFormat="1" applyFont="1" applyBorder="1" applyAlignment="1">
      <alignment horizontal="center" vertical="center" textRotation="90" wrapText="1"/>
    </xf>
    <xf numFmtId="3" fontId="2" fillId="0" borderId="16" xfId="0" applyNumberFormat="1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48" xfId="0" applyNumberFormat="1" applyFont="1" applyBorder="1" applyAlignment="1">
      <alignment horizontal="center" vertical="center" textRotation="90" wrapText="1"/>
    </xf>
    <xf numFmtId="3" fontId="2" fillId="4" borderId="21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textRotation="90" wrapText="1"/>
    </xf>
    <xf numFmtId="3" fontId="2" fillId="0" borderId="8" xfId="0" applyNumberFormat="1" applyFont="1" applyBorder="1" applyAlignment="1">
      <alignment horizontal="center" vertical="center" textRotation="90" wrapText="1"/>
    </xf>
    <xf numFmtId="3" fontId="2" fillId="0" borderId="42" xfId="0" applyNumberFormat="1" applyFont="1" applyBorder="1" applyAlignment="1">
      <alignment horizontal="center" vertical="center" textRotation="90" wrapText="1"/>
    </xf>
    <xf numFmtId="3" fontId="2" fillId="4" borderId="54" xfId="0" applyNumberFormat="1" applyFont="1" applyFill="1" applyBorder="1" applyAlignment="1">
      <alignment horizontal="left" vertical="top" wrapText="1"/>
    </xf>
    <xf numFmtId="3" fontId="2" fillId="4" borderId="30" xfId="0" applyNumberFormat="1" applyFont="1" applyFill="1" applyBorder="1" applyAlignment="1">
      <alignment horizontal="left" vertical="top" wrapText="1"/>
    </xf>
    <xf numFmtId="3" fontId="3" fillId="8" borderId="31" xfId="0" applyNumberFormat="1" applyFont="1" applyFill="1" applyBorder="1" applyAlignment="1">
      <alignment horizontal="left" vertical="top" wrapText="1"/>
    </xf>
    <xf numFmtId="3" fontId="3" fillId="8" borderId="26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2" borderId="40" xfId="0" applyNumberFormat="1" applyFont="1" applyFill="1" applyBorder="1" applyAlignment="1">
      <alignment horizontal="left" vertical="top" wrapText="1"/>
    </xf>
    <xf numFmtId="3" fontId="3" fillId="2" borderId="39" xfId="0" applyNumberFormat="1" applyFont="1" applyFill="1" applyBorder="1" applyAlignment="1">
      <alignment horizontal="left" vertical="top" wrapText="1"/>
    </xf>
    <xf numFmtId="3" fontId="3" fillId="2" borderId="43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13" fillId="0" borderId="51" xfId="0" applyNumberFormat="1" applyFont="1" applyFill="1" applyBorder="1" applyAlignment="1">
      <alignment horizontal="center" vertical="center" textRotation="90" wrapText="1"/>
    </xf>
    <xf numFmtId="3" fontId="13" fillId="0" borderId="37" xfId="0" applyNumberFormat="1" applyFont="1" applyFill="1" applyBorder="1" applyAlignment="1">
      <alignment horizontal="center" vertical="center" textRotation="90" wrapText="1"/>
    </xf>
    <xf numFmtId="3" fontId="11" fillId="4" borderId="51" xfId="0" applyNumberFormat="1" applyFont="1" applyFill="1" applyBorder="1" applyAlignment="1">
      <alignment horizontal="left" vertical="top" wrapText="1"/>
    </xf>
    <xf numFmtId="3" fontId="11" fillId="4" borderId="37" xfId="0" applyNumberFormat="1" applyFont="1" applyFill="1" applyBorder="1" applyAlignment="1">
      <alignment horizontal="left" vertical="top" wrapText="1"/>
    </xf>
    <xf numFmtId="3" fontId="3" fillId="4" borderId="54" xfId="0" quotePrefix="1" applyNumberFormat="1" applyFont="1" applyFill="1" applyBorder="1" applyAlignment="1">
      <alignment horizontal="center" vertical="top" wrapText="1"/>
    </xf>
    <xf numFmtId="3" fontId="3" fillId="4" borderId="30" xfId="0" quotePrefix="1" applyNumberFormat="1" applyFont="1" applyFill="1" applyBorder="1" applyAlignment="1">
      <alignment horizontal="center" vertical="top" wrapText="1"/>
    </xf>
    <xf numFmtId="3" fontId="3" fillId="4" borderId="58" xfId="0" quotePrefix="1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3" fontId="3" fillId="7" borderId="14" xfId="0" applyNumberFormat="1" applyFont="1" applyFill="1" applyBorder="1" applyAlignment="1">
      <alignment horizontal="right" vertical="top" wrapText="1"/>
    </xf>
    <xf numFmtId="3" fontId="3" fillId="7" borderId="46" xfId="0" applyNumberFormat="1" applyFont="1" applyFill="1" applyBorder="1" applyAlignment="1">
      <alignment horizontal="right" vertical="top" wrapText="1"/>
    </xf>
    <xf numFmtId="49" fontId="2" fillId="3" borderId="51" xfId="0" applyNumberFormat="1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49" fontId="3" fillId="2" borderId="3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2" fillId="3" borderId="8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left" vertical="top" wrapText="1"/>
    </xf>
    <xf numFmtId="3" fontId="3" fillId="3" borderId="18" xfId="0" applyNumberFormat="1" applyFont="1" applyFill="1" applyBorder="1" applyAlignment="1">
      <alignment horizontal="left" vertical="top" wrapText="1"/>
    </xf>
    <xf numFmtId="3" fontId="2" fillId="3" borderId="51" xfId="0" applyNumberFormat="1" applyFont="1" applyFill="1" applyBorder="1" applyAlignment="1">
      <alignment horizontal="left" vertical="top" wrapText="1"/>
    </xf>
    <xf numFmtId="3" fontId="2" fillId="3" borderId="18" xfId="0" applyNumberFormat="1" applyFont="1" applyFill="1" applyBorder="1" applyAlignment="1">
      <alignment horizontal="left" vertical="top" wrapText="1"/>
    </xf>
    <xf numFmtId="3" fontId="3" fillId="2" borderId="58" xfId="0" applyNumberFormat="1" applyFont="1" applyFill="1" applyBorder="1" applyAlignment="1">
      <alignment horizontal="right" vertical="top" wrapText="1"/>
    </xf>
    <xf numFmtId="3" fontId="3" fillId="2" borderId="38" xfId="0" applyNumberFormat="1" applyFont="1" applyFill="1" applyBorder="1" applyAlignment="1">
      <alignment horizontal="right" vertical="top" wrapText="1"/>
    </xf>
    <xf numFmtId="3" fontId="13" fillId="0" borderId="18" xfId="0" applyNumberFormat="1" applyFont="1" applyFill="1" applyBorder="1" applyAlignment="1">
      <alignment horizontal="center" vertical="top" textRotation="90" wrapText="1"/>
    </xf>
    <xf numFmtId="3" fontId="13" fillId="0" borderId="19" xfId="0" applyNumberFormat="1" applyFont="1" applyFill="1" applyBorder="1" applyAlignment="1">
      <alignment horizontal="center" vertical="top" textRotation="90" wrapText="1"/>
    </xf>
    <xf numFmtId="0" fontId="2" fillId="4" borderId="51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49" fontId="2" fillId="4" borderId="51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left" vertical="top" wrapText="1"/>
    </xf>
    <xf numFmtId="3" fontId="2" fillId="3" borderId="6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/>
    </xf>
    <xf numFmtId="3" fontId="2" fillId="4" borderId="6" xfId="0" applyNumberFormat="1" applyFont="1" applyFill="1" applyBorder="1" applyAlignment="1">
      <alignment horizontal="center" vertical="top"/>
    </xf>
    <xf numFmtId="3" fontId="2" fillId="4" borderId="16" xfId="0" applyNumberFormat="1" applyFont="1" applyFill="1" applyBorder="1" applyAlignment="1">
      <alignment horizontal="left" vertical="top" wrapText="1"/>
    </xf>
    <xf numFmtId="3" fontId="13" fillId="0" borderId="35" xfId="0" applyNumberFormat="1" applyFont="1" applyFill="1" applyBorder="1" applyAlignment="1">
      <alignment horizontal="center" vertical="top" wrapText="1"/>
    </xf>
    <xf numFmtId="3" fontId="2" fillId="0" borderId="51" xfId="0" applyNumberFormat="1" applyFont="1" applyFill="1" applyBorder="1" applyAlignment="1">
      <alignment horizontal="left" vertical="top" wrapText="1"/>
    </xf>
    <xf numFmtId="3" fontId="2" fillId="0" borderId="19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3" fontId="2" fillId="4" borderId="42" xfId="0" applyNumberFormat="1" applyFont="1" applyFill="1" applyBorder="1" applyAlignment="1">
      <alignment horizontal="left" vertical="top" wrapText="1"/>
    </xf>
    <xf numFmtId="3" fontId="3" fillId="2" borderId="26" xfId="0" applyNumberFormat="1" applyFont="1" applyFill="1" applyBorder="1" applyAlignment="1">
      <alignment horizontal="left" vertical="top" wrapText="1"/>
    </xf>
    <xf numFmtId="165" fontId="2" fillId="0" borderId="64" xfId="0" applyNumberFormat="1" applyFont="1" applyBorder="1" applyAlignment="1">
      <alignment horizontal="center" vertical="center" textRotation="90" wrapText="1"/>
    </xf>
    <xf numFmtId="165" fontId="2" fillId="0" borderId="57" xfId="0" applyNumberFormat="1" applyFont="1" applyBorder="1" applyAlignment="1">
      <alignment horizontal="center" vertical="center" textRotation="90" wrapText="1"/>
    </xf>
    <xf numFmtId="165" fontId="2" fillId="0" borderId="63" xfId="0" applyNumberFormat="1" applyFont="1" applyBorder="1" applyAlignment="1">
      <alignment horizontal="center" vertical="center" textRotation="90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2" fillId="4" borderId="19" xfId="0" applyNumberFormat="1" applyFont="1" applyFill="1" applyBorder="1" applyAlignment="1">
      <alignment horizontal="center" vertical="top" wrapText="1"/>
    </xf>
    <xf numFmtId="3" fontId="13" fillId="5" borderId="43" xfId="0" applyNumberFormat="1" applyFont="1" applyFill="1" applyBorder="1" applyAlignment="1">
      <alignment horizontal="right" vertical="top" wrapText="1"/>
    </xf>
    <xf numFmtId="3" fontId="3" fillId="4" borderId="37" xfId="0" applyNumberFormat="1" applyFont="1" applyFill="1" applyBorder="1" applyAlignment="1">
      <alignment horizontal="left" vertical="top" wrapText="1"/>
    </xf>
    <xf numFmtId="167" fontId="2" fillId="9" borderId="6" xfId="2" applyNumberFormat="1" applyFont="1" applyFill="1" applyBorder="1" applyAlignment="1">
      <alignment horizontal="left"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167" fontId="2" fillId="9" borderId="5" xfId="2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vertical="top" wrapText="1"/>
    </xf>
    <xf numFmtId="3" fontId="15" fillId="0" borderId="17" xfId="0" applyNumberFormat="1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left" vertical="top" wrapText="1"/>
    </xf>
    <xf numFmtId="3" fontId="2" fillId="4" borderId="8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3" fillId="2" borderId="46" xfId="0" applyNumberFormat="1" applyFont="1" applyFill="1" applyBorder="1" applyAlignment="1">
      <alignment horizontal="center" vertical="top" wrapText="1"/>
    </xf>
    <xf numFmtId="3" fontId="3" fillId="2" borderId="60" xfId="0" applyNumberFormat="1" applyFont="1" applyFill="1" applyBorder="1" applyAlignment="1">
      <alignment horizontal="center" vertical="top" wrapText="1"/>
    </xf>
    <xf numFmtId="3" fontId="3" fillId="2" borderId="38" xfId="0" applyNumberFormat="1" applyFont="1" applyFill="1" applyBorder="1" applyAlignment="1">
      <alignment horizontal="left" vertical="top" wrapText="1"/>
    </xf>
    <xf numFmtId="3" fontId="2" fillId="3" borderId="37" xfId="0" applyNumberFormat="1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left" vertical="top" wrapText="1"/>
    </xf>
    <xf numFmtId="3" fontId="2" fillId="4" borderId="47" xfId="0" applyNumberFormat="1" applyFont="1" applyFill="1" applyBorder="1" applyAlignment="1">
      <alignment horizontal="left" vertical="top" wrapText="1"/>
    </xf>
    <xf numFmtId="3" fontId="2" fillId="4" borderId="53" xfId="0" applyNumberFormat="1" applyFont="1" applyFill="1" applyBorder="1" applyAlignment="1">
      <alignment horizontal="center" vertical="top"/>
    </xf>
    <xf numFmtId="3" fontId="2" fillId="4" borderId="41" xfId="0" applyNumberFormat="1" applyFont="1" applyFill="1" applyBorder="1" applyAlignment="1">
      <alignment horizontal="center" vertical="top"/>
    </xf>
    <xf numFmtId="3" fontId="2" fillId="4" borderId="5" xfId="0" applyNumberFormat="1" applyFont="1" applyFill="1" applyBorder="1" applyAlignment="1">
      <alignment horizontal="left" vertical="top" wrapText="1"/>
    </xf>
    <xf numFmtId="3" fontId="2" fillId="4" borderId="27" xfId="0" applyNumberFormat="1" applyFont="1" applyFill="1" applyBorder="1" applyAlignment="1">
      <alignment horizontal="left" vertical="top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13" fillId="0" borderId="31" xfId="0" applyNumberFormat="1" applyFont="1" applyFill="1" applyBorder="1" applyAlignment="1">
      <alignment horizontal="center" vertical="center" textRotation="90" wrapText="1"/>
    </xf>
    <xf numFmtId="3" fontId="13" fillId="0" borderId="45" xfId="0" applyNumberFormat="1" applyFont="1" applyFill="1" applyBorder="1" applyAlignment="1">
      <alignment horizontal="center" vertical="center" textRotation="90" wrapText="1"/>
    </xf>
    <xf numFmtId="3" fontId="2" fillId="5" borderId="33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left" vertical="top" wrapText="1"/>
    </xf>
  </cellXfs>
  <cellStyles count="3">
    <cellStyle name="Excel Built-in Normal" xfId="2"/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  <color rgb="FFFFFF99"/>
      <color rgb="FFCCFFFF"/>
      <color rgb="FFFFCCFF"/>
      <color rgb="FF66FFFF"/>
      <color rgb="FF00FF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3"/>
  <sheetViews>
    <sheetView tabSelected="1" zoomScaleNormal="100" zoomScaleSheetLayoutView="100" workbookViewId="0">
      <selection activeCell="A5" sqref="A5:L5"/>
    </sheetView>
  </sheetViews>
  <sheetFormatPr defaultColWidth="9.28515625" defaultRowHeight="12.75" x14ac:dyDescent="0.2"/>
  <cols>
    <col min="1" max="3" width="3.28515625" style="276" customWidth="1"/>
    <col min="4" max="4" width="3.5703125" style="35" customWidth="1"/>
    <col min="5" max="5" width="3.28515625" style="35" customWidth="1"/>
    <col min="6" max="6" width="31.42578125" style="79" customWidth="1"/>
    <col min="7" max="7" width="2.7109375" style="277" customWidth="1"/>
    <col min="8" max="8" width="14.42578125" style="18" customWidth="1"/>
    <col min="9" max="9" width="8" style="18" customWidth="1"/>
    <col min="10" max="10" width="8.7109375" style="417" customWidth="1"/>
    <col min="11" max="11" width="23" style="79" customWidth="1"/>
    <col min="12" max="12" width="6.42578125" style="747" customWidth="1"/>
    <col min="13" max="16384" width="9.28515625" style="20"/>
  </cols>
  <sheetData>
    <row r="1" spans="1:13" ht="48" customHeight="1" x14ac:dyDescent="0.2">
      <c r="A1" s="276" t="s">
        <v>172</v>
      </c>
      <c r="H1" s="1009" t="s">
        <v>305</v>
      </c>
      <c r="I1" s="1009"/>
      <c r="J1" s="1009"/>
      <c r="K1" s="1009"/>
      <c r="L1" s="1009"/>
    </row>
    <row r="2" spans="1:13" ht="34.5" customHeight="1" x14ac:dyDescent="0.2">
      <c r="H2" s="1009" t="s">
        <v>345</v>
      </c>
      <c r="I2" s="1009"/>
      <c r="J2" s="1009"/>
      <c r="K2" s="1009"/>
      <c r="L2" s="782"/>
    </row>
    <row r="3" spans="1:13" ht="12" customHeight="1" x14ac:dyDescent="0.2">
      <c r="H3" s="782"/>
      <c r="I3" s="782"/>
      <c r="J3" s="782"/>
      <c r="K3" s="782"/>
      <c r="L3" s="782"/>
    </row>
    <row r="4" spans="1:13" s="19" customFormat="1" ht="15.75" x14ac:dyDescent="0.2">
      <c r="A4" s="1020" t="s">
        <v>294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</row>
    <row r="5" spans="1:13" s="19" customFormat="1" ht="19.5" customHeight="1" x14ac:dyDescent="0.2">
      <c r="A5" s="1021" t="s">
        <v>25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</row>
    <row r="6" spans="1:13" s="19" customFormat="1" ht="19.5" customHeight="1" x14ac:dyDescent="0.2">
      <c r="A6" s="1019" t="s">
        <v>41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</row>
    <row r="7" spans="1:13" ht="18.75" customHeight="1" thickBot="1" x14ac:dyDescent="0.25">
      <c r="A7" s="39"/>
      <c r="B7" s="39"/>
      <c r="F7" s="748"/>
      <c r="G7" s="278"/>
      <c r="H7" s="748"/>
      <c r="I7" s="23"/>
      <c r="J7" s="748"/>
      <c r="K7" s="1092" t="s">
        <v>54</v>
      </c>
      <c r="L7" s="1092"/>
    </row>
    <row r="8" spans="1:13" ht="21" customHeight="1" x14ac:dyDescent="0.2">
      <c r="A8" s="1082" t="s">
        <v>7</v>
      </c>
      <c r="B8" s="1085" t="s">
        <v>8</v>
      </c>
      <c r="C8" s="1006" t="s">
        <v>9</v>
      </c>
      <c r="D8" s="1006" t="s">
        <v>136</v>
      </c>
      <c r="E8" s="1006" t="s">
        <v>137</v>
      </c>
      <c r="F8" s="1102" t="s">
        <v>75</v>
      </c>
      <c r="G8" s="1095" t="s">
        <v>10</v>
      </c>
      <c r="H8" s="1105" t="s">
        <v>310</v>
      </c>
      <c r="I8" s="1098" t="s">
        <v>11</v>
      </c>
      <c r="J8" s="1013" t="s">
        <v>311</v>
      </c>
      <c r="K8" s="1093" t="s">
        <v>309</v>
      </c>
      <c r="L8" s="1094"/>
    </row>
    <row r="9" spans="1:13" ht="15.75" customHeight="1" x14ac:dyDescent="0.2">
      <c r="A9" s="1083"/>
      <c r="B9" s="1086"/>
      <c r="C9" s="1007"/>
      <c r="D9" s="1007"/>
      <c r="E9" s="1007"/>
      <c r="F9" s="1103"/>
      <c r="G9" s="1096"/>
      <c r="H9" s="1106"/>
      <c r="I9" s="1099"/>
      <c r="J9" s="1014"/>
      <c r="K9" s="1022" t="s">
        <v>21</v>
      </c>
      <c r="L9" s="792" t="s">
        <v>271</v>
      </c>
    </row>
    <row r="10" spans="1:13" ht="87.75" customHeight="1" thickBot="1" x14ac:dyDescent="0.25">
      <c r="A10" s="1084"/>
      <c r="B10" s="1087"/>
      <c r="C10" s="1008"/>
      <c r="D10" s="1008"/>
      <c r="E10" s="1008"/>
      <c r="F10" s="1104"/>
      <c r="G10" s="1097"/>
      <c r="H10" s="1107"/>
      <c r="I10" s="1100"/>
      <c r="J10" s="1015"/>
      <c r="K10" s="1023"/>
      <c r="L10" s="793" t="s">
        <v>199</v>
      </c>
    </row>
    <row r="11" spans="1:13" ht="29.45" customHeight="1" x14ac:dyDescent="0.2">
      <c r="A11" s="1075" t="s">
        <v>47</v>
      </c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7"/>
    </row>
    <row r="12" spans="1:13" ht="15.75" customHeight="1" x14ac:dyDescent="0.2">
      <c r="A12" s="1078" t="s">
        <v>26</v>
      </c>
      <c r="B12" s="1079"/>
      <c r="C12" s="1079"/>
      <c r="D12" s="1079"/>
      <c r="E12" s="1079"/>
      <c r="F12" s="1079"/>
      <c r="G12" s="1079"/>
      <c r="H12" s="1079"/>
      <c r="I12" s="1079"/>
      <c r="J12" s="1079"/>
      <c r="K12" s="1079"/>
      <c r="L12" s="1080"/>
    </row>
    <row r="13" spans="1:13" ht="15.75" customHeight="1" x14ac:dyDescent="0.2">
      <c r="A13" s="279" t="s">
        <v>12</v>
      </c>
      <c r="B13" s="1110" t="s">
        <v>30</v>
      </c>
      <c r="C13" s="1111"/>
      <c r="D13" s="1111"/>
      <c r="E13" s="1111"/>
      <c r="F13" s="1111"/>
      <c r="G13" s="1111"/>
      <c r="H13" s="1111"/>
      <c r="I13" s="1111"/>
      <c r="J13" s="1111"/>
      <c r="K13" s="1111"/>
      <c r="L13" s="1112"/>
    </row>
    <row r="14" spans="1:13" ht="15.75" customHeight="1" thickBot="1" x14ac:dyDescent="0.25">
      <c r="A14" s="280" t="s">
        <v>12</v>
      </c>
      <c r="B14" s="281" t="s">
        <v>12</v>
      </c>
      <c r="C14" s="1113" t="s">
        <v>51</v>
      </c>
      <c r="D14" s="1114"/>
      <c r="E14" s="1114"/>
      <c r="F14" s="1114"/>
      <c r="G14" s="1114"/>
      <c r="H14" s="1114"/>
      <c r="I14" s="1114"/>
      <c r="J14" s="1114"/>
      <c r="K14" s="1114"/>
      <c r="L14" s="1115"/>
    </row>
    <row r="15" spans="1:13" ht="29.25" customHeight="1" x14ac:dyDescent="0.2">
      <c r="A15" s="282" t="s">
        <v>12</v>
      </c>
      <c r="B15" s="283" t="s">
        <v>12</v>
      </c>
      <c r="C15" s="284" t="s">
        <v>12</v>
      </c>
      <c r="D15" s="29"/>
      <c r="E15" s="29"/>
      <c r="F15" s="767" t="s">
        <v>38</v>
      </c>
      <c r="G15" s="285"/>
      <c r="H15" s="980" t="s">
        <v>183</v>
      </c>
      <c r="I15" s="2" t="s">
        <v>46</v>
      </c>
      <c r="J15" s="828">
        <v>388.8</v>
      </c>
      <c r="K15" s="315"/>
      <c r="L15" s="790"/>
    </row>
    <row r="16" spans="1:13" ht="14.25" customHeight="1" x14ac:dyDescent="0.2">
      <c r="A16" s="279"/>
      <c r="B16" s="286"/>
      <c r="C16" s="287"/>
      <c r="D16" s="761" t="s">
        <v>12</v>
      </c>
      <c r="E16" s="761"/>
      <c r="F16" s="967" t="s">
        <v>92</v>
      </c>
      <c r="G16" s="288" t="s">
        <v>163</v>
      </c>
      <c r="H16" s="975"/>
      <c r="I16" s="16" t="s">
        <v>13</v>
      </c>
      <c r="J16" s="446">
        <f>19856.9+83.7+149.6-87.6+104.6+27</f>
        <v>20134.2</v>
      </c>
      <c r="K16" s="291" t="s">
        <v>79</v>
      </c>
      <c r="L16" s="196">
        <v>44</v>
      </c>
      <c r="M16" s="17"/>
    </row>
    <row r="17" spans="1:13" ht="14.25" customHeight="1" x14ac:dyDescent="0.2">
      <c r="A17" s="279"/>
      <c r="B17" s="286"/>
      <c r="C17" s="287"/>
      <c r="D17" s="762"/>
      <c r="E17" s="762"/>
      <c r="F17" s="968"/>
      <c r="G17" s="219"/>
      <c r="H17" s="975"/>
      <c r="I17" s="3" t="s">
        <v>16</v>
      </c>
      <c r="J17" s="829">
        <f>12432.9+484-13.3</f>
        <v>12903.6</v>
      </c>
      <c r="K17" s="50" t="s">
        <v>80</v>
      </c>
      <c r="L17" s="213">
        <v>7995</v>
      </c>
      <c r="M17" s="17"/>
    </row>
    <row r="18" spans="1:13" ht="27" customHeight="1" x14ac:dyDescent="0.2">
      <c r="A18" s="279"/>
      <c r="B18" s="286"/>
      <c r="C18" s="287"/>
      <c r="D18" s="883"/>
      <c r="E18" s="883"/>
      <c r="F18" s="968"/>
      <c r="G18" s="219"/>
      <c r="H18" s="878"/>
      <c r="I18" s="3" t="s">
        <v>16</v>
      </c>
      <c r="J18" s="830">
        <f>128-87.6+0.5</f>
        <v>40.900000000000006</v>
      </c>
      <c r="K18" s="50" t="s">
        <v>312</v>
      </c>
      <c r="L18" s="213">
        <v>25</v>
      </c>
      <c r="M18" s="17"/>
    </row>
    <row r="19" spans="1:13" ht="39.75" customHeight="1" x14ac:dyDescent="0.2">
      <c r="A19" s="279"/>
      <c r="B19" s="286"/>
      <c r="C19" s="287"/>
      <c r="D19" s="762"/>
      <c r="E19" s="762"/>
      <c r="F19" s="968"/>
      <c r="G19" s="219"/>
      <c r="H19" s="737"/>
      <c r="I19" s="2" t="s">
        <v>37</v>
      </c>
      <c r="J19" s="830">
        <v>3643.8</v>
      </c>
      <c r="K19" s="291" t="s">
        <v>212</v>
      </c>
      <c r="L19" s="794">
        <v>17.600000000000001</v>
      </c>
      <c r="M19" s="17"/>
    </row>
    <row r="20" spans="1:13" ht="30.75" customHeight="1" x14ac:dyDescent="0.2">
      <c r="A20" s="279"/>
      <c r="B20" s="289"/>
      <c r="C20" s="287"/>
      <c r="D20" s="762"/>
      <c r="E20" s="762"/>
      <c r="F20" s="968"/>
      <c r="G20" s="744"/>
      <c r="H20" s="975" t="s">
        <v>303</v>
      </c>
      <c r="I20" s="87"/>
      <c r="J20" s="831"/>
      <c r="K20" s="749" t="s">
        <v>213</v>
      </c>
      <c r="L20" s="795">
        <v>5.72</v>
      </c>
      <c r="M20" s="17"/>
    </row>
    <row r="21" spans="1:13" ht="12.75" customHeight="1" x14ac:dyDescent="0.2">
      <c r="A21" s="279"/>
      <c r="B21" s="289"/>
      <c r="C21" s="287"/>
      <c r="D21" s="932"/>
      <c r="E21" s="932"/>
      <c r="F21" s="931"/>
      <c r="G21" s="219"/>
      <c r="H21" s="975"/>
      <c r="I21" s="371"/>
      <c r="J21" s="832"/>
      <c r="K21" s="941" t="s">
        <v>251</v>
      </c>
      <c r="L21" s="946">
        <v>13</v>
      </c>
      <c r="M21" s="17"/>
    </row>
    <row r="22" spans="1:13" ht="27" customHeight="1" x14ac:dyDescent="0.2">
      <c r="A22" s="279"/>
      <c r="B22" s="289"/>
      <c r="C22" s="287"/>
      <c r="D22" s="710"/>
      <c r="E22" s="707"/>
      <c r="F22" s="296"/>
      <c r="G22" s="219"/>
      <c r="H22" s="975"/>
      <c r="I22" s="3" t="s">
        <v>16</v>
      </c>
      <c r="J22" s="832">
        <v>10.4</v>
      </c>
      <c r="K22" s="943"/>
      <c r="L22" s="945"/>
      <c r="M22" s="17"/>
    </row>
    <row r="23" spans="1:13" ht="54" customHeight="1" x14ac:dyDescent="0.2">
      <c r="A23" s="279"/>
      <c r="B23" s="289"/>
      <c r="C23" s="287"/>
      <c r="D23" s="762" t="s">
        <v>15</v>
      </c>
      <c r="E23" s="762"/>
      <c r="F23" s="735" t="s">
        <v>214</v>
      </c>
      <c r="G23" s="219"/>
      <c r="H23" s="975"/>
      <c r="I23" s="16" t="s">
        <v>13</v>
      </c>
      <c r="J23" s="829">
        <v>2.4</v>
      </c>
      <c r="K23" s="291" t="s">
        <v>256</v>
      </c>
      <c r="L23" s="196">
        <v>16</v>
      </c>
      <c r="M23" s="17"/>
    </row>
    <row r="24" spans="1:13" ht="15.75" customHeight="1" x14ac:dyDescent="0.2">
      <c r="A24" s="279"/>
      <c r="B24" s="289"/>
      <c r="C24" s="287"/>
      <c r="D24" s="761" t="s">
        <v>17</v>
      </c>
      <c r="E24" s="761"/>
      <c r="F24" s="967" t="s">
        <v>155</v>
      </c>
      <c r="G24" s="744"/>
      <c r="H24" s="737"/>
      <c r="I24" s="2" t="s">
        <v>16</v>
      </c>
      <c r="J24" s="830">
        <f>790.5+31.9</f>
        <v>822.4</v>
      </c>
      <c r="K24" s="211" t="s">
        <v>79</v>
      </c>
      <c r="L24" s="569">
        <v>11</v>
      </c>
      <c r="M24" s="17"/>
    </row>
    <row r="25" spans="1:13" ht="14.25" customHeight="1" x14ac:dyDescent="0.2">
      <c r="A25" s="279"/>
      <c r="B25" s="286"/>
      <c r="C25" s="287"/>
      <c r="D25" s="762"/>
      <c r="E25" s="762"/>
      <c r="F25" s="968"/>
      <c r="G25" s="219"/>
      <c r="H25" s="737"/>
      <c r="I25" s="87"/>
      <c r="J25" s="833"/>
      <c r="K25" s="50" t="s">
        <v>80</v>
      </c>
      <c r="L25" s="213">
        <v>499</v>
      </c>
      <c r="M25" s="17"/>
    </row>
    <row r="26" spans="1:13" ht="10.5" customHeight="1" thickBot="1" x14ac:dyDescent="0.25">
      <c r="A26" s="279"/>
      <c r="B26" s="289"/>
      <c r="C26" s="287"/>
      <c r="D26" s="32"/>
      <c r="E26" s="32"/>
      <c r="F26" s="971"/>
      <c r="G26" s="219"/>
      <c r="H26" s="737"/>
      <c r="I26" s="87"/>
      <c r="J26" s="831"/>
      <c r="K26" s="51"/>
      <c r="L26" s="791"/>
      <c r="M26" s="17"/>
    </row>
    <row r="27" spans="1:13" ht="12.75" customHeight="1" x14ac:dyDescent="0.2">
      <c r="A27" s="292"/>
      <c r="B27" s="289"/>
      <c r="C27" s="293"/>
      <c r="D27" s="29" t="s">
        <v>19</v>
      </c>
      <c r="E27" s="29"/>
      <c r="F27" s="981" t="s">
        <v>53</v>
      </c>
      <c r="G27" s="219"/>
      <c r="H27" s="737"/>
      <c r="I27" s="56" t="s">
        <v>13</v>
      </c>
      <c r="J27" s="546">
        <f>1329.2+14+19.1-19.1+20.4</f>
        <v>1363.6000000000001</v>
      </c>
      <c r="K27" s="218" t="s">
        <v>79</v>
      </c>
      <c r="L27" s="569">
        <v>4</v>
      </c>
      <c r="M27" s="17"/>
    </row>
    <row r="28" spans="1:13" ht="15.75" customHeight="1" x14ac:dyDescent="0.2">
      <c r="A28" s="292"/>
      <c r="B28" s="289"/>
      <c r="C28" s="294"/>
      <c r="D28" s="762"/>
      <c r="E28" s="762"/>
      <c r="F28" s="968"/>
      <c r="G28" s="219"/>
      <c r="H28" s="737"/>
      <c r="I28" s="3" t="s">
        <v>16</v>
      </c>
      <c r="J28" s="829">
        <f>1783.6+28.6</f>
        <v>1812.1999999999998</v>
      </c>
      <c r="K28" s="1065" t="s">
        <v>80</v>
      </c>
      <c r="L28" s="946">
        <v>1233</v>
      </c>
      <c r="M28" s="17"/>
    </row>
    <row r="29" spans="1:13" ht="15.75" customHeight="1" x14ac:dyDescent="0.2">
      <c r="A29" s="292"/>
      <c r="B29" s="289"/>
      <c r="C29" s="294"/>
      <c r="D29" s="776"/>
      <c r="E29" s="776"/>
      <c r="F29" s="968"/>
      <c r="G29" s="219"/>
      <c r="H29" s="779"/>
      <c r="I29" s="87" t="s">
        <v>16</v>
      </c>
      <c r="J29" s="830">
        <v>3.5</v>
      </c>
      <c r="K29" s="1066"/>
      <c r="L29" s="945"/>
      <c r="M29" s="17"/>
    </row>
    <row r="30" spans="1:13" ht="15.75" customHeight="1" x14ac:dyDescent="0.2">
      <c r="A30" s="292"/>
      <c r="B30" s="289"/>
      <c r="C30" s="294"/>
      <c r="D30" s="762"/>
      <c r="E30" s="762"/>
      <c r="F30" s="968"/>
      <c r="G30" s="744"/>
      <c r="H30" s="737"/>
      <c r="I30" s="2" t="s">
        <v>37</v>
      </c>
      <c r="J30" s="830">
        <v>353.9</v>
      </c>
      <c r="K30" s="941" t="s">
        <v>139</v>
      </c>
      <c r="L30" s="213">
        <v>854</v>
      </c>
      <c r="M30" s="17"/>
    </row>
    <row r="31" spans="1:13" ht="16.899999999999999" customHeight="1" x14ac:dyDescent="0.2">
      <c r="A31" s="295"/>
      <c r="B31" s="289"/>
      <c r="C31" s="294"/>
      <c r="D31" s="762"/>
      <c r="E31" s="25"/>
      <c r="F31" s="735"/>
      <c r="G31" s="219"/>
      <c r="H31" s="737"/>
      <c r="I31" s="16" t="s">
        <v>16</v>
      </c>
      <c r="J31" s="829">
        <f>26.1-0.2</f>
        <v>25.900000000000002</v>
      </c>
      <c r="K31" s="942"/>
      <c r="L31" s="944"/>
      <c r="M31" s="17"/>
    </row>
    <row r="32" spans="1:13" ht="16.899999999999999" customHeight="1" x14ac:dyDescent="0.2">
      <c r="A32" s="295"/>
      <c r="B32" s="289"/>
      <c r="C32" s="294"/>
      <c r="D32" s="932"/>
      <c r="E32" s="25"/>
      <c r="F32" s="931"/>
      <c r="G32" s="219"/>
      <c r="H32" s="930"/>
      <c r="I32" s="16" t="s">
        <v>16</v>
      </c>
      <c r="J32" s="829">
        <v>12.8</v>
      </c>
      <c r="K32" s="943"/>
      <c r="L32" s="945"/>
      <c r="M32" s="17"/>
    </row>
    <row r="33" spans="1:13" ht="28.5" customHeight="1" x14ac:dyDescent="0.2">
      <c r="A33" s="295"/>
      <c r="B33" s="289"/>
      <c r="C33" s="294"/>
      <c r="D33" s="883"/>
      <c r="E33" s="25"/>
      <c r="F33" s="877"/>
      <c r="G33" s="219"/>
      <c r="H33" s="878"/>
      <c r="I33" s="16" t="s">
        <v>16</v>
      </c>
      <c r="J33" s="829">
        <f>28-19.1</f>
        <v>8.8999999999999986</v>
      </c>
      <c r="K33" s="211" t="s">
        <v>312</v>
      </c>
      <c r="L33" s="569">
        <v>4</v>
      </c>
      <c r="M33" s="17"/>
    </row>
    <row r="34" spans="1:13" ht="16.899999999999999" customHeight="1" x14ac:dyDescent="0.2">
      <c r="A34" s="295"/>
      <c r="B34" s="289"/>
      <c r="C34" s="294"/>
      <c r="D34" s="761" t="s">
        <v>20</v>
      </c>
      <c r="E34" s="36"/>
      <c r="F34" s="967" t="s">
        <v>173</v>
      </c>
      <c r="G34" s="219"/>
      <c r="H34" s="737"/>
      <c r="I34" s="16" t="s">
        <v>16</v>
      </c>
      <c r="J34" s="829">
        <f>138.8+23.6</f>
        <v>162.4</v>
      </c>
      <c r="K34" s="941" t="s">
        <v>79</v>
      </c>
      <c r="L34" s="946">
        <v>2</v>
      </c>
      <c r="M34" s="17"/>
    </row>
    <row r="35" spans="1:13" ht="16.899999999999999" customHeight="1" x14ac:dyDescent="0.2">
      <c r="A35" s="295"/>
      <c r="B35" s="289"/>
      <c r="C35" s="294"/>
      <c r="D35" s="776"/>
      <c r="E35" s="25"/>
      <c r="F35" s="968"/>
      <c r="G35" s="219"/>
      <c r="H35" s="779"/>
      <c r="I35" s="8" t="s">
        <v>16</v>
      </c>
      <c r="J35" s="829">
        <v>0.1</v>
      </c>
      <c r="K35" s="942"/>
      <c r="L35" s="944"/>
      <c r="M35" s="17"/>
    </row>
    <row r="36" spans="1:13" ht="16.899999999999999" customHeight="1" x14ac:dyDescent="0.2">
      <c r="A36" s="295"/>
      <c r="B36" s="289"/>
      <c r="C36" s="294"/>
      <c r="D36" s="932"/>
      <c r="E36" s="25"/>
      <c r="F36" s="968"/>
      <c r="G36" s="219"/>
      <c r="H36" s="930"/>
      <c r="I36" s="8" t="s">
        <v>16</v>
      </c>
      <c r="J36" s="829">
        <v>0.5</v>
      </c>
      <c r="K36" s="943"/>
      <c r="L36" s="945"/>
      <c r="M36" s="17"/>
    </row>
    <row r="37" spans="1:13" ht="16.899999999999999" customHeight="1" thickBot="1" x14ac:dyDescent="0.25">
      <c r="A37" s="295"/>
      <c r="B37" s="289"/>
      <c r="C37" s="294"/>
      <c r="D37" s="32"/>
      <c r="E37" s="26"/>
      <c r="F37" s="971"/>
      <c r="G37" s="744"/>
      <c r="H37" s="737"/>
      <c r="I37" s="15" t="s">
        <v>16</v>
      </c>
      <c r="J37" s="834">
        <f>0.4+0.1</f>
        <v>0.5</v>
      </c>
      <c r="K37" s="52" t="s">
        <v>80</v>
      </c>
      <c r="L37" s="797">
        <v>110</v>
      </c>
      <c r="M37" s="17"/>
    </row>
    <row r="38" spans="1:13" ht="15.75" customHeight="1" x14ac:dyDescent="0.2">
      <c r="A38" s="295"/>
      <c r="B38" s="286"/>
      <c r="C38" s="294"/>
      <c r="D38" s="29" t="s">
        <v>68</v>
      </c>
      <c r="E38" s="29"/>
      <c r="F38" s="981" t="s">
        <v>93</v>
      </c>
      <c r="G38" s="219"/>
      <c r="H38" s="737"/>
      <c r="I38" s="215" t="s">
        <v>13</v>
      </c>
      <c r="J38" s="909">
        <f>8941.3+167.9+20+211.8+8.5-196.2+177.9+12.2</f>
        <v>9343.3999999999978</v>
      </c>
      <c r="K38" s="218" t="s">
        <v>79</v>
      </c>
      <c r="L38" s="229">
        <v>32</v>
      </c>
      <c r="M38" s="17"/>
    </row>
    <row r="39" spans="1:13" ht="15.75" customHeight="1" x14ac:dyDescent="0.2">
      <c r="A39" s="295"/>
      <c r="B39" s="286"/>
      <c r="C39" s="294"/>
      <c r="D39" s="907"/>
      <c r="E39" s="907"/>
      <c r="F39" s="968"/>
      <c r="G39" s="219"/>
      <c r="H39" s="737"/>
      <c r="I39" s="371" t="s">
        <v>16</v>
      </c>
      <c r="J39" s="446">
        <f>33246.1+694.1+13.3</f>
        <v>33953.5</v>
      </c>
      <c r="K39" s="50" t="s">
        <v>80</v>
      </c>
      <c r="L39" s="196">
        <v>18956</v>
      </c>
      <c r="M39" s="17"/>
    </row>
    <row r="40" spans="1:13" ht="15.75" customHeight="1" x14ac:dyDescent="0.2">
      <c r="A40" s="295"/>
      <c r="B40" s="286"/>
      <c r="C40" s="294"/>
      <c r="D40" s="907"/>
      <c r="E40" s="907"/>
      <c r="F40" s="968"/>
      <c r="G40" s="219"/>
      <c r="H40" s="737"/>
      <c r="I40" s="371" t="s">
        <v>16</v>
      </c>
      <c r="J40" s="835">
        <v>1302.4000000000001</v>
      </c>
      <c r="K40" s="12" t="s">
        <v>139</v>
      </c>
      <c r="L40" s="903">
        <v>18804</v>
      </c>
      <c r="M40" s="17"/>
    </row>
    <row r="41" spans="1:13" ht="19.149999999999999" customHeight="1" x14ac:dyDescent="0.2">
      <c r="A41" s="295"/>
      <c r="B41" s="286"/>
      <c r="C41" s="294"/>
      <c r="D41" s="907"/>
      <c r="E41" s="907"/>
      <c r="F41" s="968"/>
      <c r="G41" s="219"/>
      <c r="H41" s="737"/>
      <c r="I41" s="371" t="s">
        <v>16</v>
      </c>
      <c r="J41" s="835">
        <f>550.6+4.6</f>
        <v>555.20000000000005</v>
      </c>
      <c r="K41" s="893"/>
      <c r="L41" s="569"/>
      <c r="M41" s="17"/>
    </row>
    <row r="42" spans="1:13" ht="19.149999999999999" customHeight="1" x14ac:dyDescent="0.2">
      <c r="A42" s="295"/>
      <c r="B42" s="286"/>
      <c r="C42" s="294"/>
      <c r="D42" s="907"/>
      <c r="E42" s="907"/>
      <c r="F42" s="968"/>
      <c r="G42" s="219"/>
      <c r="H42" s="779"/>
      <c r="I42" s="8" t="s">
        <v>16</v>
      </c>
      <c r="J42" s="835">
        <v>73.3</v>
      </c>
      <c r="K42" s="898"/>
      <c r="L42" s="569"/>
      <c r="M42" s="17"/>
    </row>
    <row r="43" spans="1:13" ht="18.600000000000001" customHeight="1" x14ac:dyDescent="0.2">
      <c r="A43" s="295"/>
      <c r="B43" s="286"/>
      <c r="C43" s="294"/>
      <c r="D43" s="907"/>
      <c r="E43" s="907"/>
      <c r="F43" s="968"/>
      <c r="G43" s="219"/>
      <c r="H43" s="737"/>
      <c r="I43" s="8" t="s">
        <v>37</v>
      </c>
      <c r="J43" s="829">
        <v>832.7</v>
      </c>
      <c r="K43" s="460"/>
      <c r="L43" s="896"/>
      <c r="M43" s="17"/>
    </row>
    <row r="44" spans="1:13" ht="18.600000000000001" customHeight="1" x14ac:dyDescent="0.2">
      <c r="A44" s="295"/>
      <c r="B44" s="286"/>
      <c r="C44" s="294"/>
      <c r="D44" s="907"/>
      <c r="E44" s="907"/>
      <c r="F44" s="890"/>
      <c r="G44" s="219"/>
      <c r="H44" s="878"/>
      <c r="I44" s="371" t="s">
        <v>16</v>
      </c>
      <c r="J44" s="829">
        <f>286.2-196.2-0.5</f>
        <v>89.5</v>
      </c>
      <c r="K44" s="941" t="s">
        <v>312</v>
      </c>
      <c r="L44" s="569">
        <v>59</v>
      </c>
      <c r="M44" s="17"/>
    </row>
    <row r="45" spans="1:13" ht="18.600000000000001" customHeight="1" x14ac:dyDescent="0.2">
      <c r="A45" s="295"/>
      <c r="B45" s="286"/>
      <c r="C45" s="294"/>
      <c r="D45" s="932"/>
      <c r="E45" s="932"/>
      <c r="F45" s="931"/>
      <c r="G45" s="219"/>
      <c r="H45" s="930"/>
      <c r="I45" s="8" t="s">
        <v>16</v>
      </c>
      <c r="J45" s="829">
        <v>282.2</v>
      </c>
      <c r="K45" s="942"/>
      <c r="L45" s="928"/>
      <c r="M45" s="17"/>
    </row>
    <row r="46" spans="1:13" ht="18.600000000000001" customHeight="1" thickBot="1" x14ac:dyDescent="0.25">
      <c r="A46" s="295"/>
      <c r="B46" s="286"/>
      <c r="C46" s="294"/>
      <c r="D46" s="908"/>
      <c r="E46" s="908"/>
      <c r="F46" s="891"/>
      <c r="G46" s="219"/>
      <c r="H46" s="878"/>
      <c r="I46" s="212" t="s">
        <v>16</v>
      </c>
      <c r="J46" s="834">
        <v>17.600000000000001</v>
      </c>
      <c r="K46" s="1067"/>
      <c r="L46" s="902"/>
      <c r="M46" s="17"/>
    </row>
    <row r="47" spans="1:13" ht="39" customHeight="1" x14ac:dyDescent="0.2">
      <c r="A47" s="295"/>
      <c r="B47" s="286"/>
      <c r="C47" s="294"/>
      <c r="D47" s="74" t="s">
        <v>69</v>
      </c>
      <c r="E47" s="74"/>
      <c r="F47" s="75" t="s">
        <v>336</v>
      </c>
      <c r="G47" s="219"/>
      <c r="H47" s="892"/>
      <c r="I47" s="215" t="s">
        <v>13</v>
      </c>
      <c r="J47" s="838">
        <v>6.2</v>
      </c>
      <c r="K47" s="555" t="s">
        <v>317</v>
      </c>
      <c r="L47" s="229">
        <v>1</v>
      </c>
      <c r="M47" s="17"/>
    </row>
    <row r="48" spans="1:13" ht="40.5" customHeight="1" x14ac:dyDescent="0.2">
      <c r="A48" s="295"/>
      <c r="B48" s="286"/>
      <c r="C48" s="294"/>
      <c r="D48" s="932" t="s">
        <v>126</v>
      </c>
      <c r="E48" s="932"/>
      <c r="F48" s="940" t="s">
        <v>329</v>
      </c>
      <c r="G48" s="219"/>
      <c r="H48" s="930"/>
      <c r="I48" s="87" t="s">
        <v>13</v>
      </c>
      <c r="J48" s="831">
        <v>7.1</v>
      </c>
      <c r="K48" s="933" t="s">
        <v>317</v>
      </c>
      <c r="L48" s="928">
        <v>5</v>
      </c>
      <c r="M48" s="17"/>
    </row>
    <row r="49" spans="1:13" ht="17.25" customHeight="1" x14ac:dyDescent="0.2">
      <c r="A49" s="295"/>
      <c r="B49" s="286"/>
      <c r="C49" s="294"/>
      <c r="D49" s="932"/>
      <c r="E49" s="932"/>
      <c r="F49" s="929" t="s">
        <v>337</v>
      </c>
      <c r="G49" s="219"/>
      <c r="H49" s="930"/>
      <c r="I49" s="87"/>
      <c r="J49" s="938">
        <v>1.5</v>
      </c>
      <c r="K49" s="933"/>
      <c r="L49" s="928"/>
      <c r="M49" s="17"/>
    </row>
    <row r="50" spans="1:13" ht="19.5" customHeight="1" x14ac:dyDescent="0.2">
      <c r="A50" s="295"/>
      <c r="B50" s="286"/>
      <c r="C50" s="294"/>
      <c r="D50" s="932"/>
      <c r="E50" s="932"/>
      <c r="F50" s="96" t="s">
        <v>330</v>
      </c>
      <c r="G50" s="219"/>
      <c r="H50" s="930"/>
      <c r="I50" s="87"/>
      <c r="J50" s="938">
        <v>1.2</v>
      </c>
      <c r="K50" s="933"/>
      <c r="L50" s="928"/>
      <c r="M50" s="17"/>
    </row>
    <row r="51" spans="1:13" ht="39.75" customHeight="1" x14ac:dyDescent="0.2">
      <c r="A51" s="295"/>
      <c r="B51" s="286"/>
      <c r="C51" s="294"/>
      <c r="D51" s="932"/>
      <c r="E51" s="932"/>
      <c r="F51" s="96" t="s">
        <v>338</v>
      </c>
      <c r="G51" s="219"/>
      <c r="H51" s="930"/>
      <c r="I51" s="87"/>
      <c r="J51" s="938">
        <v>1.2</v>
      </c>
      <c r="K51" s="933"/>
      <c r="L51" s="928"/>
      <c r="M51" s="17"/>
    </row>
    <row r="52" spans="1:13" ht="18" customHeight="1" x14ac:dyDescent="0.2">
      <c r="A52" s="295"/>
      <c r="B52" s="286"/>
      <c r="C52" s="294"/>
      <c r="D52" s="932"/>
      <c r="E52" s="932"/>
      <c r="F52" s="96" t="s">
        <v>339</v>
      </c>
      <c r="G52" s="219"/>
      <c r="H52" s="930"/>
      <c r="I52" s="87"/>
      <c r="J52" s="938">
        <v>1.2</v>
      </c>
      <c r="K52" s="933"/>
      <c r="L52" s="928"/>
      <c r="M52" s="17"/>
    </row>
    <row r="53" spans="1:13" ht="28.5" customHeight="1" thickBot="1" x14ac:dyDescent="0.25">
      <c r="A53" s="295"/>
      <c r="B53" s="286"/>
      <c r="C53" s="294"/>
      <c r="D53" s="932"/>
      <c r="E53" s="932"/>
      <c r="F53" s="931" t="s">
        <v>331</v>
      </c>
      <c r="G53" s="219"/>
      <c r="H53" s="930"/>
      <c r="I53" s="87"/>
      <c r="J53" s="938">
        <v>2</v>
      </c>
      <c r="K53" s="933"/>
      <c r="L53" s="928"/>
      <c r="M53" s="17"/>
    </row>
    <row r="54" spans="1:13" ht="15.6" customHeight="1" x14ac:dyDescent="0.2">
      <c r="A54" s="295"/>
      <c r="B54" s="286"/>
      <c r="C54" s="294"/>
      <c r="D54" s="761" t="s">
        <v>127</v>
      </c>
      <c r="E54" s="775"/>
      <c r="F54" s="967" t="s">
        <v>156</v>
      </c>
      <c r="G54" s="219"/>
      <c r="H54" s="737"/>
      <c r="I54" s="6" t="s">
        <v>13</v>
      </c>
      <c r="J54" s="828">
        <f>13.6+65.6</f>
        <v>79.199999999999989</v>
      </c>
      <c r="K54" s="315" t="s">
        <v>79</v>
      </c>
      <c r="L54" s="790">
        <v>7</v>
      </c>
      <c r="M54" s="17"/>
    </row>
    <row r="55" spans="1:13" ht="15.6" customHeight="1" x14ac:dyDescent="0.2">
      <c r="A55" s="295"/>
      <c r="B55" s="286"/>
      <c r="C55" s="294"/>
      <c r="D55" s="762"/>
      <c r="E55" s="776"/>
      <c r="F55" s="968"/>
      <c r="G55" s="219"/>
      <c r="H55" s="737"/>
      <c r="I55" s="8" t="s">
        <v>148</v>
      </c>
      <c r="J55" s="446">
        <v>515.70000000000005</v>
      </c>
      <c r="K55" s="17"/>
      <c r="L55" s="569"/>
      <c r="M55" s="17"/>
    </row>
    <row r="56" spans="1:13" ht="15.6" customHeight="1" x14ac:dyDescent="0.2">
      <c r="A56" s="295"/>
      <c r="B56" s="286"/>
      <c r="C56" s="294"/>
      <c r="D56" s="703"/>
      <c r="E56" s="703"/>
      <c r="F56" s="969"/>
      <c r="G56" s="219"/>
      <c r="H56" s="737"/>
      <c r="I56" s="371" t="s">
        <v>72</v>
      </c>
      <c r="J56" s="836">
        <f>76.8+371.7</f>
        <v>448.5</v>
      </c>
      <c r="K56" s="785"/>
      <c r="L56" s="796"/>
      <c r="M56" s="17"/>
    </row>
    <row r="57" spans="1:13" ht="53.25" customHeight="1" thickBot="1" x14ac:dyDescent="0.25">
      <c r="A57" s="295"/>
      <c r="B57" s="286"/>
      <c r="C57" s="294"/>
      <c r="D57" s="34" t="s">
        <v>4</v>
      </c>
      <c r="E57" s="784"/>
      <c r="F57" s="780" t="s">
        <v>306</v>
      </c>
      <c r="G57" s="219"/>
      <c r="H57" s="781"/>
      <c r="I57" s="15" t="s">
        <v>16</v>
      </c>
      <c r="J57" s="837">
        <v>196</v>
      </c>
      <c r="K57" s="17" t="s">
        <v>307</v>
      </c>
      <c r="L57" s="569">
        <v>34</v>
      </c>
      <c r="M57" s="17"/>
    </row>
    <row r="58" spans="1:13" ht="42.75" customHeight="1" thickBot="1" x14ac:dyDescent="0.25">
      <c r="A58" s="295"/>
      <c r="B58" s="286"/>
      <c r="C58" s="294"/>
      <c r="D58" s="33" t="s">
        <v>128</v>
      </c>
      <c r="E58" s="706"/>
      <c r="F58" s="777" t="s">
        <v>157</v>
      </c>
      <c r="G58" s="219"/>
      <c r="H58" s="737"/>
      <c r="I58" s="77" t="s">
        <v>13</v>
      </c>
      <c r="J58" s="828">
        <v>13.9</v>
      </c>
      <c r="K58" s="218" t="s">
        <v>79</v>
      </c>
      <c r="L58" s="229">
        <v>4</v>
      </c>
      <c r="M58" s="17"/>
    </row>
    <row r="59" spans="1:13" ht="21.75" customHeight="1" x14ac:dyDescent="0.2">
      <c r="A59" s="295"/>
      <c r="B59" s="286"/>
      <c r="C59" s="294"/>
      <c r="D59" s="29" t="s">
        <v>129</v>
      </c>
      <c r="E59" s="24"/>
      <c r="F59" s="1108" t="s">
        <v>239</v>
      </c>
      <c r="G59" s="778"/>
      <c r="H59" s="737"/>
      <c r="I59" s="231" t="s">
        <v>16</v>
      </c>
      <c r="J59" s="838">
        <f>2817.4+92.7</f>
        <v>2910.1</v>
      </c>
      <c r="K59" s="1068" t="s">
        <v>79</v>
      </c>
      <c r="L59" s="953">
        <v>9</v>
      </c>
      <c r="M59" s="17"/>
    </row>
    <row r="60" spans="1:13" ht="21.75" customHeight="1" x14ac:dyDescent="0.2">
      <c r="A60" s="295"/>
      <c r="B60" s="286"/>
      <c r="C60" s="294"/>
      <c r="D60" s="883"/>
      <c r="E60" s="25"/>
      <c r="F60" s="1109"/>
      <c r="G60" s="884"/>
      <c r="H60" s="878"/>
      <c r="I60" s="887" t="s">
        <v>16</v>
      </c>
      <c r="J60" s="832">
        <v>0.7</v>
      </c>
      <c r="K60" s="943"/>
      <c r="L60" s="945"/>
      <c r="M60" s="17"/>
    </row>
    <row r="61" spans="1:13" ht="21.75" customHeight="1" x14ac:dyDescent="0.2">
      <c r="A61" s="295"/>
      <c r="B61" s="286"/>
      <c r="C61" s="294"/>
      <c r="D61" s="776"/>
      <c r="E61" s="25"/>
      <c r="F61" s="1109"/>
      <c r="G61" s="778"/>
      <c r="H61" s="737"/>
      <c r="I61" s="8" t="s">
        <v>16</v>
      </c>
      <c r="J61" s="829">
        <f>36+1.1</f>
        <v>37.1</v>
      </c>
      <c r="K61" s="50" t="s">
        <v>80</v>
      </c>
      <c r="L61" s="213">
        <v>1331</v>
      </c>
      <c r="M61" s="17"/>
    </row>
    <row r="62" spans="1:13" ht="21.75" customHeight="1" x14ac:dyDescent="0.2">
      <c r="A62" s="295"/>
      <c r="B62" s="286"/>
      <c r="C62" s="294"/>
      <c r="D62" s="932"/>
      <c r="E62" s="25"/>
      <c r="F62" s="934"/>
      <c r="G62" s="937"/>
      <c r="H62" s="930"/>
      <c r="I62" s="8" t="s">
        <v>16</v>
      </c>
      <c r="J62" s="829">
        <v>19.5</v>
      </c>
      <c r="K62" s="17"/>
      <c r="L62" s="928"/>
      <c r="M62" s="17"/>
    </row>
    <row r="63" spans="1:13" ht="21.75" customHeight="1" thickBot="1" x14ac:dyDescent="0.25">
      <c r="A63" s="295"/>
      <c r="B63" s="286"/>
      <c r="C63" s="294"/>
      <c r="D63" s="32"/>
      <c r="E63" s="32"/>
      <c r="F63" s="786"/>
      <c r="G63" s="778"/>
      <c r="H63" s="779"/>
      <c r="I63" s="111" t="s">
        <v>16</v>
      </c>
      <c r="J63" s="831">
        <v>4.8</v>
      </c>
      <c r="K63" s="17"/>
      <c r="L63" s="569"/>
      <c r="M63" s="17"/>
    </row>
    <row r="64" spans="1:13" ht="38.25" customHeight="1" thickBot="1" x14ac:dyDescent="0.25">
      <c r="A64" s="295"/>
      <c r="B64" s="286"/>
      <c r="C64" s="294"/>
      <c r="D64" s="907" t="s">
        <v>130</v>
      </c>
      <c r="E64" s="907"/>
      <c r="F64" s="910" t="s">
        <v>320</v>
      </c>
      <c r="G64" s="219"/>
      <c r="H64" s="892"/>
      <c r="I64" s="911" t="s">
        <v>13</v>
      </c>
      <c r="J64" s="912">
        <v>210</v>
      </c>
      <c r="K64" s="913" t="s">
        <v>321</v>
      </c>
      <c r="L64" s="914">
        <v>27</v>
      </c>
      <c r="M64" s="17"/>
    </row>
    <row r="65" spans="1:13" ht="21.75" customHeight="1" x14ac:dyDescent="0.2">
      <c r="A65" s="295"/>
      <c r="B65" s="286"/>
      <c r="C65" s="294"/>
      <c r="D65" s="29" t="s">
        <v>131</v>
      </c>
      <c r="E65" s="29"/>
      <c r="F65" s="981" t="s">
        <v>135</v>
      </c>
      <c r="G65" s="219"/>
      <c r="H65" s="737"/>
      <c r="I65" s="14" t="s">
        <v>13</v>
      </c>
      <c r="J65" s="839">
        <f>44.8-18-11</f>
        <v>15.799999999999997</v>
      </c>
      <c r="K65" s="1003" t="s">
        <v>120</v>
      </c>
      <c r="L65" s="953">
        <v>1885</v>
      </c>
      <c r="M65" s="17"/>
    </row>
    <row r="66" spans="1:13" s="297" customFormat="1" ht="24.6" customHeight="1" thickBot="1" x14ac:dyDescent="0.25">
      <c r="A66" s="279"/>
      <c r="B66" s="286"/>
      <c r="C66" s="293"/>
      <c r="D66" s="908"/>
      <c r="E66" s="908"/>
      <c r="F66" s="971"/>
      <c r="G66" s="220"/>
      <c r="H66" s="737"/>
      <c r="I66" s="15"/>
      <c r="J66" s="834"/>
      <c r="K66" s="1004"/>
      <c r="L66" s="1101"/>
      <c r="M66" s="461"/>
    </row>
    <row r="67" spans="1:13" ht="15.6" customHeight="1" x14ac:dyDescent="0.2">
      <c r="A67" s="292"/>
      <c r="B67" s="286"/>
      <c r="C67" s="294"/>
      <c r="D67" s="29" t="s">
        <v>132</v>
      </c>
      <c r="E67" s="29"/>
      <c r="F67" s="981" t="s">
        <v>240</v>
      </c>
      <c r="G67" s="221"/>
      <c r="H67" s="737"/>
      <c r="I67" s="14" t="s">
        <v>13</v>
      </c>
      <c r="J67" s="840">
        <f>7547+4.1+18+1.9</f>
        <v>7571</v>
      </c>
      <c r="K67" s="218" t="s">
        <v>79</v>
      </c>
      <c r="L67" s="229">
        <v>6</v>
      </c>
      <c r="M67" s="17"/>
    </row>
    <row r="68" spans="1:13" ht="15.6" customHeight="1" x14ac:dyDescent="0.2">
      <c r="A68" s="292"/>
      <c r="B68" s="286"/>
      <c r="C68" s="294"/>
      <c r="D68" s="762"/>
      <c r="E68" s="762"/>
      <c r="F68" s="968"/>
      <c r="G68" s="221"/>
      <c r="H68" s="737"/>
      <c r="I68" s="16" t="s">
        <v>16</v>
      </c>
      <c r="J68" s="829">
        <v>153.80000000000001</v>
      </c>
      <c r="K68" s="50" t="s">
        <v>80</v>
      </c>
      <c r="L68" s="196">
        <v>4500</v>
      </c>
      <c r="M68" s="17"/>
    </row>
    <row r="69" spans="1:13" ht="15.6" customHeight="1" x14ac:dyDescent="0.2">
      <c r="A69" s="292"/>
      <c r="B69" s="286"/>
      <c r="C69" s="294"/>
      <c r="D69" s="762"/>
      <c r="E69" s="762"/>
      <c r="F69" s="968"/>
      <c r="G69" s="221"/>
      <c r="H69" s="737"/>
      <c r="I69" s="2" t="s">
        <v>37</v>
      </c>
      <c r="J69" s="830">
        <f>321.9</f>
        <v>321.89999999999998</v>
      </c>
      <c r="K69" s="954" t="s">
        <v>257</v>
      </c>
      <c r="L69" s="213">
        <v>190</v>
      </c>
      <c r="M69" s="17"/>
    </row>
    <row r="70" spans="1:13" ht="15.6" customHeight="1" thickBot="1" x14ac:dyDescent="0.25">
      <c r="A70" s="292"/>
      <c r="B70" s="286"/>
      <c r="C70" s="294"/>
      <c r="D70" s="762"/>
      <c r="E70" s="762"/>
      <c r="F70" s="968"/>
      <c r="G70" s="221"/>
      <c r="H70" s="737"/>
      <c r="I70" s="87"/>
      <c r="J70" s="831"/>
      <c r="K70" s="955"/>
      <c r="L70" s="569"/>
      <c r="M70" s="17"/>
    </row>
    <row r="71" spans="1:13" ht="30" customHeight="1" x14ac:dyDescent="0.2">
      <c r="A71" s="292"/>
      <c r="B71" s="286"/>
      <c r="C71" s="294"/>
      <c r="D71" s="29" t="s">
        <v>133</v>
      </c>
      <c r="E71" s="29"/>
      <c r="F71" s="994" t="s">
        <v>241</v>
      </c>
      <c r="G71" s="225" t="s">
        <v>163</v>
      </c>
      <c r="H71" s="737"/>
      <c r="I71" s="56" t="s">
        <v>13</v>
      </c>
      <c r="J71" s="828">
        <f>463.8+24.8</f>
        <v>488.6</v>
      </c>
      <c r="K71" s="315" t="s">
        <v>82</v>
      </c>
      <c r="L71" s="790">
        <v>10000</v>
      </c>
      <c r="M71" s="17"/>
    </row>
    <row r="72" spans="1:13" ht="18" customHeight="1" x14ac:dyDescent="0.2">
      <c r="A72" s="292"/>
      <c r="B72" s="286"/>
      <c r="C72" s="294"/>
      <c r="D72" s="762"/>
      <c r="E72" s="762"/>
      <c r="F72" s="993"/>
      <c r="G72" s="219"/>
      <c r="H72" s="737"/>
      <c r="I72" s="16" t="s">
        <v>16</v>
      </c>
      <c r="J72" s="829">
        <v>499.1</v>
      </c>
      <c r="K72" s="317" t="s">
        <v>89</v>
      </c>
      <c r="L72" s="196">
        <f>9+3+8+3+3+2+20+1+2+2+4</f>
        <v>57</v>
      </c>
      <c r="M72" s="17"/>
    </row>
    <row r="73" spans="1:13" ht="30" customHeight="1" x14ac:dyDescent="0.2">
      <c r="A73" s="292"/>
      <c r="B73" s="286"/>
      <c r="C73" s="294"/>
      <c r="D73" s="762"/>
      <c r="E73" s="762"/>
      <c r="F73" s="993"/>
      <c r="G73" s="226"/>
      <c r="H73" s="737"/>
      <c r="I73" s="2" t="s">
        <v>37</v>
      </c>
      <c r="J73" s="830">
        <v>18</v>
      </c>
      <c r="K73" s="291" t="s">
        <v>165</v>
      </c>
      <c r="L73" s="196">
        <v>2</v>
      </c>
      <c r="M73" s="17"/>
    </row>
    <row r="74" spans="1:13" ht="18" customHeight="1" thickBot="1" x14ac:dyDescent="0.25">
      <c r="A74" s="292"/>
      <c r="B74" s="286"/>
      <c r="C74" s="294"/>
      <c r="D74" s="32"/>
      <c r="E74" s="32"/>
      <c r="F74" s="725"/>
      <c r="G74" s="723"/>
      <c r="H74" s="737"/>
      <c r="I74" s="15"/>
      <c r="J74" s="834"/>
      <c r="K74" s="734" t="s">
        <v>164</v>
      </c>
      <c r="L74" s="791">
        <v>12</v>
      </c>
      <c r="M74" s="17"/>
    </row>
    <row r="75" spans="1:13" ht="18" customHeight="1" x14ac:dyDescent="0.2">
      <c r="A75" s="292"/>
      <c r="B75" s="286"/>
      <c r="C75" s="294"/>
      <c r="D75" s="29" t="s">
        <v>134</v>
      </c>
      <c r="E75" s="29"/>
      <c r="F75" s="994" t="s">
        <v>176</v>
      </c>
      <c r="G75" s="226"/>
      <c r="H75" s="737"/>
      <c r="I75" s="16" t="s">
        <v>70</v>
      </c>
      <c r="J75" s="830">
        <v>5.4</v>
      </c>
      <c r="K75" s="749" t="s">
        <v>57</v>
      </c>
      <c r="L75" s="790">
        <v>100</v>
      </c>
      <c r="M75" s="17"/>
    </row>
    <row r="76" spans="1:13" ht="18" customHeight="1" x14ac:dyDescent="0.2">
      <c r="A76" s="292"/>
      <c r="B76" s="286"/>
      <c r="C76" s="294"/>
      <c r="D76" s="762"/>
      <c r="E76" s="762"/>
      <c r="F76" s="993"/>
      <c r="G76" s="226"/>
      <c r="H76" s="737"/>
      <c r="I76" s="2" t="s">
        <v>16</v>
      </c>
      <c r="J76" s="830">
        <v>0.9</v>
      </c>
      <c r="K76" s="749"/>
      <c r="L76" s="569"/>
      <c r="M76" s="17"/>
    </row>
    <row r="77" spans="1:13" ht="18" customHeight="1" thickBot="1" x14ac:dyDescent="0.25">
      <c r="A77" s="292"/>
      <c r="B77" s="286"/>
      <c r="C77" s="294"/>
      <c r="D77" s="32"/>
      <c r="E77" s="32"/>
      <c r="F77" s="999"/>
      <c r="G77" s="226"/>
      <c r="H77" s="737"/>
      <c r="I77" s="15"/>
      <c r="J77" s="834"/>
      <c r="K77" s="749"/>
      <c r="L77" s="569"/>
      <c r="M77" s="17"/>
    </row>
    <row r="78" spans="1:13" ht="16.149999999999999" customHeight="1" x14ac:dyDescent="0.2">
      <c r="A78" s="298"/>
      <c r="B78" s="289"/>
      <c r="C78" s="287"/>
      <c r="D78" s="762" t="s">
        <v>184</v>
      </c>
      <c r="E78" s="762"/>
      <c r="F78" s="993" t="s">
        <v>97</v>
      </c>
      <c r="G78" s="299"/>
      <c r="H78" s="737"/>
      <c r="I78" s="3" t="s">
        <v>13</v>
      </c>
      <c r="J78" s="915">
        <f>532.2+5+6.8</f>
        <v>544</v>
      </c>
      <c r="K78" s="93" t="s">
        <v>192</v>
      </c>
      <c r="L78" s="790">
        <v>150</v>
      </c>
      <c r="M78" s="17"/>
    </row>
    <row r="79" spans="1:13" ht="15.6" customHeight="1" x14ac:dyDescent="0.2">
      <c r="A79" s="298"/>
      <c r="B79" s="289"/>
      <c r="C79" s="287"/>
      <c r="D79" s="762"/>
      <c r="E79" s="762"/>
      <c r="F79" s="993"/>
      <c r="G79" s="299"/>
      <c r="H79" s="737"/>
      <c r="I79" s="3" t="s">
        <v>16</v>
      </c>
      <c r="J79" s="446">
        <f>179.7+16.1</f>
        <v>195.79999999999998</v>
      </c>
      <c r="K79" s="880"/>
      <c r="L79" s="569"/>
      <c r="M79" s="17"/>
    </row>
    <row r="80" spans="1:13" ht="15.6" customHeight="1" x14ac:dyDescent="0.2">
      <c r="A80" s="298"/>
      <c r="B80" s="289"/>
      <c r="C80" s="287"/>
      <c r="D80" s="883"/>
      <c r="E80" s="883"/>
      <c r="F80" s="993"/>
      <c r="G80" s="299"/>
      <c r="H80" s="878"/>
      <c r="I80" s="2" t="s">
        <v>37</v>
      </c>
      <c r="J80" s="830">
        <v>39.6</v>
      </c>
      <c r="K80" s="881"/>
      <c r="L80" s="796"/>
      <c r="M80" s="17"/>
    </row>
    <row r="81" spans="1:13" ht="30.75" customHeight="1" thickBot="1" x14ac:dyDescent="0.25">
      <c r="A81" s="298"/>
      <c r="B81" s="289"/>
      <c r="C81" s="287"/>
      <c r="D81" s="32"/>
      <c r="E81" s="32"/>
      <c r="F81" s="999"/>
      <c r="G81" s="299"/>
      <c r="H81" s="737"/>
      <c r="I81" s="2" t="s">
        <v>16</v>
      </c>
      <c r="J81" s="830">
        <f>10-6.8</f>
        <v>3.2</v>
      </c>
      <c r="K81" s="51" t="s">
        <v>312</v>
      </c>
      <c r="L81" s="791">
        <v>2</v>
      </c>
      <c r="M81" s="17"/>
    </row>
    <row r="82" spans="1:13" ht="30.6" customHeight="1" x14ac:dyDescent="0.2">
      <c r="A82" s="298"/>
      <c r="B82" s="289"/>
      <c r="C82" s="287"/>
      <c r="D82" s="762" t="s">
        <v>185</v>
      </c>
      <c r="E82" s="762"/>
      <c r="F82" s="724" t="s">
        <v>98</v>
      </c>
      <c r="G82" s="226"/>
      <c r="H82" s="737"/>
      <c r="I82" s="14" t="s">
        <v>13</v>
      </c>
      <c r="J82" s="546">
        <f>227.8+3.5</f>
        <v>231.3</v>
      </c>
      <c r="K82" s="317" t="s">
        <v>215</v>
      </c>
      <c r="L82" s="196">
        <v>2000</v>
      </c>
      <c r="M82" s="17"/>
    </row>
    <row r="83" spans="1:13" ht="28.15" customHeight="1" x14ac:dyDescent="0.2">
      <c r="A83" s="298"/>
      <c r="B83" s="289"/>
      <c r="C83" s="287"/>
      <c r="D83" s="762"/>
      <c r="E83" s="762"/>
      <c r="F83" s="724"/>
      <c r="G83" s="723"/>
      <c r="H83" s="737"/>
      <c r="I83" s="2" t="s">
        <v>37</v>
      </c>
      <c r="J83" s="830">
        <v>30</v>
      </c>
      <c r="K83" s="317" t="s">
        <v>216</v>
      </c>
      <c r="L83" s="569">
        <v>80</v>
      </c>
      <c r="M83" s="17"/>
    </row>
    <row r="84" spans="1:13" ht="30" customHeight="1" thickBot="1" x14ac:dyDescent="0.25">
      <c r="A84" s="298"/>
      <c r="B84" s="289"/>
      <c r="C84" s="287"/>
      <c r="D84" s="762"/>
      <c r="E84" s="762"/>
      <c r="F84" s="724"/>
      <c r="G84" s="226"/>
      <c r="H84" s="737"/>
      <c r="I84" s="87"/>
      <c r="J84" s="831"/>
      <c r="K84" s="50" t="s">
        <v>83</v>
      </c>
      <c r="L84" s="213">
        <v>12700</v>
      </c>
      <c r="M84" s="17"/>
    </row>
    <row r="85" spans="1:13" ht="35.450000000000003" customHeight="1" x14ac:dyDescent="0.2">
      <c r="A85" s="279"/>
      <c r="B85" s="289"/>
      <c r="C85" s="287"/>
      <c r="D85" s="761" t="s">
        <v>186</v>
      </c>
      <c r="E85" s="761"/>
      <c r="F85" s="995" t="s">
        <v>121</v>
      </c>
      <c r="G85" s="300" t="s">
        <v>167</v>
      </c>
      <c r="H85" s="68"/>
      <c r="I85" s="56" t="s">
        <v>70</v>
      </c>
      <c r="J85" s="838">
        <v>5</v>
      </c>
      <c r="K85" s="1003" t="s">
        <v>166</v>
      </c>
      <c r="L85" s="790">
        <v>15</v>
      </c>
      <c r="M85" s="17"/>
    </row>
    <row r="86" spans="1:13" ht="35.450000000000003" customHeight="1" thickBot="1" x14ac:dyDescent="0.25">
      <c r="A86" s="279"/>
      <c r="B86" s="289"/>
      <c r="C86" s="287"/>
      <c r="D86" s="762"/>
      <c r="E86" s="762"/>
      <c r="F86" s="996"/>
      <c r="G86" s="723"/>
      <c r="H86" s="68"/>
      <c r="I86" s="720" t="s">
        <v>13</v>
      </c>
      <c r="J86" s="841">
        <v>6</v>
      </c>
      <c r="K86" s="1004"/>
      <c r="L86" s="791"/>
      <c r="M86" s="17"/>
    </row>
    <row r="87" spans="1:13" ht="42" customHeight="1" x14ac:dyDescent="0.2">
      <c r="A87" s="279"/>
      <c r="B87" s="289"/>
      <c r="C87" s="287"/>
      <c r="D87" s="29" t="s">
        <v>187</v>
      </c>
      <c r="E87" s="29"/>
      <c r="F87" s="55" t="s">
        <v>118</v>
      </c>
      <c r="G87" s="723"/>
      <c r="H87" s="68"/>
      <c r="I87" s="56"/>
      <c r="J87" s="838"/>
      <c r="K87" s="555" t="s">
        <v>81</v>
      </c>
      <c r="L87" s="229">
        <v>125</v>
      </c>
      <c r="M87" s="17"/>
    </row>
    <row r="88" spans="1:13" ht="17.45" customHeight="1" thickBot="1" x14ac:dyDescent="0.25">
      <c r="A88" s="279"/>
      <c r="B88" s="289"/>
      <c r="C88" s="287"/>
      <c r="D88" s="762"/>
      <c r="E88" s="34" t="s">
        <v>12</v>
      </c>
      <c r="F88" s="96" t="s">
        <v>154</v>
      </c>
      <c r="G88" s="226"/>
      <c r="H88" s="68"/>
      <c r="I88" s="3" t="s">
        <v>13</v>
      </c>
      <c r="J88" s="829">
        <f>103.4-21-16</f>
        <v>66.400000000000006</v>
      </c>
      <c r="K88" s="749" t="s">
        <v>79</v>
      </c>
      <c r="L88" s="213">
        <v>2</v>
      </c>
      <c r="M88" s="17"/>
    </row>
    <row r="89" spans="1:13" ht="29.25" customHeight="1" x14ac:dyDescent="0.2">
      <c r="A89" s="279"/>
      <c r="B89" s="289"/>
      <c r="C89" s="301"/>
      <c r="D89" s="25"/>
      <c r="E89" s="29" t="s">
        <v>15</v>
      </c>
      <c r="F89" s="54" t="s">
        <v>162</v>
      </c>
      <c r="G89" s="225"/>
      <c r="H89" s="975" t="s">
        <v>169</v>
      </c>
      <c r="I89" s="14"/>
      <c r="J89" s="839"/>
      <c r="K89" s="733"/>
      <c r="L89" s="790"/>
      <c r="M89" s="17"/>
    </row>
    <row r="90" spans="1:13" ht="15.75" customHeight="1" x14ac:dyDescent="0.2">
      <c r="A90" s="279"/>
      <c r="B90" s="289"/>
      <c r="C90" s="287"/>
      <c r="D90" s="25"/>
      <c r="E90" s="762"/>
      <c r="F90" s="968" t="s">
        <v>177</v>
      </c>
      <c r="G90" s="219"/>
      <c r="H90" s="975"/>
      <c r="I90" s="87" t="s">
        <v>13</v>
      </c>
      <c r="J90" s="837">
        <f>90.6-22-4</f>
        <v>64.599999999999994</v>
      </c>
      <c r="K90" s="211" t="s">
        <v>81</v>
      </c>
      <c r="L90" s="442">
        <v>123</v>
      </c>
      <c r="M90" s="17"/>
    </row>
    <row r="91" spans="1:13" ht="15.75" customHeight="1" thickBot="1" x14ac:dyDescent="0.25">
      <c r="A91" s="279"/>
      <c r="B91" s="289"/>
      <c r="C91" s="287"/>
      <c r="D91" s="25"/>
      <c r="E91" s="762"/>
      <c r="F91" s="969"/>
      <c r="G91" s="219"/>
      <c r="H91" s="975"/>
      <c r="I91" s="3"/>
      <c r="J91" s="836"/>
      <c r="K91" s="734" t="s">
        <v>138</v>
      </c>
      <c r="L91" s="351">
        <v>9</v>
      </c>
      <c r="M91" s="17"/>
    </row>
    <row r="92" spans="1:13" ht="29.25" customHeight="1" x14ac:dyDescent="0.2">
      <c r="A92" s="279"/>
      <c r="B92" s="289"/>
      <c r="C92" s="287"/>
      <c r="D92" s="25"/>
      <c r="E92" s="761" t="s">
        <v>17</v>
      </c>
      <c r="F92" s="968" t="s">
        <v>219</v>
      </c>
      <c r="G92" s="1027" t="s">
        <v>163</v>
      </c>
      <c r="H92" s="737" t="s">
        <v>169</v>
      </c>
      <c r="I92" s="14" t="s">
        <v>13</v>
      </c>
      <c r="J92" s="839">
        <v>73.599999999999994</v>
      </c>
      <c r="K92" s="218" t="s">
        <v>218</v>
      </c>
      <c r="L92" s="229">
        <v>1</v>
      </c>
      <c r="M92" s="17"/>
    </row>
    <row r="93" spans="1:13" ht="15.75" customHeight="1" x14ac:dyDescent="0.2">
      <c r="A93" s="279"/>
      <c r="B93" s="289"/>
      <c r="C93" s="287"/>
      <c r="D93" s="25"/>
      <c r="E93" s="762"/>
      <c r="F93" s="968"/>
      <c r="G93" s="1028"/>
      <c r="H93" s="68"/>
      <c r="I93" s="87"/>
      <c r="J93" s="831"/>
      <c r="K93" s="50" t="s">
        <v>122</v>
      </c>
      <c r="L93" s="233">
        <v>4.83</v>
      </c>
      <c r="M93" s="17"/>
    </row>
    <row r="94" spans="1:13" ht="30" customHeight="1" thickBot="1" x14ac:dyDescent="0.25">
      <c r="A94" s="279"/>
      <c r="B94" s="289"/>
      <c r="C94" s="287"/>
      <c r="D94" s="25"/>
      <c r="E94" s="762"/>
      <c r="F94" s="735"/>
      <c r="G94" s="302" t="s">
        <v>167</v>
      </c>
      <c r="H94" s="68"/>
      <c r="I94" s="15"/>
      <c r="J94" s="834"/>
      <c r="K94" s="52" t="s">
        <v>217</v>
      </c>
      <c r="L94" s="213">
        <v>25</v>
      </c>
      <c r="M94" s="17"/>
    </row>
    <row r="95" spans="1:13" ht="53.25" customHeight="1" x14ac:dyDescent="0.2">
      <c r="A95" s="295"/>
      <c r="B95" s="286"/>
      <c r="C95" s="294"/>
      <c r="D95" s="29" t="s">
        <v>188</v>
      </c>
      <c r="E95" s="24"/>
      <c r="F95" s="736" t="s">
        <v>58</v>
      </c>
      <c r="G95" s="303"/>
      <c r="H95" s="737"/>
      <c r="I95" s="947" t="s">
        <v>13</v>
      </c>
      <c r="J95" s="949">
        <f>503.4+74.7+126.2-8.5-3.5-68.8</f>
        <v>623.50000000000011</v>
      </c>
      <c r="K95" s="315" t="s">
        <v>99</v>
      </c>
      <c r="L95" s="229">
        <v>145</v>
      </c>
      <c r="M95" s="17"/>
    </row>
    <row r="96" spans="1:13" ht="27.75" customHeight="1" thickBot="1" x14ac:dyDescent="0.25">
      <c r="A96" s="295"/>
      <c r="B96" s="286"/>
      <c r="C96" s="294"/>
      <c r="D96" s="26"/>
      <c r="E96" s="26"/>
      <c r="F96" s="727"/>
      <c r="G96" s="226"/>
      <c r="H96" s="737"/>
      <c r="I96" s="948"/>
      <c r="J96" s="950"/>
      <c r="K96" s="50" t="s">
        <v>160</v>
      </c>
      <c r="L96" s="213">
        <v>8</v>
      </c>
      <c r="M96" s="17"/>
    </row>
    <row r="97" spans="1:13" ht="15.6" customHeight="1" x14ac:dyDescent="0.2">
      <c r="A97" s="295"/>
      <c r="B97" s="286"/>
      <c r="C97" s="294"/>
      <c r="D97" s="74" t="s">
        <v>189</v>
      </c>
      <c r="E97" s="74"/>
      <c r="F97" s="75" t="s">
        <v>44</v>
      </c>
      <c r="G97" s="226"/>
      <c r="H97" s="737"/>
      <c r="I97" s="56" t="s">
        <v>16</v>
      </c>
      <c r="J97" s="838">
        <f>50.2-2.7</f>
        <v>47.5</v>
      </c>
      <c r="K97" s="555" t="s">
        <v>86</v>
      </c>
      <c r="L97" s="790">
        <v>17</v>
      </c>
      <c r="M97" s="17"/>
    </row>
    <row r="98" spans="1:13" ht="15.6" customHeight="1" x14ac:dyDescent="0.2">
      <c r="A98" s="295"/>
      <c r="B98" s="286"/>
      <c r="C98" s="287"/>
      <c r="D98" s="762" t="s">
        <v>300</v>
      </c>
      <c r="E98" s="762"/>
      <c r="F98" s="726" t="s">
        <v>74</v>
      </c>
      <c r="G98" s="226"/>
      <c r="H98" s="737"/>
      <c r="I98" s="87" t="s">
        <v>13</v>
      </c>
      <c r="J98" s="831">
        <v>304.5</v>
      </c>
      <c r="K98" s="317" t="s">
        <v>80</v>
      </c>
      <c r="L98" s="196">
        <v>1204</v>
      </c>
      <c r="M98" s="17"/>
    </row>
    <row r="99" spans="1:13" ht="69" customHeight="1" x14ac:dyDescent="0.2">
      <c r="A99" s="295"/>
      <c r="B99" s="286"/>
      <c r="C99" s="287"/>
      <c r="D99" s="34" t="s">
        <v>318</v>
      </c>
      <c r="E99" s="34"/>
      <c r="F99" s="49" t="s">
        <v>88</v>
      </c>
      <c r="G99" s="520"/>
      <c r="H99" s="737"/>
      <c r="I99" s="8" t="s">
        <v>13</v>
      </c>
      <c r="J99" s="829">
        <v>155.50299999999999</v>
      </c>
      <c r="K99" s="317" t="s">
        <v>65</v>
      </c>
      <c r="L99" s="196">
        <v>7753</v>
      </c>
    </row>
    <row r="100" spans="1:13" ht="56.65" customHeight="1" x14ac:dyDescent="0.2">
      <c r="A100" s="295"/>
      <c r="B100" s="286"/>
      <c r="C100" s="287"/>
      <c r="D100" s="761" t="s">
        <v>319</v>
      </c>
      <c r="E100" s="761"/>
      <c r="F100" s="967" t="s">
        <v>288</v>
      </c>
      <c r="G100" s="998"/>
      <c r="H100" s="975"/>
      <c r="I100" s="87" t="s">
        <v>13</v>
      </c>
      <c r="J100" s="831">
        <f>3.2+180.8</f>
        <v>184</v>
      </c>
      <c r="K100" s="785" t="s">
        <v>220</v>
      </c>
      <c r="L100" s="926">
        <v>48</v>
      </c>
    </row>
    <row r="101" spans="1:13" ht="42.75" customHeight="1" x14ac:dyDescent="0.2">
      <c r="A101" s="295"/>
      <c r="B101" s="286"/>
      <c r="C101" s="287"/>
      <c r="D101" s="762"/>
      <c r="E101" s="762"/>
      <c r="F101" s="968"/>
      <c r="G101" s="998"/>
      <c r="H101" s="975"/>
      <c r="I101" s="87"/>
      <c r="J101" s="831"/>
      <c r="K101" s="50" t="s">
        <v>221</v>
      </c>
      <c r="L101" s="213">
        <v>10</v>
      </c>
    </row>
    <row r="102" spans="1:13" ht="41.25" customHeight="1" x14ac:dyDescent="0.2">
      <c r="A102" s="295"/>
      <c r="B102" s="286"/>
      <c r="C102" s="287"/>
      <c r="D102" s="706" t="s">
        <v>332</v>
      </c>
      <c r="E102" s="706"/>
      <c r="F102" s="967" t="s">
        <v>299</v>
      </c>
      <c r="G102" s="722"/>
      <c r="H102" s="45" t="s">
        <v>302</v>
      </c>
      <c r="I102" s="2"/>
      <c r="J102" s="830"/>
      <c r="K102" s="50" t="s">
        <v>301</v>
      </c>
      <c r="L102" s="213">
        <v>1</v>
      </c>
    </row>
    <row r="103" spans="1:13" ht="15.6" customHeight="1" thickBot="1" x14ac:dyDescent="0.25">
      <c r="A103" s="308"/>
      <c r="B103" s="309"/>
      <c r="C103" s="310"/>
      <c r="D103" s="721"/>
      <c r="E103" s="721"/>
      <c r="F103" s="971"/>
      <c r="G103" s="1000" t="s">
        <v>40</v>
      </c>
      <c r="H103" s="1001"/>
      <c r="I103" s="1001"/>
      <c r="J103" s="842">
        <f>SUM(J15:J101)-J49-J50-J51-J52-J53</f>
        <v>104238.40300000002</v>
      </c>
      <c r="K103" s="51"/>
      <c r="L103" s="791"/>
    </row>
    <row r="104" spans="1:13" ht="29.1" customHeight="1" x14ac:dyDescent="0.2">
      <c r="A104" s="312" t="s">
        <v>12</v>
      </c>
      <c r="B104" s="313" t="s">
        <v>12</v>
      </c>
      <c r="C104" s="284" t="s">
        <v>15</v>
      </c>
      <c r="D104" s="24"/>
      <c r="E104" s="24"/>
      <c r="F104" s="732" t="s">
        <v>59</v>
      </c>
      <c r="G104" s="314"/>
      <c r="H104" s="980" t="s">
        <v>169</v>
      </c>
      <c r="I104" s="14"/>
      <c r="J104" s="839"/>
      <c r="K104" s="315"/>
      <c r="L104" s="790"/>
    </row>
    <row r="105" spans="1:13" ht="29.65" customHeight="1" x14ac:dyDescent="0.2">
      <c r="A105" s="295"/>
      <c r="B105" s="286"/>
      <c r="C105" s="294"/>
      <c r="D105" s="34" t="s">
        <v>12</v>
      </c>
      <c r="E105" s="34"/>
      <c r="F105" s="96" t="s">
        <v>195</v>
      </c>
      <c r="G105" s="316"/>
      <c r="H105" s="975"/>
      <c r="I105" s="16" t="s">
        <v>16</v>
      </c>
      <c r="J105" s="829">
        <v>256.5</v>
      </c>
      <c r="K105" s="317" t="s">
        <v>80</v>
      </c>
      <c r="L105" s="196">
        <v>3080</v>
      </c>
    </row>
    <row r="106" spans="1:13" ht="16.149999999999999" customHeight="1" x14ac:dyDescent="0.2">
      <c r="A106" s="295"/>
      <c r="B106" s="286"/>
      <c r="C106" s="294"/>
      <c r="D106" s="25" t="s">
        <v>15</v>
      </c>
      <c r="E106" s="25"/>
      <c r="F106" s="967" t="s">
        <v>43</v>
      </c>
      <c r="G106" s="985" t="s">
        <v>163</v>
      </c>
      <c r="H106" s="737"/>
      <c r="I106" s="2" t="s">
        <v>13</v>
      </c>
      <c r="J106" s="829">
        <v>130</v>
      </c>
      <c r="K106" s="941" t="s">
        <v>100</v>
      </c>
      <c r="L106" s="569">
        <v>73</v>
      </c>
    </row>
    <row r="107" spans="1:13" ht="16.149999999999999" customHeight="1" x14ac:dyDescent="0.2">
      <c r="A107" s="295"/>
      <c r="B107" s="286"/>
      <c r="C107" s="294"/>
      <c r="D107" s="25"/>
      <c r="E107" s="25"/>
      <c r="F107" s="969"/>
      <c r="G107" s="986"/>
      <c r="H107" s="878"/>
      <c r="I107" s="2" t="s">
        <v>16</v>
      </c>
      <c r="J107" s="831">
        <v>120</v>
      </c>
      <c r="K107" s="943"/>
      <c r="L107" s="569"/>
    </row>
    <row r="108" spans="1:13" ht="15.75" customHeight="1" x14ac:dyDescent="0.2">
      <c r="A108" s="295"/>
      <c r="B108" s="286"/>
      <c r="C108" s="294"/>
      <c r="D108" s="36" t="s">
        <v>17</v>
      </c>
      <c r="E108" s="36"/>
      <c r="F108" s="967" t="s">
        <v>55</v>
      </c>
      <c r="G108" s="318"/>
      <c r="H108" s="737"/>
      <c r="I108" s="109" t="s">
        <v>16</v>
      </c>
      <c r="J108" s="830">
        <f>1106.2-120</f>
        <v>986.2</v>
      </c>
      <c r="K108" s="742" t="s">
        <v>100</v>
      </c>
      <c r="L108" s="798">
        <v>96</v>
      </c>
    </row>
    <row r="109" spans="1:13" ht="15.75" customHeight="1" x14ac:dyDescent="0.2">
      <c r="A109" s="295"/>
      <c r="B109" s="286"/>
      <c r="C109" s="294"/>
      <c r="D109" s="25"/>
      <c r="E109" s="25"/>
      <c r="F109" s="968"/>
      <c r="G109" s="316"/>
      <c r="H109" s="737"/>
      <c r="I109" s="371"/>
      <c r="J109" s="832"/>
      <c r="K109" s="954" t="s">
        <v>151</v>
      </c>
      <c r="L109" s="213">
        <v>5733</v>
      </c>
    </row>
    <row r="110" spans="1:13" ht="15.75" customHeight="1" x14ac:dyDescent="0.2">
      <c r="A110" s="295"/>
      <c r="B110" s="286"/>
      <c r="C110" s="294"/>
      <c r="D110" s="25"/>
      <c r="E110" s="25"/>
      <c r="F110" s="968"/>
      <c r="G110" s="316"/>
      <c r="H110" s="779"/>
      <c r="I110" s="87" t="s">
        <v>72</v>
      </c>
      <c r="J110" s="831">
        <v>98.4</v>
      </c>
      <c r="K110" s="955"/>
      <c r="L110" s="569"/>
    </row>
    <row r="111" spans="1:13" ht="15.75" customHeight="1" thickBot="1" x14ac:dyDescent="0.25">
      <c r="A111" s="320"/>
      <c r="B111" s="321"/>
      <c r="C111" s="322"/>
      <c r="D111" s="26"/>
      <c r="E111" s="26"/>
      <c r="F111" s="971"/>
      <c r="G111" s="323"/>
      <c r="H111" s="739"/>
      <c r="I111" s="324" t="s">
        <v>14</v>
      </c>
      <c r="J111" s="842">
        <f>SUM(J105:J110)</f>
        <v>1591.1000000000001</v>
      </c>
      <c r="K111" s="1004"/>
      <c r="L111" s="791"/>
    </row>
    <row r="112" spans="1:13" ht="30.6" customHeight="1" x14ac:dyDescent="0.2">
      <c r="A112" s="312" t="s">
        <v>12</v>
      </c>
      <c r="B112" s="313" t="s">
        <v>12</v>
      </c>
      <c r="C112" s="284" t="s">
        <v>17</v>
      </c>
      <c r="D112" s="24"/>
      <c r="E112" s="24"/>
      <c r="F112" s="981" t="s">
        <v>48</v>
      </c>
      <c r="G112" s="316"/>
      <c r="H112" s="1070" t="s">
        <v>190</v>
      </c>
      <c r="I112" s="14" t="s">
        <v>13</v>
      </c>
      <c r="J112" s="843">
        <v>3.9</v>
      </c>
      <c r="K112" s="315" t="s">
        <v>87</v>
      </c>
      <c r="L112" s="790">
        <v>10</v>
      </c>
    </row>
    <row r="113" spans="1:12" ht="16.899999999999999" customHeight="1" thickBot="1" x14ac:dyDescent="0.25">
      <c r="A113" s="320"/>
      <c r="B113" s="309"/>
      <c r="C113" s="322"/>
      <c r="D113" s="26"/>
      <c r="E113" s="26"/>
      <c r="F113" s="971"/>
      <c r="G113" s="323"/>
      <c r="H113" s="1071"/>
      <c r="I113" s="324" t="s">
        <v>14</v>
      </c>
      <c r="J113" s="844">
        <f t="shared" ref="J113" si="0">J112</f>
        <v>3.9</v>
      </c>
      <c r="K113" s="50" t="s">
        <v>81</v>
      </c>
      <c r="L113" s="797">
        <v>860</v>
      </c>
    </row>
    <row r="114" spans="1:12" ht="18.75" customHeight="1" x14ac:dyDescent="0.2">
      <c r="A114" s="312" t="s">
        <v>12</v>
      </c>
      <c r="B114" s="313" t="s">
        <v>12</v>
      </c>
      <c r="C114" s="284" t="s">
        <v>19</v>
      </c>
      <c r="D114" s="24"/>
      <c r="E114" s="24"/>
      <c r="F114" s="981" t="s">
        <v>91</v>
      </c>
      <c r="G114" s="314"/>
      <c r="H114" s="980" t="s">
        <v>169</v>
      </c>
      <c r="I114" s="14" t="s">
        <v>13</v>
      </c>
      <c r="J114" s="831">
        <v>47.2</v>
      </c>
      <c r="K114" s="1003" t="s">
        <v>101</v>
      </c>
      <c r="L114" s="799">
        <v>39</v>
      </c>
    </row>
    <row r="115" spans="1:12" ht="14.25" customHeight="1" thickBot="1" x14ac:dyDescent="0.25">
      <c r="A115" s="320"/>
      <c r="B115" s="321"/>
      <c r="C115" s="322"/>
      <c r="D115" s="26"/>
      <c r="E115" s="26"/>
      <c r="F115" s="971"/>
      <c r="G115" s="323"/>
      <c r="H115" s="1002"/>
      <c r="I115" s="324" t="s">
        <v>14</v>
      </c>
      <c r="J115" s="842">
        <f t="shared" ref="J115" si="1">SUM(J114)</f>
        <v>47.2</v>
      </c>
      <c r="K115" s="1004"/>
      <c r="L115" s="800"/>
    </row>
    <row r="116" spans="1:12" ht="28.15" customHeight="1" x14ac:dyDescent="0.2">
      <c r="A116" s="312" t="s">
        <v>12</v>
      </c>
      <c r="B116" s="313" t="s">
        <v>12</v>
      </c>
      <c r="C116" s="284" t="s">
        <v>20</v>
      </c>
      <c r="D116" s="24"/>
      <c r="E116" s="24"/>
      <c r="F116" s="981" t="s">
        <v>194</v>
      </c>
      <c r="G116" s="314"/>
      <c r="H116" s="980" t="s">
        <v>182</v>
      </c>
      <c r="I116" s="14" t="s">
        <v>13</v>
      </c>
      <c r="J116" s="843">
        <v>2.7</v>
      </c>
      <c r="K116" s="1003" t="s">
        <v>193</v>
      </c>
      <c r="L116" s="790">
        <v>1</v>
      </c>
    </row>
    <row r="117" spans="1:12" ht="15.75" customHeight="1" thickBot="1" x14ac:dyDescent="0.25">
      <c r="A117" s="320"/>
      <c r="B117" s="321"/>
      <c r="C117" s="322"/>
      <c r="D117" s="26"/>
      <c r="E117" s="26"/>
      <c r="F117" s="971"/>
      <c r="G117" s="323"/>
      <c r="H117" s="1002"/>
      <c r="I117" s="324" t="s">
        <v>14</v>
      </c>
      <c r="J117" s="842">
        <f t="shared" ref="J117" si="2">SUM(J116:J116)</f>
        <v>2.7</v>
      </c>
      <c r="K117" s="1004"/>
      <c r="L117" s="791"/>
    </row>
    <row r="118" spans="1:12" ht="16.149999999999999" customHeight="1" x14ac:dyDescent="0.2">
      <c r="A118" s="312" t="s">
        <v>12</v>
      </c>
      <c r="B118" s="313" t="s">
        <v>12</v>
      </c>
      <c r="C118" s="284" t="s">
        <v>68</v>
      </c>
      <c r="D118" s="24"/>
      <c r="E118" s="24"/>
      <c r="F118" s="981" t="s">
        <v>96</v>
      </c>
      <c r="G118" s="327"/>
      <c r="H118" s="1039" t="s">
        <v>169</v>
      </c>
      <c r="I118" s="328" t="s">
        <v>13</v>
      </c>
      <c r="J118" s="838">
        <v>11.7</v>
      </c>
      <c r="K118" s="733" t="s">
        <v>79</v>
      </c>
      <c r="L118" s="790">
        <v>92</v>
      </c>
    </row>
    <row r="119" spans="1:12" ht="16.149999999999999" customHeight="1" thickBot="1" x14ac:dyDescent="0.25">
      <c r="A119" s="320"/>
      <c r="B119" s="321"/>
      <c r="C119" s="322"/>
      <c r="D119" s="26"/>
      <c r="E119" s="26"/>
      <c r="F119" s="971"/>
      <c r="G119" s="329"/>
      <c r="H119" s="1040"/>
      <c r="I119" s="324" t="s">
        <v>14</v>
      </c>
      <c r="J119" s="842">
        <f t="shared" ref="J119" si="3">SUM(J118)</f>
        <v>11.7</v>
      </c>
      <c r="K119" s="734"/>
      <c r="L119" s="791"/>
    </row>
    <row r="120" spans="1:12" ht="13.5" customHeight="1" thickBot="1" x14ac:dyDescent="0.25">
      <c r="A120" s="330" t="s">
        <v>12</v>
      </c>
      <c r="B120" s="331" t="s">
        <v>12</v>
      </c>
      <c r="C120" s="1029" t="s">
        <v>18</v>
      </c>
      <c r="D120" s="1030"/>
      <c r="E120" s="1030"/>
      <c r="F120" s="1030"/>
      <c r="G120" s="1030"/>
      <c r="H120" s="1030"/>
      <c r="I120" s="1030"/>
      <c r="J120" s="845">
        <f>J103+J111+J115+J117+J119+J113</f>
        <v>105895.00300000001</v>
      </c>
      <c r="K120" s="771"/>
      <c r="L120" s="772"/>
    </row>
    <row r="121" spans="1:12" ht="15.75" customHeight="1" thickBot="1" x14ac:dyDescent="0.25">
      <c r="A121" s="330" t="s">
        <v>12</v>
      </c>
      <c r="B121" s="1031" t="s">
        <v>5</v>
      </c>
      <c r="C121" s="1032"/>
      <c r="D121" s="1032"/>
      <c r="E121" s="1032"/>
      <c r="F121" s="1032"/>
      <c r="G121" s="1032"/>
      <c r="H121" s="1032"/>
      <c r="I121" s="1032"/>
      <c r="J121" s="846">
        <f t="shared" ref="J121" si="4">J120</f>
        <v>105895.00300000001</v>
      </c>
      <c r="K121" s="338"/>
      <c r="L121" s="339"/>
    </row>
    <row r="122" spans="1:12" ht="15.75" customHeight="1" thickBot="1" x14ac:dyDescent="0.25">
      <c r="A122" s="312" t="s">
        <v>15</v>
      </c>
      <c r="B122" s="1033" t="s">
        <v>31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5"/>
    </row>
    <row r="123" spans="1:12" ht="15.75" customHeight="1" thickBot="1" x14ac:dyDescent="0.25">
      <c r="A123" s="330" t="s">
        <v>15</v>
      </c>
      <c r="B123" s="340" t="s">
        <v>12</v>
      </c>
      <c r="C123" s="1036" t="s">
        <v>27</v>
      </c>
      <c r="D123" s="1037"/>
      <c r="E123" s="1037"/>
      <c r="F123" s="1037"/>
      <c r="G123" s="1037"/>
      <c r="H123" s="1037"/>
      <c r="I123" s="1037"/>
      <c r="J123" s="1037"/>
      <c r="K123" s="1037"/>
      <c r="L123" s="1038"/>
    </row>
    <row r="124" spans="1:12" s="341" customFormat="1" ht="18" customHeight="1" x14ac:dyDescent="0.2">
      <c r="A124" s="1072" t="s">
        <v>15</v>
      </c>
      <c r="B124" s="1024" t="s">
        <v>12</v>
      </c>
      <c r="C124" s="1122" t="s">
        <v>12</v>
      </c>
      <c r="D124" s="27"/>
      <c r="E124" s="27"/>
      <c r="F124" s="981" t="s">
        <v>123</v>
      </c>
      <c r="G124" s="1016" t="s">
        <v>163</v>
      </c>
      <c r="H124" s="738" t="s">
        <v>168</v>
      </c>
      <c r="I124" s="6" t="s">
        <v>70</v>
      </c>
      <c r="J124" s="839">
        <v>220.9</v>
      </c>
      <c r="K124" s="93" t="s">
        <v>234</v>
      </c>
      <c r="L124" s="790">
        <v>6</v>
      </c>
    </row>
    <row r="125" spans="1:12" s="341" customFormat="1" ht="15.6" customHeight="1" x14ac:dyDescent="0.2">
      <c r="A125" s="1073"/>
      <c r="B125" s="1025"/>
      <c r="C125" s="1123"/>
      <c r="D125" s="43"/>
      <c r="E125" s="43"/>
      <c r="F125" s="968"/>
      <c r="G125" s="1017"/>
      <c r="H125" s="979" t="s">
        <v>181</v>
      </c>
      <c r="I125" s="8" t="s">
        <v>13</v>
      </c>
      <c r="J125" s="795">
        <f>50.8-35.7</f>
        <v>15.099999999999994</v>
      </c>
      <c r="K125" s="997"/>
      <c r="L125" s="569"/>
    </row>
    <row r="126" spans="1:12" s="341" customFormat="1" ht="15.6" customHeight="1" x14ac:dyDescent="0.2">
      <c r="A126" s="1073"/>
      <c r="B126" s="1025"/>
      <c r="C126" s="1123"/>
      <c r="D126" s="43"/>
      <c r="E126" s="43"/>
      <c r="F126" s="968"/>
      <c r="G126" s="1017"/>
      <c r="H126" s="975"/>
      <c r="I126" s="847" t="s">
        <v>70</v>
      </c>
      <c r="J126" s="795">
        <v>20.9</v>
      </c>
      <c r="K126" s="997"/>
      <c r="L126" s="569"/>
    </row>
    <row r="127" spans="1:12" s="341" customFormat="1" ht="14.65" customHeight="1" thickBot="1" x14ac:dyDescent="0.25">
      <c r="A127" s="1074"/>
      <c r="B127" s="1026"/>
      <c r="C127" s="1124"/>
      <c r="D127" s="28"/>
      <c r="E127" s="28"/>
      <c r="F127" s="971"/>
      <c r="G127" s="1018"/>
      <c r="H127" s="739"/>
      <c r="I127" s="9" t="s">
        <v>14</v>
      </c>
      <c r="J127" s="842">
        <f>SUM(J124:J126)</f>
        <v>256.89999999999998</v>
      </c>
      <c r="K127" s="766"/>
      <c r="L127" s="791"/>
    </row>
    <row r="128" spans="1:12" ht="31.5" customHeight="1" x14ac:dyDescent="0.2">
      <c r="A128" s="312" t="s">
        <v>15</v>
      </c>
      <c r="B128" s="313" t="s">
        <v>12</v>
      </c>
      <c r="C128" s="284" t="s">
        <v>15</v>
      </c>
      <c r="D128" s="29"/>
      <c r="E128" s="29"/>
      <c r="F128" s="54" t="s">
        <v>170</v>
      </c>
      <c r="G128" s="225"/>
      <c r="H128" s="980"/>
      <c r="I128" s="14"/>
      <c r="J128" s="839"/>
      <c r="K128" s="6"/>
      <c r="L128" s="790"/>
    </row>
    <row r="129" spans="1:12" s="82" customFormat="1" ht="43.5" customHeight="1" x14ac:dyDescent="0.2">
      <c r="A129" s="342"/>
      <c r="B129" s="343"/>
      <c r="C129" s="344"/>
      <c r="D129" s="86" t="s">
        <v>12</v>
      </c>
      <c r="E129" s="83"/>
      <c r="F129" s="84" t="s">
        <v>102</v>
      </c>
      <c r="G129" s="345"/>
      <c r="H129" s="975"/>
      <c r="I129" s="99"/>
      <c r="J129" s="848"/>
      <c r="K129" s="462"/>
      <c r="L129" s="801"/>
    </row>
    <row r="130" spans="1:12" ht="14.25" customHeight="1" x14ac:dyDescent="0.2">
      <c r="A130" s="295"/>
      <c r="B130" s="286"/>
      <c r="C130" s="294"/>
      <c r="D130" s="762"/>
      <c r="E130" s="761" t="s">
        <v>12</v>
      </c>
      <c r="F130" s="967" t="s">
        <v>242</v>
      </c>
      <c r="G130" s="763" t="s">
        <v>163</v>
      </c>
      <c r="H130" s="740" t="s">
        <v>168</v>
      </c>
      <c r="I130" s="459" t="s">
        <v>70</v>
      </c>
      <c r="J130" s="849">
        <v>37</v>
      </c>
      <c r="K130" s="1011" t="s">
        <v>42</v>
      </c>
      <c r="L130" s="802">
        <v>1</v>
      </c>
    </row>
    <row r="131" spans="1:12" ht="14.65" customHeight="1" x14ac:dyDescent="0.2">
      <c r="A131" s="295"/>
      <c r="B131" s="286"/>
      <c r="C131" s="294"/>
      <c r="D131" s="762"/>
      <c r="E131" s="762"/>
      <c r="F131" s="968"/>
      <c r="G131" s="764" t="s">
        <v>2</v>
      </c>
      <c r="H131" s="737"/>
      <c r="I131" s="459" t="s">
        <v>13</v>
      </c>
      <c r="J131" s="850">
        <v>118.5</v>
      </c>
      <c r="K131" s="1081"/>
      <c r="L131" s="803"/>
    </row>
    <row r="132" spans="1:12" ht="31.15" customHeight="1" x14ac:dyDescent="0.2">
      <c r="A132" s="295"/>
      <c r="B132" s="286"/>
      <c r="C132" s="294"/>
      <c r="D132" s="762"/>
      <c r="E132" s="762"/>
      <c r="F132" s="968"/>
      <c r="G132" s="764"/>
      <c r="H132" s="737"/>
      <c r="I132" s="20" t="s">
        <v>16</v>
      </c>
      <c r="J132" s="916">
        <v>210</v>
      </c>
      <c r="K132" s="751" t="s">
        <v>205</v>
      </c>
      <c r="L132" s="804">
        <v>20</v>
      </c>
    </row>
    <row r="133" spans="1:12" ht="16.899999999999999" customHeight="1" x14ac:dyDescent="0.2">
      <c r="A133" s="295"/>
      <c r="B133" s="286"/>
      <c r="C133" s="294"/>
      <c r="D133" s="762"/>
      <c r="E133" s="761" t="s">
        <v>15</v>
      </c>
      <c r="F133" s="967" t="s">
        <v>243</v>
      </c>
      <c r="G133" s="238" t="s">
        <v>163</v>
      </c>
      <c r="H133" s="979" t="s">
        <v>191</v>
      </c>
      <c r="I133" s="239" t="s">
        <v>266</v>
      </c>
      <c r="J133" s="850">
        <f>3126.5+2000+145.7+125.8-1000+1089.9-36.8+1121.3+18-3933.9-254-1550+242.8+151.2</f>
        <v>1246.4999999999995</v>
      </c>
      <c r="K133" s="240" t="s">
        <v>45</v>
      </c>
      <c r="L133" s="804">
        <v>45</v>
      </c>
    </row>
    <row r="134" spans="1:12" ht="16.899999999999999" customHeight="1" x14ac:dyDescent="0.2">
      <c r="A134" s="295"/>
      <c r="B134" s="286"/>
      <c r="C134" s="294"/>
      <c r="D134" s="762"/>
      <c r="E134" s="762"/>
      <c r="F134" s="968"/>
      <c r="G134" s="741" t="s">
        <v>2</v>
      </c>
      <c r="H134" s="975"/>
      <c r="I134" s="239" t="s">
        <v>70</v>
      </c>
      <c r="J134" s="850">
        <f>2822.3-949.5-242.8</f>
        <v>1630.0000000000002</v>
      </c>
      <c r="K134" s="110"/>
      <c r="L134" s="805"/>
    </row>
    <row r="135" spans="1:12" ht="16.899999999999999" customHeight="1" x14ac:dyDescent="0.2">
      <c r="A135" s="295"/>
      <c r="B135" s="286"/>
      <c r="C135" s="294"/>
      <c r="D135" s="762"/>
      <c r="E135" s="762"/>
      <c r="F135" s="968"/>
      <c r="G135" s="242"/>
      <c r="H135" s="975"/>
      <c r="I135" s="594" t="s">
        <v>231</v>
      </c>
      <c r="J135" s="917">
        <f>1778.7</f>
        <v>1778.7</v>
      </c>
      <c r="K135" s="110"/>
      <c r="L135" s="805"/>
    </row>
    <row r="136" spans="1:12" ht="16.899999999999999" customHeight="1" x14ac:dyDescent="0.2">
      <c r="A136" s="295"/>
      <c r="B136" s="286"/>
      <c r="C136" s="294"/>
      <c r="D136" s="762"/>
      <c r="E136" s="762"/>
      <c r="F136" s="735"/>
      <c r="G136" s="246"/>
      <c r="H136" s="976"/>
      <c r="I136" s="711" t="s">
        <v>13</v>
      </c>
      <c r="J136" s="851">
        <f>1550-188</f>
        <v>1362</v>
      </c>
      <c r="K136" s="110"/>
      <c r="L136" s="805"/>
    </row>
    <row r="137" spans="1:12" ht="15" customHeight="1" x14ac:dyDescent="0.2">
      <c r="A137" s="295"/>
      <c r="B137" s="286"/>
      <c r="C137" s="294"/>
      <c r="D137" s="762"/>
      <c r="E137" s="761" t="s">
        <v>17</v>
      </c>
      <c r="F137" s="992" t="s">
        <v>104</v>
      </c>
      <c r="G137" s="744" t="s">
        <v>2</v>
      </c>
      <c r="H137" s="979" t="s">
        <v>180</v>
      </c>
      <c r="I137" s="2" t="s">
        <v>13</v>
      </c>
      <c r="J137" s="829">
        <f>205.5+9.8</f>
        <v>215.3</v>
      </c>
      <c r="K137" s="956" t="s">
        <v>90</v>
      </c>
      <c r="L137" s="794">
        <v>100</v>
      </c>
    </row>
    <row r="138" spans="1:12" ht="15" customHeight="1" x14ac:dyDescent="0.2">
      <c r="A138" s="295"/>
      <c r="B138" s="286"/>
      <c r="C138" s="294"/>
      <c r="D138" s="762"/>
      <c r="E138" s="762"/>
      <c r="F138" s="993"/>
      <c r="G138" s="744"/>
      <c r="H138" s="975"/>
      <c r="I138" s="2" t="s">
        <v>70</v>
      </c>
      <c r="J138" s="832">
        <v>325.7</v>
      </c>
      <c r="K138" s="957"/>
      <c r="L138" s="806"/>
    </row>
    <row r="139" spans="1:12" ht="15" customHeight="1" x14ac:dyDescent="0.2">
      <c r="A139" s="295"/>
      <c r="B139" s="286"/>
      <c r="C139" s="294"/>
      <c r="D139" s="762"/>
      <c r="E139" s="762"/>
      <c r="F139" s="993"/>
      <c r="G139" s="744"/>
      <c r="H139" s="975"/>
      <c r="I139" s="16" t="s">
        <v>70</v>
      </c>
      <c r="J139" s="832">
        <v>180</v>
      </c>
      <c r="K139" s="958"/>
      <c r="L139" s="807"/>
    </row>
    <row r="140" spans="1:12" ht="28.15" customHeight="1" x14ac:dyDescent="0.2">
      <c r="A140" s="295"/>
      <c r="B140" s="286"/>
      <c r="C140" s="287"/>
      <c r="D140" s="203"/>
      <c r="E140" s="204" t="s">
        <v>19</v>
      </c>
      <c r="F140" s="967" t="s">
        <v>340</v>
      </c>
      <c r="G140" s="455" t="s">
        <v>2</v>
      </c>
      <c r="H140" s="979" t="s">
        <v>180</v>
      </c>
      <c r="I140" s="2" t="s">
        <v>13</v>
      </c>
      <c r="J140" s="832">
        <f>515.2-200+32.6</f>
        <v>347.80000000000007</v>
      </c>
      <c r="K140" s="105" t="s">
        <v>112</v>
      </c>
      <c r="L140" s="196">
        <f>2-1</f>
        <v>1</v>
      </c>
    </row>
    <row r="141" spans="1:12" ht="20.45" customHeight="1" x14ac:dyDescent="0.2">
      <c r="A141" s="295"/>
      <c r="B141" s="286"/>
      <c r="C141" s="287"/>
      <c r="D141" s="203"/>
      <c r="E141" s="203"/>
      <c r="F141" s="968"/>
      <c r="G141" s="219"/>
      <c r="H141" s="975"/>
      <c r="I141" s="109" t="s">
        <v>70</v>
      </c>
      <c r="J141" s="830">
        <v>150</v>
      </c>
      <c r="K141" s="12" t="s">
        <v>223</v>
      </c>
      <c r="L141" s="213">
        <v>1</v>
      </c>
    </row>
    <row r="142" spans="1:12" ht="20.45" customHeight="1" x14ac:dyDescent="0.2">
      <c r="A142" s="295"/>
      <c r="B142" s="286"/>
      <c r="C142" s="287"/>
      <c r="D142" s="203"/>
      <c r="E142" s="203"/>
      <c r="F142" s="968"/>
      <c r="G142" s="219"/>
      <c r="H142" s="878"/>
      <c r="I142" s="109" t="s">
        <v>16</v>
      </c>
      <c r="J142" s="830">
        <v>232</v>
      </c>
      <c r="K142" s="95"/>
      <c r="L142" s="569"/>
    </row>
    <row r="143" spans="1:12" ht="24.75" customHeight="1" x14ac:dyDescent="0.2">
      <c r="A143" s="295"/>
      <c r="B143" s="286"/>
      <c r="C143" s="287"/>
      <c r="D143" s="203"/>
      <c r="E143" s="203"/>
      <c r="F143" s="969"/>
      <c r="G143" s="219"/>
      <c r="H143" s="68"/>
      <c r="I143" s="8" t="s">
        <v>266</v>
      </c>
      <c r="J143" s="829">
        <v>36.799999999999997</v>
      </c>
      <c r="K143" s="460"/>
      <c r="L143" s="796"/>
    </row>
    <row r="144" spans="1:12" ht="16.149999999999999" customHeight="1" x14ac:dyDescent="0.2">
      <c r="A144" s="295"/>
      <c r="B144" s="286"/>
      <c r="C144" s="294"/>
      <c r="D144" s="762"/>
      <c r="E144" s="761" t="s">
        <v>20</v>
      </c>
      <c r="F144" s="967" t="s">
        <v>178</v>
      </c>
      <c r="G144" s="455" t="s">
        <v>163</v>
      </c>
      <c r="H144" s="979" t="s">
        <v>168</v>
      </c>
      <c r="I144" s="90" t="s">
        <v>70</v>
      </c>
      <c r="J144" s="852">
        <f>21-3+33.5</f>
        <v>51.5</v>
      </c>
      <c r="K144" s="1011" t="s">
        <v>103</v>
      </c>
      <c r="L144" s="808">
        <v>7</v>
      </c>
    </row>
    <row r="145" spans="1:12" ht="16.149999999999999" customHeight="1" x14ac:dyDescent="0.2">
      <c r="A145" s="295"/>
      <c r="B145" s="286"/>
      <c r="C145" s="294"/>
      <c r="D145" s="762"/>
      <c r="E145" s="762"/>
      <c r="F145" s="968"/>
      <c r="G145" s="741" t="s">
        <v>2</v>
      </c>
      <c r="H145" s="975"/>
      <c r="I145" s="91" t="s">
        <v>72</v>
      </c>
      <c r="J145" s="852">
        <f>210.4+14.8-10.7</f>
        <v>214.50000000000003</v>
      </c>
      <c r="K145" s="1012"/>
      <c r="L145" s="569"/>
    </row>
    <row r="146" spans="1:12" ht="16.149999999999999" customHeight="1" x14ac:dyDescent="0.2">
      <c r="A146" s="295"/>
      <c r="B146" s="286"/>
      <c r="C146" s="294"/>
      <c r="D146" s="762"/>
      <c r="E146" s="762"/>
      <c r="F146" s="968"/>
      <c r="G146" s="741"/>
      <c r="H146" s="975"/>
      <c r="I146" s="90" t="s">
        <v>148</v>
      </c>
      <c r="J146" s="852">
        <v>10.7</v>
      </c>
      <c r="K146" s="1012"/>
      <c r="L146" s="808"/>
    </row>
    <row r="147" spans="1:12" ht="16.149999999999999" customHeight="1" x14ac:dyDescent="0.2">
      <c r="A147" s="295"/>
      <c r="B147" s="286"/>
      <c r="C147" s="294"/>
      <c r="D147" s="762"/>
      <c r="E147" s="762"/>
      <c r="F147" s="968"/>
      <c r="G147" s="741"/>
      <c r="H147" s="737"/>
      <c r="I147" s="91" t="s">
        <v>16</v>
      </c>
      <c r="J147" s="853">
        <f>18.6+1.3-1</f>
        <v>18.900000000000002</v>
      </c>
      <c r="K147" s="1012"/>
      <c r="L147" s="569"/>
    </row>
    <row r="148" spans="1:12" ht="16.149999999999999" customHeight="1" x14ac:dyDescent="0.2">
      <c r="A148" s="295"/>
      <c r="B148" s="286"/>
      <c r="C148" s="294"/>
      <c r="D148" s="762"/>
      <c r="E148" s="703"/>
      <c r="F148" s="969"/>
      <c r="G148" s="741"/>
      <c r="H148" s="879"/>
      <c r="I148" s="235" t="s">
        <v>149</v>
      </c>
      <c r="J148" s="849">
        <v>1</v>
      </c>
      <c r="K148" s="885"/>
      <c r="L148" s="796"/>
    </row>
    <row r="149" spans="1:12" ht="26.25" customHeight="1" x14ac:dyDescent="0.2">
      <c r="A149" s="295"/>
      <c r="B149" s="286"/>
      <c r="C149" s="294"/>
      <c r="D149" s="907"/>
      <c r="E149" s="959" t="s">
        <v>68</v>
      </c>
      <c r="F149" s="961" t="s">
        <v>341</v>
      </c>
      <c r="G149" s="901"/>
      <c r="H149" s="979" t="s">
        <v>180</v>
      </c>
      <c r="I149" s="963" t="s">
        <v>13</v>
      </c>
      <c r="J149" s="965">
        <v>80</v>
      </c>
      <c r="K149" s="918" t="s">
        <v>290</v>
      </c>
      <c r="L149" s="196"/>
    </row>
    <row r="150" spans="1:12" ht="29.25" customHeight="1" x14ac:dyDescent="0.2">
      <c r="A150" s="295"/>
      <c r="B150" s="286"/>
      <c r="C150" s="294"/>
      <c r="D150" s="907"/>
      <c r="E150" s="960"/>
      <c r="F150" s="962"/>
      <c r="G150" s="901"/>
      <c r="H150" s="976"/>
      <c r="I150" s="964"/>
      <c r="J150" s="966"/>
      <c r="K150" s="899" t="s">
        <v>200</v>
      </c>
      <c r="L150" s="196"/>
    </row>
    <row r="151" spans="1:12" ht="16.149999999999999" customHeight="1" x14ac:dyDescent="0.2">
      <c r="A151" s="295"/>
      <c r="B151" s="286"/>
      <c r="C151" s="294"/>
      <c r="D151" s="883"/>
      <c r="E151" s="906" t="s">
        <v>69</v>
      </c>
      <c r="F151" s="967" t="s">
        <v>313</v>
      </c>
      <c r="G151" s="882"/>
      <c r="H151" s="894" t="s">
        <v>169</v>
      </c>
      <c r="I151" s="89" t="s">
        <v>70</v>
      </c>
      <c r="J151" s="849">
        <v>620</v>
      </c>
      <c r="K151" s="972" t="s">
        <v>314</v>
      </c>
      <c r="L151" s="569">
        <v>316</v>
      </c>
    </row>
    <row r="152" spans="1:12" ht="16.149999999999999" customHeight="1" x14ac:dyDescent="0.2">
      <c r="A152" s="295"/>
      <c r="B152" s="286"/>
      <c r="C152" s="294"/>
      <c r="D152" s="889"/>
      <c r="E152" s="974"/>
      <c r="F152" s="968"/>
      <c r="G152" s="888"/>
      <c r="H152" s="975"/>
      <c r="I152" s="89" t="s">
        <v>266</v>
      </c>
      <c r="J152" s="849">
        <v>1550</v>
      </c>
      <c r="K152" s="977"/>
      <c r="L152" s="944"/>
    </row>
    <row r="153" spans="1:12" ht="16.149999999999999" customHeight="1" x14ac:dyDescent="0.2">
      <c r="A153" s="295"/>
      <c r="B153" s="286"/>
      <c r="C153" s="294"/>
      <c r="D153" s="907"/>
      <c r="E153" s="960"/>
      <c r="F153" s="969"/>
      <c r="G153" s="901"/>
      <c r="H153" s="976"/>
      <c r="I153" s="89" t="s">
        <v>13</v>
      </c>
      <c r="J153" s="849">
        <v>42</v>
      </c>
      <c r="K153" s="978"/>
      <c r="L153" s="945"/>
    </row>
    <row r="154" spans="1:12" ht="16.149999999999999" customHeight="1" x14ac:dyDescent="0.2">
      <c r="A154" s="295"/>
      <c r="B154" s="286"/>
      <c r="C154" s="294"/>
      <c r="D154" s="907"/>
      <c r="E154" s="959" t="s">
        <v>126</v>
      </c>
      <c r="F154" s="967" t="s">
        <v>322</v>
      </c>
      <c r="G154" s="901"/>
      <c r="H154" s="894" t="s">
        <v>169</v>
      </c>
      <c r="I154" s="89" t="s">
        <v>13</v>
      </c>
      <c r="J154" s="849">
        <v>82.3</v>
      </c>
      <c r="K154" s="972" t="s">
        <v>323</v>
      </c>
      <c r="L154" s="569">
        <v>2</v>
      </c>
    </row>
    <row r="155" spans="1:12" ht="14.25" customHeight="1" thickBot="1" x14ac:dyDescent="0.25">
      <c r="A155" s="320"/>
      <c r="B155" s="321"/>
      <c r="C155" s="347"/>
      <c r="D155" s="32"/>
      <c r="E155" s="970"/>
      <c r="F155" s="971"/>
      <c r="G155" s="249"/>
      <c r="H155" s="919"/>
      <c r="I155" s="746" t="s">
        <v>14</v>
      </c>
      <c r="J155" s="842">
        <f>SUM(J130:J154)</f>
        <v>10541.199999999999</v>
      </c>
      <c r="K155" s="973"/>
      <c r="L155" s="809"/>
    </row>
    <row r="156" spans="1:12" ht="14.65" customHeight="1" x14ac:dyDescent="0.2">
      <c r="A156" s="295"/>
      <c r="B156" s="286"/>
      <c r="C156" s="294"/>
      <c r="D156" s="202" t="s">
        <v>15</v>
      </c>
      <c r="E156" s="81"/>
      <c r="F156" s="1010" t="s">
        <v>105</v>
      </c>
      <c r="G156" s="744"/>
      <c r="H156" s="980"/>
      <c r="I156" s="87"/>
      <c r="J156" s="854"/>
      <c r="K156" s="111"/>
      <c r="L156" s="810"/>
    </row>
    <row r="157" spans="1:12" ht="14.65" customHeight="1" x14ac:dyDescent="0.2">
      <c r="A157" s="295"/>
      <c r="B157" s="286"/>
      <c r="C157" s="294"/>
      <c r="D157" s="81"/>
      <c r="E157" s="81"/>
      <c r="F157" s="1010"/>
      <c r="G157" s="744"/>
      <c r="H157" s="975"/>
      <c r="I157" s="100"/>
      <c r="J157" s="832"/>
      <c r="K157" s="111"/>
      <c r="L157" s="810"/>
    </row>
    <row r="158" spans="1:12" ht="17.45" customHeight="1" x14ac:dyDescent="0.2">
      <c r="A158" s="295"/>
      <c r="B158" s="286"/>
      <c r="C158" s="294"/>
      <c r="D158" s="762"/>
      <c r="E158" s="906" t="s">
        <v>12</v>
      </c>
      <c r="F158" s="967" t="s">
        <v>142</v>
      </c>
      <c r="G158" s="920" t="s">
        <v>163</v>
      </c>
      <c r="H158" s="979" t="s">
        <v>168</v>
      </c>
      <c r="I158" s="90" t="s">
        <v>13</v>
      </c>
      <c r="J158" s="850">
        <f>396.2-396.2+356+140+40+7.4+152.9+551+220.9-800-300-319.6</f>
        <v>48.600000000000023</v>
      </c>
      <c r="K158" s="704" t="s">
        <v>78</v>
      </c>
      <c r="L158" s="811">
        <v>10</v>
      </c>
    </row>
    <row r="159" spans="1:12" ht="14.65" customHeight="1" x14ac:dyDescent="0.2">
      <c r="A159" s="295"/>
      <c r="B159" s="286"/>
      <c r="C159" s="294"/>
      <c r="D159" s="762"/>
      <c r="E159" s="907"/>
      <c r="F159" s="968"/>
      <c r="G159" s="248"/>
      <c r="H159" s="975"/>
      <c r="I159" s="90" t="s">
        <v>266</v>
      </c>
      <c r="J159" s="850">
        <f>300-242.8</f>
        <v>57.199999999999989</v>
      </c>
      <c r="K159" s="705"/>
      <c r="L159" s="812"/>
    </row>
    <row r="160" spans="1:12" ht="14.65" customHeight="1" x14ac:dyDescent="0.2">
      <c r="A160" s="295"/>
      <c r="B160" s="286"/>
      <c r="C160" s="294"/>
      <c r="D160" s="762"/>
      <c r="E160" s="907"/>
      <c r="F160" s="968"/>
      <c r="G160" s="248" t="s">
        <v>265</v>
      </c>
      <c r="H160" s="975"/>
      <c r="I160" s="91" t="s">
        <v>70</v>
      </c>
      <c r="J160" s="855">
        <f>86.4-49+242.8</f>
        <v>280.20000000000005</v>
      </c>
      <c r="K160" s="705"/>
      <c r="L160" s="812"/>
    </row>
    <row r="161" spans="1:17" ht="16.149999999999999" customHeight="1" x14ac:dyDescent="0.2">
      <c r="A161" s="295"/>
      <c r="B161" s="286"/>
      <c r="C161" s="294"/>
      <c r="D161" s="762"/>
      <c r="E161" s="703"/>
      <c r="F161" s="969"/>
      <c r="G161" s="897" t="s">
        <v>2</v>
      </c>
      <c r="H161" s="975"/>
      <c r="I161" s="89" t="s">
        <v>72</v>
      </c>
      <c r="J161" s="850">
        <f>263.7+255.8+95.9-378-158.4</f>
        <v>78.999999999999972</v>
      </c>
      <c r="K161" s="705"/>
      <c r="L161" s="812"/>
    </row>
    <row r="162" spans="1:17" ht="26.25" customHeight="1" x14ac:dyDescent="0.2">
      <c r="A162" s="295"/>
      <c r="B162" s="286"/>
      <c r="C162" s="294"/>
      <c r="D162" s="907"/>
      <c r="E162" s="34" t="s">
        <v>15</v>
      </c>
      <c r="F162" s="96" t="s">
        <v>201</v>
      </c>
      <c r="G162" s="901" t="s">
        <v>324</v>
      </c>
      <c r="H162" s="900"/>
      <c r="I162" s="89"/>
      <c r="J162" s="850"/>
      <c r="K162" s="921"/>
      <c r="L162" s="922"/>
    </row>
    <row r="163" spans="1:17" ht="26.25" customHeight="1" x14ac:dyDescent="0.2">
      <c r="A163" s="295"/>
      <c r="B163" s="286"/>
      <c r="C163" s="294"/>
      <c r="D163" s="907"/>
      <c r="E163" s="907"/>
      <c r="F163" s="967" t="s">
        <v>342</v>
      </c>
      <c r="G163" s="901"/>
      <c r="H163" s="979" t="s">
        <v>325</v>
      </c>
      <c r="I163" s="89" t="s">
        <v>13</v>
      </c>
      <c r="J163" s="850">
        <v>250</v>
      </c>
      <c r="K163" s="987" t="s">
        <v>203</v>
      </c>
      <c r="L163" s="812"/>
    </row>
    <row r="164" spans="1:17" ht="14.25" customHeight="1" x14ac:dyDescent="0.2">
      <c r="A164" s="295"/>
      <c r="B164" s="286"/>
      <c r="C164" s="294"/>
      <c r="D164" s="762"/>
      <c r="E164" s="703"/>
      <c r="F164" s="969"/>
      <c r="G164" s="744"/>
      <c r="H164" s="976"/>
      <c r="I164" s="94" t="s">
        <v>175</v>
      </c>
      <c r="J164" s="856">
        <f>SUM(J158:J163)</f>
        <v>715</v>
      </c>
      <c r="K164" s="988"/>
      <c r="L164" s="805"/>
    </row>
    <row r="165" spans="1:17" ht="15" customHeight="1" x14ac:dyDescent="0.2">
      <c r="A165" s="295"/>
      <c r="B165" s="286"/>
      <c r="C165" s="294"/>
      <c r="D165" s="86" t="s">
        <v>17</v>
      </c>
      <c r="E165" s="85"/>
      <c r="F165" s="1120" t="s">
        <v>106</v>
      </c>
      <c r="G165" s="743"/>
      <c r="H165" s="979" t="s">
        <v>171</v>
      </c>
      <c r="I165" s="2"/>
      <c r="J165" s="855"/>
      <c r="K165" s="759"/>
      <c r="L165" s="813"/>
    </row>
    <row r="166" spans="1:17" ht="15" customHeight="1" x14ac:dyDescent="0.2">
      <c r="A166" s="295"/>
      <c r="B166" s="286"/>
      <c r="C166" s="294"/>
      <c r="D166" s="81"/>
      <c r="E166" s="81"/>
      <c r="F166" s="1121"/>
      <c r="G166" s="744"/>
      <c r="H166" s="976"/>
      <c r="I166" s="87"/>
      <c r="J166" s="855"/>
      <c r="K166" s="745"/>
      <c r="L166" s="810"/>
      <c r="M166" s="997"/>
      <c r="N166" s="955"/>
      <c r="O166" s="955"/>
      <c r="P166" s="955"/>
      <c r="Q166" s="955"/>
    </row>
    <row r="167" spans="1:17" ht="27.75" customHeight="1" x14ac:dyDescent="0.2">
      <c r="A167" s="295"/>
      <c r="B167" s="286"/>
      <c r="C167" s="294"/>
      <c r="D167" s="762"/>
      <c r="E167" s="761" t="s">
        <v>12</v>
      </c>
      <c r="F167" s="967" t="s">
        <v>107</v>
      </c>
      <c r="G167" s="743" t="s">
        <v>163</v>
      </c>
      <c r="H167" s="979" t="s">
        <v>171</v>
      </c>
      <c r="I167" s="352" t="s">
        <v>70</v>
      </c>
      <c r="J167" s="850">
        <f>113.7+35</f>
        <v>148.69999999999999</v>
      </c>
      <c r="K167" s="353" t="s">
        <v>66</v>
      </c>
      <c r="L167" s="814">
        <v>100</v>
      </c>
      <c r="M167" s="997"/>
      <c r="N167" s="955"/>
      <c r="O167" s="955"/>
      <c r="P167" s="955"/>
      <c r="Q167" s="955"/>
    </row>
    <row r="168" spans="1:17" ht="14.45" customHeight="1" x14ac:dyDescent="0.2">
      <c r="A168" s="295"/>
      <c r="B168" s="286"/>
      <c r="C168" s="293"/>
      <c r="D168" s="762"/>
      <c r="E168" s="762"/>
      <c r="F168" s="968"/>
      <c r="G168" s="744" t="s">
        <v>2</v>
      </c>
      <c r="H168" s="975"/>
      <c r="I168" s="352" t="s">
        <v>148</v>
      </c>
      <c r="J168" s="850">
        <v>118.6</v>
      </c>
      <c r="K168" s="353" t="s">
        <v>77</v>
      </c>
      <c r="L168" s="815">
        <v>100</v>
      </c>
    </row>
    <row r="169" spans="1:17" ht="14.45" customHeight="1" x14ac:dyDescent="0.2">
      <c r="A169" s="295"/>
      <c r="B169" s="286"/>
      <c r="C169" s="293"/>
      <c r="D169" s="762"/>
      <c r="E169" s="762"/>
      <c r="F169" s="968"/>
      <c r="G169" s="744"/>
      <c r="H169" s="975"/>
      <c r="I169" s="252" t="s">
        <v>72</v>
      </c>
      <c r="J169" s="849">
        <f>285.8-17.9-118.6</f>
        <v>149.30000000000004</v>
      </c>
      <c r="K169" s="112"/>
      <c r="L169" s="569"/>
    </row>
    <row r="170" spans="1:17" ht="14.45" customHeight="1" x14ac:dyDescent="0.2">
      <c r="A170" s="295"/>
      <c r="B170" s="286"/>
      <c r="C170" s="293"/>
      <c r="D170" s="708"/>
      <c r="E170" s="762"/>
      <c r="F170" s="769"/>
      <c r="G170" s="744"/>
      <c r="H170" s="737"/>
      <c r="I170" s="92" t="s">
        <v>14</v>
      </c>
      <c r="J170" s="857">
        <f>SUM(J167:J169)</f>
        <v>416.6</v>
      </c>
      <c r="K170" s="112"/>
      <c r="L170" s="808"/>
    </row>
    <row r="171" spans="1:17" ht="24.95" customHeight="1" x14ac:dyDescent="0.2">
      <c r="A171" s="295"/>
      <c r="B171" s="286"/>
      <c r="C171" s="293"/>
      <c r="D171" s="708"/>
      <c r="E171" s="761" t="s">
        <v>15</v>
      </c>
      <c r="F171" s="967" t="s">
        <v>296</v>
      </c>
      <c r="G171" s="743"/>
      <c r="H171" s="740" t="s">
        <v>297</v>
      </c>
      <c r="I171" s="719"/>
      <c r="J171" s="858"/>
      <c r="K171" s="774" t="s">
        <v>298</v>
      </c>
      <c r="L171" s="816">
        <v>1</v>
      </c>
    </row>
    <row r="172" spans="1:17" ht="13.5" customHeight="1" thickBot="1" x14ac:dyDescent="0.25">
      <c r="A172" s="320"/>
      <c r="B172" s="321"/>
      <c r="C172" s="322"/>
      <c r="D172" s="32"/>
      <c r="E172" s="32"/>
      <c r="F172" s="971"/>
      <c r="G172" s="989" t="s">
        <v>40</v>
      </c>
      <c r="H172" s="991"/>
      <c r="I172" s="991"/>
      <c r="J172" s="842">
        <f>+J170+J164+J155</f>
        <v>11672.8</v>
      </c>
      <c r="K172" s="448"/>
      <c r="L172" s="791"/>
    </row>
    <row r="173" spans="1:17" ht="29.25" customHeight="1" x14ac:dyDescent="0.2">
      <c r="A173" s="312" t="s">
        <v>15</v>
      </c>
      <c r="B173" s="313" t="s">
        <v>12</v>
      </c>
      <c r="C173" s="284" t="s">
        <v>17</v>
      </c>
      <c r="D173" s="29"/>
      <c r="E173" s="29"/>
      <c r="F173" s="732" t="s">
        <v>67</v>
      </c>
      <c r="G173" s="300"/>
      <c r="H173" s="895" t="s">
        <v>169</v>
      </c>
      <c r="I173" s="14"/>
      <c r="J173" s="854"/>
      <c r="K173" s="787"/>
      <c r="L173" s="817"/>
    </row>
    <row r="174" spans="1:17" ht="21" customHeight="1" x14ac:dyDescent="0.2">
      <c r="A174" s="295"/>
      <c r="B174" s="286"/>
      <c r="C174" s="287"/>
      <c r="D174" s="761" t="s">
        <v>12</v>
      </c>
      <c r="E174" s="761"/>
      <c r="F174" s="967" t="s">
        <v>143</v>
      </c>
      <c r="G174" s="723"/>
      <c r="H174" s="975"/>
      <c r="I174" s="925" t="s">
        <v>13</v>
      </c>
      <c r="J174" s="446">
        <f>104+24+10.8</f>
        <v>138.80000000000001</v>
      </c>
      <c r="K174" s="789" t="s">
        <v>79</v>
      </c>
      <c r="L174" s="818">
        <v>13</v>
      </c>
    </row>
    <row r="175" spans="1:17" ht="21" customHeight="1" x14ac:dyDescent="0.2">
      <c r="A175" s="295"/>
      <c r="B175" s="286"/>
      <c r="C175" s="287"/>
      <c r="D175" s="703"/>
      <c r="E175" s="703"/>
      <c r="F175" s="969"/>
      <c r="G175" s="723"/>
      <c r="H175" s="975"/>
      <c r="I175" s="3" t="s">
        <v>70</v>
      </c>
      <c r="J175" s="832">
        <v>10</v>
      </c>
      <c r="K175" s="460"/>
      <c r="L175" s="796"/>
    </row>
    <row r="176" spans="1:17" ht="27" customHeight="1" x14ac:dyDescent="0.2">
      <c r="A176" s="295"/>
      <c r="B176" s="286"/>
      <c r="C176" s="287"/>
      <c r="D176" s="907" t="s">
        <v>15</v>
      </c>
      <c r="E176" s="907"/>
      <c r="F176" s="890" t="s">
        <v>326</v>
      </c>
      <c r="G176" s="226"/>
      <c r="H176" s="975"/>
      <c r="I176" s="3" t="s">
        <v>13</v>
      </c>
      <c r="J176" s="829">
        <v>99.9</v>
      </c>
      <c r="K176" s="105" t="s">
        <v>79</v>
      </c>
      <c r="L176" s="196">
        <v>4</v>
      </c>
    </row>
    <row r="177" spans="1:12" ht="25.5" customHeight="1" x14ac:dyDescent="0.2">
      <c r="A177" s="295"/>
      <c r="B177" s="286"/>
      <c r="C177" s="346"/>
      <c r="D177" s="924" t="s">
        <v>17</v>
      </c>
      <c r="E177" s="924"/>
      <c r="F177" s="96" t="s">
        <v>144</v>
      </c>
      <c r="G177" s="226"/>
      <c r="H177" s="975"/>
      <c r="I177" s="3" t="s">
        <v>13</v>
      </c>
      <c r="J177" s="446">
        <f>127.5+8+5</f>
        <v>140.5</v>
      </c>
      <c r="K177" s="44" t="s">
        <v>79</v>
      </c>
      <c r="L177" s="441">
        <v>14</v>
      </c>
    </row>
    <row r="178" spans="1:12" ht="29.25" customHeight="1" x14ac:dyDescent="0.2">
      <c r="A178" s="295"/>
      <c r="B178" s="286"/>
      <c r="C178" s="923"/>
      <c r="D178" s="924" t="s">
        <v>19</v>
      </c>
      <c r="E178" s="924"/>
      <c r="F178" s="49" t="s">
        <v>206</v>
      </c>
      <c r="G178" s="226"/>
      <c r="H178" s="975"/>
      <c r="I178" s="16" t="s">
        <v>13</v>
      </c>
      <c r="J178" s="446">
        <v>20</v>
      </c>
      <c r="K178" s="44" t="s">
        <v>207</v>
      </c>
      <c r="L178" s="441">
        <v>1</v>
      </c>
    </row>
    <row r="179" spans="1:12" ht="39" customHeight="1" x14ac:dyDescent="0.2">
      <c r="A179" s="295"/>
      <c r="B179" s="286"/>
      <c r="C179" s="923"/>
      <c r="D179" s="1150" t="s">
        <v>20</v>
      </c>
      <c r="E179" s="1150"/>
      <c r="F179" s="967" t="s">
        <v>343</v>
      </c>
      <c r="G179" s="226"/>
      <c r="H179" s="976"/>
      <c r="I179" s="87" t="s">
        <v>13</v>
      </c>
      <c r="J179" s="837">
        <v>55.8</v>
      </c>
      <c r="K179" s="893" t="s">
        <v>208</v>
      </c>
      <c r="L179" s="351">
        <v>2</v>
      </c>
    </row>
    <row r="180" spans="1:12" ht="13.5" thickBot="1" x14ac:dyDescent="0.25">
      <c r="A180" s="295"/>
      <c r="B180" s="286"/>
      <c r="C180" s="293"/>
      <c r="D180" s="1151"/>
      <c r="E180" s="1151"/>
      <c r="F180" s="971"/>
      <c r="G180" s="989" t="s">
        <v>40</v>
      </c>
      <c r="H180" s="990"/>
      <c r="I180" s="991"/>
      <c r="J180" s="842">
        <f>SUM(J174:J179)</f>
        <v>465.00000000000006</v>
      </c>
      <c r="K180" s="788"/>
      <c r="L180" s="791"/>
    </row>
    <row r="181" spans="1:12" ht="15.75" customHeight="1" thickBot="1" x14ac:dyDescent="0.25">
      <c r="A181" s="330" t="s">
        <v>15</v>
      </c>
      <c r="B181" s="331" t="s">
        <v>12</v>
      </c>
      <c r="C181" s="1029" t="s">
        <v>18</v>
      </c>
      <c r="D181" s="1030"/>
      <c r="E181" s="1030"/>
      <c r="F181" s="1030"/>
      <c r="G181" s="1030"/>
      <c r="H181" s="1030"/>
      <c r="I181" s="1030"/>
      <c r="J181" s="845">
        <f>+J180+J172+J127</f>
        <v>12394.699999999999</v>
      </c>
      <c r="K181" s="358"/>
      <c r="L181" s="772"/>
    </row>
    <row r="182" spans="1:12" ht="17.25" customHeight="1" thickBot="1" x14ac:dyDescent="0.25">
      <c r="A182" s="295" t="s">
        <v>15</v>
      </c>
      <c r="B182" s="331" t="s">
        <v>15</v>
      </c>
      <c r="C182" s="1036" t="s">
        <v>52</v>
      </c>
      <c r="D182" s="1037"/>
      <c r="E182" s="1037"/>
      <c r="F182" s="1037"/>
      <c r="G182" s="1037"/>
      <c r="H182" s="1037"/>
      <c r="I182" s="1037"/>
      <c r="J182" s="1037"/>
      <c r="K182" s="1037"/>
      <c r="L182" s="1038"/>
    </row>
    <row r="183" spans="1:12" ht="16.149999999999999" customHeight="1" x14ac:dyDescent="0.2">
      <c r="A183" s="312" t="s">
        <v>15</v>
      </c>
      <c r="B183" s="313" t="s">
        <v>15</v>
      </c>
      <c r="C183" s="359" t="s">
        <v>12</v>
      </c>
      <c r="D183" s="108"/>
      <c r="E183" s="29"/>
      <c r="F183" s="732" t="s">
        <v>60</v>
      </c>
      <c r="G183" s="360"/>
      <c r="H183" s="750" t="s">
        <v>169</v>
      </c>
      <c r="I183" s="305"/>
      <c r="J183" s="854"/>
      <c r="K183" s="765"/>
      <c r="L183" s="817"/>
    </row>
    <row r="184" spans="1:12" ht="16.899999999999999" customHeight="1" x14ac:dyDescent="0.2">
      <c r="A184" s="295"/>
      <c r="B184" s="286"/>
      <c r="C184" s="287"/>
      <c r="D184" s="761" t="s">
        <v>12</v>
      </c>
      <c r="E184" s="207"/>
      <c r="F184" s="967" t="s">
        <v>264</v>
      </c>
      <c r="G184" s="253"/>
      <c r="H184" s="754"/>
      <c r="I184" s="197" t="s">
        <v>13</v>
      </c>
      <c r="J184" s="830">
        <v>12.4</v>
      </c>
      <c r="K184" s="789" t="s">
        <v>89</v>
      </c>
      <c r="L184" s="813"/>
    </row>
    <row r="185" spans="1:12" ht="31.15" customHeight="1" x14ac:dyDescent="0.2">
      <c r="A185" s="295"/>
      <c r="B185" s="286"/>
      <c r="C185" s="287"/>
      <c r="D185" s="762"/>
      <c r="E185" s="206"/>
      <c r="F185" s="969"/>
      <c r="G185" s="205"/>
      <c r="H185" s="754"/>
      <c r="I185" s="747"/>
      <c r="J185" s="862"/>
      <c r="K185" s="759" t="s">
        <v>238</v>
      </c>
      <c r="L185" s="813">
        <v>100</v>
      </c>
    </row>
    <row r="186" spans="1:12" ht="15.6" customHeight="1" x14ac:dyDescent="0.2">
      <c r="A186" s="295"/>
      <c r="B186" s="286"/>
      <c r="C186" s="287"/>
      <c r="D186" s="36" t="s">
        <v>15</v>
      </c>
      <c r="E186" s="761"/>
      <c r="F186" s="967" t="s">
        <v>209</v>
      </c>
      <c r="G186" s="205"/>
      <c r="H186" s="754"/>
      <c r="I186" s="859" t="s">
        <v>13</v>
      </c>
      <c r="J186" s="863">
        <f>28+9.7</f>
        <v>37.700000000000003</v>
      </c>
      <c r="K186" s="44" t="s">
        <v>79</v>
      </c>
      <c r="L186" s="196">
        <v>9</v>
      </c>
    </row>
    <row r="187" spans="1:12" ht="15.6" customHeight="1" x14ac:dyDescent="0.2">
      <c r="A187" s="295"/>
      <c r="B187" s="286"/>
      <c r="C187" s="287"/>
      <c r="D187" s="37"/>
      <c r="E187" s="703"/>
      <c r="F187" s="969"/>
      <c r="G187" s="253"/>
      <c r="H187" s="754"/>
      <c r="I187" s="860"/>
      <c r="J187" s="864"/>
      <c r="K187" s="12" t="s">
        <v>210</v>
      </c>
      <c r="L187" s="213">
        <v>360</v>
      </c>
    </row>
    <row r="188" spans="1:12" s="341" customFormat="1" ht="15.6" customHeight="1" x14ac:dyDescent="0.2">
      <c r="A188" s="729"/>
      <c r="B188" s="356"/>
      <c r="C188" s="361"/>
      <c r="D188" s="30" t="s">
        <v>17</v>
      </c>
      <c r="E188" s="30"/>
      <c r="F188" s="967" t="s">
        <v>63</v>
      </c>
      <c r="G188" s="226"/>
      <c r="H188" s="1155"/>
      <c r="I188" s="861" t="s">
        <v>13</v>
      </c>
      <c r="J188" s="865">
        <f>20.5+3.6+15.8</f>
        <v>39.900000000000006</v>
      </c>
      <c r="K188" s="105" t="s">
        <v>79</v>
      </c>
      <c r="L188" s="196">
        <v>5</v>
      </c>
    </row>
    <row r="189" spans="1:12" s="341" customFormat="1" ht="15.6" customHeight="1" thickBot="1" x14ac:dyDescent="0.25">
      <c r="A189" s="729"/>
      <c r="B189" s="356"/>
      <c r="C189" s="361"/>
      <c r="D189" s="73"/>
      <c r="E189" s="38"/>
      <c r="F189" s="971"/>
      <c r="G189" s="226"/>
      <c r="H189" s="1156"/>
      <c r="I189" s="92" t="s">
        <v>14</v>
      </c>
      <c r="J189" s="842">
        <f>SUM(J184:J188)</f>
        <v>90</v>
      </c>
      <c r="K189" s="95" t="s">
        <v>49</v>
      </c>
      <c r="L189" s="351">
        <v>21</v>
      </c>
    </row>
    <row r="190" spans="1:12" s="341" customFormat="1" ht="43.5" customHeight="1" x14ac:dyDescent="0.2">
      <c r="A190" s="728" t="s">
        <v>15</v>
      </c>
      <c r="B190" s="362" t="s">
        <v>15</v>
      </c>
      <c r="C190" s="363" t="s">
        <v>15</v>
      </c>
      <c r="D190" s="60"/>
      <c r="E190" s="60"/>
      <c r="F190" s="364" t="s">
        <v>263</v>
      </c>
      <c r="G190" s="365" t="s">
        <v>2</v>
      </c>
      <c r="H190" s="76"/>
      <c r="I190" s="6"/>
      <c r="J190" s="866"/>
      <c r="K190" s="819"/>
      <c r="L190" s="820"/>
    </row>
    <row r="191" spans="1:12" s="341" customFormat="1" ht="16.149999999999999" customHeight="1" x14ac:dyDescent="0.2">
      <c r="A191" s="729"/>
      <c r="B191" s="356"/>
      <c r="C191" s="361"/>
      <c r="D191" s="753" t="s">
        <v>12</v>
      </c>
      <c r="E191" s="753"/>
      <c r="F191" s="768" t="s">
        <v>125</v>
      </c>
      <c r="G191" s="709"/>
      <c r="H191" s="88" t="s">
        <v>169</v>
      </c>
      <c r="I191" s="109" t="s">
        <v>13</v>
      </c>
      <c r="J191" s="867">
        <v>5</v>
      </c>
      <c r="K191" s="12" t="s">
        <v>84</v>
      </c>
      <c r="L191" s="821">
        <v>1</v>
      </c>
    </row>
    <row r="192" spans="1:12" s="341" customFormat="1" ht="16.899999999999999" customHeight="1" x14ac:dyDescent="0.2">
      <c r="A192" s="729"/>
      <c r="B192" s="356"/>
      <c r="C192" s="361"/>
      <c r="D192" s="1128" t="s">
        <v>15</v>
      </c>
      <c r="E192" s="1128"/>
      <c r="F192" s="967" t="s">
        <v>124</v>
      </c>
      <c r="G192" s="985" t="s">
        <v>163</v>
      </c>
      <c r="H192" s="1131" t="s">
        <v>182</v>
      </c>
      <c r="I192" s="8" t="s">
        <v>13</v>
      </c>
      <c r="J192" s="868">
        <v>158</v>
      </c>
      <c r="K192" s="12" t="s">
        <v>79</v>
      </c>
      <c r="L192" s="351">
        <v>10</v>
      </c>
    </row>
    <row r="193" spans="1:12" s="341" customFormat="1" ht="16.899999999999999" customHeight="1" x14ac:dyDescent="0.2">
      <c r="A193" s="729"/>
      <c r="B193" s="356"/>
      <c r="C193" s="361"/>
      <c r="D193" s="1129"/>
      <c r="E193" s="1129"/>
      <c r="F193" s="968"/>
      <c r="G193" s="1154"/>
      <c r="H193" s="1131"/>
      <c r="I193" s="371" t="s">
        <v>70</v>
      </c>
      <c r="J193" s="446">
        <v>7.4</v>
      </c>
      <c r="K193" s="12" t="s">
        <v>159</v>
      </c>
      <c r="L193" s="822">
        <v>5</v>
      </c>
    </row>
    <row r="194" spans="1:12" s="341" customFormat="1" ht="15.75" customHeight="1" thickBot="1" x14ac:dyDescent="0.25">
      <c r="A194" s="730"/>
      <c r="B194" s="373"/>
      <c r="C194" s="374"/>
      <c r="D194" s="73"/>
      <c r="E194" s="73"/>
      <c r="F194" s="727"/>
      <c r="G194" s="375"/>
      <c r="H194" s="1040"/>
      <c r="I194" s="9" t="s">
        <v>14</v>
      </c>
      <c r="J194" s="869">
        <f>SUM(J191:J193)</f>
        <v>170.4</v>
      </c>
      <c r="K194" s="788"/>
      <c r="L194" s="823"/>
    </row>
    <row r="195" spans="1:12" ht="15.75" customHeight="1" thickBot="1" x14ac:dyDescent="0.25">
      <c r="A195" s="330" t="s">
        <v>15</v>
      </c>
      <c r="B195" s="321" t="s">
        <v>15</v>
      </c>
      <c r="C195" s="1141" t="s">
        <v>18</v>
      </c>
      <c r="D195" s="1142"/>
      <c r="E195" s="1142"/>
      <c r="F195" s="1142"/>
      <c r="G195" s="1142"/>
      <c r="H195" s="1142"/>
      <c r="I195" s="1142"/>
      <c r="J195" s="870">
        <f>J189+J194</f>
        <v>260.39999999999998</v>
      </c>
      <c r="K195" s="379"/>
      <c r="L195" s="772"/>
    </row>
    <row r="196" spans="1:12" ht="15.75" customHeight="1" thickBot="1" x14ac:dyDescent="0.25">
      <c r="A196" s="330" t="s">
        <v>15</v>
      </c>
      <c r="B196" s="381" t="s">
        <v>17</v>
      </c>
      <c r="C196" s="1036" t="s">
        <v>28</v>
      </c>
      <c r="D196" s="1037"/>
      <c r="E196" s="1037"/>
      <c r="F196" s="1037"/>
      <c r="G196" s="1037"/>
      <c r="H196" s="1037"/>
      <c r="I196" s="1037"/>
      <c r="J196" s="1037"/>
      <c r="K196" s="1037"/>
      <c r="L196" s="1038"/>
    </row>
    <row r="197" spans="1:12" ht="15.6" customHeight="1" x14ac:dyDescent="0.2">
      <c r="A197" s="312" t="s">
        <v>15</v>
      </c>
      <c r="B197" s="313" t="s">
        <v>17</v>
      </c>
      <c r="C197" s="284" t="s">
        <v>12</v>
      </c>
      <c r="D197" s="24"/>
      <c r="E197" s="24"/>
      <c r="F197" s="1137" t="s">
        <v>29</v>
      </c>
      <c r="G197" s="456"/>
      <c r="H197" s="1116"/>
      <c r="I197" s="4"/>
      <c r="J197" s="871"/>
      <c r="K197" s="717"/>
      <c r="L197" s="817"/>
    </row>
    <row r="198" spans="1:12" ht="13.15" customHeight="1" x14ac:dyDescent="0.2">
      <c r="A198" s="295"/>
      <c r="B198" s="286"/>
      <c r="C198" s="294"/>
      <c r="D198" s="25"/>
      <c r="E198" s="25"/>
      <c r="F198" s="1138"/>
      <c r="G198" s="757"/>
      <c r="H198" s="1117"/>
      <c r="I198" s="63"/>
      <c r="J198" s="872"/>
      <c r="K198" s="718"/>
      <c r="L198" s="810"/>
    </row>
    <row r="199" spans="1:12" ht="29.45" customHeight="1" x14ac:dyDescent="0.2">
      <c r="A199" s="295"/>
      <c r="B199" s="286"/>
      <c r="C199" s="382"/>
      <c r="D199" s="959" t="s">
        <v>12</v>
      </c>
      <c r="E199" s="959"/>
      <c r="F199" s="1139" t="s">
        <v>344</v>
      </c>
      <c r="G199" s="757"/>
      <c r="H199" s="1117" t="s">
        <v>180</v>
      </c>
      <c r="I199" s="1" t="s">
        <v>13</v>
      </c>
      <c r="J199" s="830">
        <f>500+2.9+592.3-19.5-1+15.2</f>
        <v>1089.8999999999999</v>
      </c>
      <c r="K199" s="105" t="s">
        <v>108</v>
      </c>
      <c r="L199" s="441">
        <v>27</v>
      </c>
    </row>
    <row r="200" spans="1:12" ht="26.45" customHeight="1" x14ac:dyDescent="0.2">
      <c r="A200" s="295"/>
      <c r="B200" s="286"/>
      <c r="C200" s="382"/>
      <c r="D200" s="974"/>
      <c r="E200" s="974"/>
      <c r="F200" s="1140"/>
      <c r="G200" s="757"/>
      <c r="H200" s="1149"/>
      <c r="I200" s="1" t="s">
        <v>70</v>
      </c>
      <c r="J200" s="835">
        <v>7.2</v>
      </c>
      <c r="K200" s="941" t="s">
        <v>327</v>
      </c>
      <c r="L200" s="951">
        <v>47</v>
      </c>
    </row>
    <row r="201" spans="1:12" ht="90" customHeight="1" x14ac:dyDescent="0.2">
      <c r="A201" s="295"/>
      <c r="B201" s="286"/>
      <c r="C201" s="382"/>
      <c r="D201" s="974"/>
      <c r="E201" s="974"/>
      <c r="F201" s="1140"/>
      <c r="G201" s="904"/>
      <c r="H201" s="905" t="s">
        <v>328</v>
      </c>
      <c r="I201" s="1" t="s">
        <v>13</v>
      </c>
      <c r="J201" s="835">
        <f>19.5+1</f>
        <v>20.5</v>
      </c>
      <c r="K201" s="943"/>
      <c r="L201" s="952"/>
    </row>
    <row r="202" spans="1:12" ht="42.75" customHeight="1" x14ac:dyDescent="0.2">
      <c r="A202" s="295"/>
      <c r="B202" s="286"/>
      <c r="C202" s="382"/>
      <c r="D202" s="974"/>
      <c r="E202" s="974"/>
      <c r="F202" s="1140"/>
      <c r="G202" s="757"/>
      <c r="H202" s="45" t="s">
        <v>224</v>
      </c>
      <c r="I202" s="8" t="s">
        <v>13</v>
      </c>
      <c r="J202" s="446">
        <v>72</v>
      </c>
      <c r="K202" s="44" t="s">
        <v>259</v>
      </c>
      <c r="L202" s="441">
        <v>1</v>
      </c>
    </row>
    <row r="203" spans="1:12" s="383" customFormat="1" ht="30" customHeight="1" x14ac:dyDescent="0.2">
      <c r="A203" s="295"/>
      <c r="B203" s="286"/>
      <c r="C203" s="382"/>
      <c r="D203" s="761" t="s">
        <v>15</v>
      </c>
      <c r="E203" s="761"/>
      <c r="F203" s="756" t="s">
        <v>62</v>
      </c>
      <c r="G203" s="757"/>
      <c r="H203" s="982" t="s">
        <v>180</v>
      </c>
      <c r="I203" s="7" t="s">
        <v>13</v>
      </c>
      <c r="J203" s="446">
        <v>36.700000000000003</v>
      </c>
      <c r="K203" s="759" t="s">
        <v>79</v>
      </c>
      <c r="L203" s="818">
        <v>93</v>
      </c>
    </row>
    <row r="204" spans="1:12" ht="28.5" customHeight="1" x14ac:dyDescent="0.2">
      <c r="A204" s="295"/>
      <c r="B204" s="286"/>
      <c r="C204" s="382"/>
      <c r="D204" s="40" t="s">
        <v>17</v>
      </c>
      <c r="E204" s="34"/>
      <c r="F204" s="64" t="s">
        <v>33</v>
      </c>
      <c r="G204" s="757"/>
      <c r="H204" s="983"/>
      <c r="I204" s="7" t="s">
        <v>13</v>
      </c>
      <c r="J204" s="837">
        <f>90.2+7.3+20</f>
        <v>117.5</v>
      </c>
      <c r="K204" s="44" t="s">
        <v>109</v>
      </c>
      <c r="L204" s="441">
        <v>30</v>
      </c>
    </row>
    <row r="205" spans="1:12" ht="29.25" customHeight="1" x14ac:dyDescent="0.2">
      <c r="A205" s="295"/>
      <c r="B205" s="286"/>
      <c r="C205" s="382"/>
      <c r="D205" s="762" t="s">
        <v>19</v>
      </c>
      <c r="E205" s="762"/>
      <c r="F205" s="65" t="s">
        <v>35</v>
      </c>
      <c r="G205" s="757"/>
      <c r="H205" s="983"/>
      <c r="I205" s="66" t="s">
        <v>13</v>
      </c>
      <c r="J205" s="446">
        <f>42-4.7-2.3</f>
        <v>35</v>
      </c>
      <c r="K205" s="760" t="s">
        <v>110</v>
      </c>
      <c r="L205" s="442">
        <v>3</v>
      </c>
    </row>
    <row r="206" spans="1:12" ht="18" customHeight="1" x14ac:dyDescent="0.2">
      <c r="A206" s="295"/>
      <c r="B206" s="286"/>
      <c r="C206" s="382"/>
      <c r="D206" s="34" t="s">
        <v>20</v>
      </c>
      <c r="E206" s="34"/>
      <c r="F206" s="64" t="s">
        <v>32</v>
      </c>
      <c r="G206" s="757"/>
      <c r="H206" s="983"/>
      <c r="I206" s="66" t="s">
        <v>13</v>
      </c>
      <c r="J206" s="446">
        <f>17.5-2.2</f>
        <v>15.3</v>
      </c>
      <c r="K206" s="44" t="s">
        <v>36</v>
      </c>
      <c r="L206" s="824">
        <v>38</v>
      </c>
    </row>
    <row r="207" spans="1:12" ht="18" customHeight="1" x14ac:dyDescent="0.2">
      <c r="A207" s="295"/>
      <c r="B207" s="286"/>
      <c r="C207" s="294"/>
      <c r="D207" s="36" t="s">
        <v>68</v>
      </c>
      <c r="E207" s="36"/>
      <c r="F207" s="939" t="s">
        <v>333</v>
      </c>
      <c r="G207" s="936"/>
      <c r="H207" s="983"/>
      <c r="I207" s="66" t="s">
        <v>13</v>
      </c>
      <c r="J207" s="446">
        <v>2.2000000000000002</v>
      </c>
      <c r="K207" s="935" t="s">
        <v>334</v>
      </c>
      <c r="L207" s="824">
        <v>69</v>
      </c>
    </row>
    <row r="208" spans="1:12" ht="18" customHeight="1" x14ac:dyDescent="0.2">
      <c r="A208" s="295"/>
      <c r="B208" s="286"/>
      <c r="C208" s="294"/>
      <c r="D208" s="36" t="s">
        <v>69</v>
      </c>
      <c r="E208" s="36"/>
      <c r="F208" s="756" t="s">
        <v>34</v>
      </c>
      <c r="G208" s="757"/>
      <c r="H208" s="983"/>
      <c r="I208" s="66" t="s">
        <v>13</v>
      </c>
      <c r="J208" s="446">
        <v>282.5</v>
      </c>
      <c r="K208" s="1065" t="s">
        <v>111</v>
      </c>
      <c r="L208" s="351">
        <v>101</v>
      </c>
    </row>
    <row r="209" spans="1:12" ht="14.45" customHeight="1" x14ac:dyDescent="0.2">
      <c r="A209" s="295"/>
      <c r="B209" s="286"/>
      <c r="C209" s="294"/>
      <c r="D209" s="37"/>
      <c r="E209" s="37"/>
      <c r="F209" s="773"/>
      <c r="G209" s="757"/>
      <c r="H209" s="983"/>
      <c r="I209" s="67" t="s">
        <v>16</v>
      </c>
      <c r="J209" s="836">
        <v>2.6</v>
      </c>
      <c r="K209" s="1066"/>
      <c r="L209" s="351"/>
    </row>
    <row r="210" spans="1:12" ht="27" customHeight="1" x14ac:dyDescent="0.2">
      <c r="A210" s="295"/>
      <c r="B210" s="286"/>
      <c r="C210" s="382"/>
      <c r="D210" s="762" t="s">
        <v>126</v>
      </c>
      <c r="E210" s="762"/>
      <c r="F210" s="769" t="s">
        <v>39</v>
      </c>
      <c r="G210" s="384"/>
      <c r="H210" s="983"/>
      <c r="I210" s="702" t="s">
        <v>13</v>
      </c>
      <c r="J210" s="446">
        <f>207-35-5.4</f>
        <v>166.6</v>
      </c>
      <c r="K210" s="105" t="s">
        <v>79</v>
      </c>
      <c r="L210" s="441">
        <v>8</v>
      </c>
    </row>
    <row r="211" spans="1:12" ht="27" customHeight="1" x14ac:dyDescent="0.2">
      <c r="A211" s="295"/>
      <c r="B211" s="286"/>
      <c r="C211" s="382"/>
      <c r="D211" s="34" t="s">
        <v>127</v>
      </c>
      <c r="E211" s="34"/>
      <c r="F211" s="96" t="s">
        <v>174</v>
      </c>
      <c r="G211" s="384"/>
      <c r="H211" s="983"/>
      <c r="I211" s="702" t="s">
        <v>13</v>
      </c>
      <c r="J211" s="446">
        <f>300-50-1.9</f>
        <v>248.1</v>
      </c>
      <c r="K211" s="105" t="s">
        <v>79</v>
      </c>
      <c r="L211" s="825">
        <f>10-1</f>
        <v>9</v>
      </c>
    </row>
    <row r="212" spans="1:12" ht="18" customHeight="1" x14ac:dyDescent="0.2">
      <c r="A212" s="295"/>
      <c r="B212" s="286"/>
      <c r="C212" s="382"/>
      <c r="D212" s="34" t="s">
        <v>4</v>
      </c>
      <c r="E212" s="34"/>
      <c r="F212" s="731" t="s">
        <v>56</v>
      </c>
      <c r="G212" s="385"/>
      <c r="H212" s="983"/>
      <c r="I212" s="702" t="s">
        <v>13</v>
      </c>
      <c r="J212" s="446">
        <f>200+107.7</f>
        <v>307.7</v>
      </c>
      <c r="K212" s="105" t="s">
        <v>79</v>
      </c>
      <c r="L212" s="442">
        <v>11</v>
      </c>
    </row>
    <row r="213" spans="1:12" ht="27.75" customHeight="1" x14ac:dyDescent="0.2">
      <c r="A213" s="295"/>
      <c r="B213" s="286"/>
      <c r="C213" s="294"/>
      <c r="D213" s="25" t="s">
        <v>128</v>
      </c>
      <c r="E213" s="25"/>
      <c r="F213" s="967" t="s">
        <v>260</v>
      </c>
      <c r="G213" s="1118"/>
      <c r="H213" s="983"/>
      <c r="I213" s="1" t="s">
        <v>13</v>
      </c>
      <c r="J213" s="835">
        <f>53-9.9</f>
        <v>43.1</v>
      </c>
      <c r="K213" s="745" t="s">
        <v>113</v>
      </c>
      <c r="L213" s="442">
        <v>2</v>
      </c>
    </row>
    <row r="214" spans="1:12" ht="27.75" customHeight="1" x14ac:dyDescent="0.2">
      <c r="A214" s="295"/>
      <c r="B214" s="286"/>
      <c r="C214" s="294"/>
      <c r="D214" s="25"/>
      <c r="E214" s="25"/>
      <c r="F214" s="969"/>
      <c r="G214" s="1119"/>
      <c r="H214" s="983"/>
      <c r="I214" s="1" t="s">
        <v>70</v>
      </c>
      <c r="J214" s="446">
        <v>100.8</v>
      </c>
      <c r="K214" s="44" t="s">
        <v>117</v>
      </c>
      <c r="L214" s="818">
        <v>3</v>
      </c>
    </row>
    <row r="215" spans="1:12" ht="28.5" customHeight="1" x14ac:dyDescent="0.2">
      <c r="A215" s="295"/>
      <c r="B215" s="286"/>
      <c r="C215" s="294"/>
      <c r="D215" s="40" t="s">
        <v>129</v>
      </c>
      <c r="E215" s="40"/>
      <c r="F215" s="49" t="s">
        <v>95</v>
      </c>
      <c r="G215" s="386"/>
      <c r="H215" s="983"/>
      <c r="I215" s="8" t="s">
        <v>13</v>
      </c>
      <c r="J215" s="446">
        <f>80-40-11</f>
        <v>29</v>
      </c>
      <c r="K215" s="759" t="s">
        <v>79</v>
      </c>
      <c r="L215" s="818">
        <v>33</v>
      </c>
    </row>
    <row r="216" spans="1:12" ht="32.25" customHeight="1" x14ac:dyDescent="0.2">
      <c r="A216" s="295"/>
      <c r="B216" s="286"/>
      <c r="C216" s="294"/>
      <c r="D216" s="40" t="s">
        <v>130</v>
      </c>
      <c r="E216" s="36"/>
      <c r="F216" s="387" t="s">
        <v>250</v>
      </c>
      <c r="G216" s="388"/>
      <c r="H216" s="983"/>
      <c r="I216" s="109" t="s">
        <v>13</v>
      </c>
      <c r="J216" s="835">
        <f>20-3.5</f>
        <v>16.5</v>
      </c>
      <c r="K216" s="105" t="s">
        <v>79</v>
      </c>
      <c r="L216" s="441">
        <v>1</v>
      </c>
    </row>
    <row r="217" spans="1:12" ht="18" customHeight="1" x14ac:dyDescent="0.2">
      <c r="A217" s="295"/>
      <c r="B217" s="286"/>
      <c r="C217" s="294"/>
      <c r="D217" s="40" t="s">
        <v>131</v>
      </c>
      <c r="E217" s="34"/>
      <c r="F217" s="886" t="s">
        <v>248</v>
      </c>
      <c r="G217" s="388"/>
      <c r="H217" s="983"/>
      <c r="I217" s="109" t="s">
        <v>70</v>
      </c>
      <c r="J217" s="835">
        <v>0.7</v>
      </c>
      <c r="K217" s="105" t="s">
        <v>249</v>
      </c>
      <c r="L217" s="441">
        <v>1</v>
      </c>
    </row>
    <row r="218" spans="1:12" ht="18" customHeight="1" x14ac:dyDescent="0.2">
      <c r="A218" s="295"/>
      <c r="B218" s="286"/>
      <c r="C218" s="294"/>
      <c r="D218" s="959" t="s">
        <v>132</v>
      </c>
      <c r="E218" s="959"/>
      <c r="F218" s="1159" t="s">
        <v>315</v>
      </c>
      <c r="G218" s="388"/>
      <c r="H218" s="983"/>
      <c r="I218" s="109" t="s">
        <v>13</v>
      </c>
      <c r="J218" s="835">
        <v>14.4</v>
      </c>
      <c r="K218" s="95" t="s">
        <v>316</v>
      </c>
      <c r="L218" s="351">
        <v>1</v>
      </c>
    </row>
    <row r="219" spans="1:12" ht="16.899999999999999" customHeight="1" thickBot="1" x14ac:dyDescent="0.25">
      <c r="A219" s="320"/>
      <c r="B219" s="321"/>
      <c r="C219" s="322"/>
      <c r="D219" s="970"/>
      <c r="E219" s="970"/>
      <c r="F219" s="1160"/>
      <c r="G219" s="758"/>
      <c r="H219" s="984"/>
      <c r="I219" s="9" t="s">
        <v>14</v>
      </c>
      <c r="J219" s="842">
        <f>SUM(J199:J218)</f>
        <v>2608.2999999999997</v>
      </c>
      <c r="K219" s="106"/>
      <c r="L219" s="826"/>
    </row>
    <row r="220" spans="1:12" s="341" customFormat="1" ht="15.75" customHeight="1" x14ac:dyDescent="0.2">
      <c r="A220" s="1073" t="s">
        <v>15</v>
      </c>
      <c r="B220" s="1132" t="s">
        <v>17</v>
      </c>
      <c r="C220" s="361" t="s">
        <v>15</v>
      </c>
      <c r="D220" s="60"/>
      <c r="E220" s="47"/>
      <c r="F220" s="981" t="s">
        <v>158</v>
      </c>
      <c r="G220" s="1143"/>
      <c r="H220" s="1039" t="s">
        <v>169</v>
      </c>
      <c r="I220" s="69" t="s">
        <v>13</v>
      </c>
      <c r="J220" s="828">
        <v>31.3</v>
      </c>
      <c r="K220" s="1157" t="s">
        <v>140</v>
      </c>
      <c r="L220" s="827">
        <v>300</v>
      </c>
    </row>
    <row r="221" spans="1:12" s="341" customFormat="1" ht="16.5" customHeight="1" thickBot="1" x14ac:dyDescent="0.25">
      <c r="A221" s="1074"/>
      <c r="B221" s="1133"/>
      <c r="C221" s="389"/>
      <c r="D221" s="38"/>
      <c r="E221" s="38"/>
      <c r="F221" s="971"/>
      <c r="G221" s="1144"/>
      <c r="H221" s="1040"/>
      <c r="I221" s="9" t="s">
        <v>14</v>
      </c>
      <c r="J221" s="869">
        <f t="shared" ref="J221" si="5">SUM(J220:J220)</f>
        <v>31.3</v>
      </c>
      <c r="K221" s="1091"/>
      <c r="L221" s="823"/>
    </row>
    <row r="222" spans="1:12" ht="19.5" customHeight="1" x14ac:dyDescent="0.2">
      <c r="A222" s="312" t="s">
        <v>15</v>
      </c>
      <c r="B222" s="313" t="s">
        <v>17</v>
      </c>
      <c r="C222" s="359" t="s">
        <v>17</v>
      </c>
      <c r="D222" s="29"/>
      <c r="E222" s="29"/>
      <c r="F222" s="981" t="s">
        <v>94</v>
      </c>
      <c r="G222" s="1088"/>
      <c r="H222" s="1135" t="s">
        <v>169</v>
      </c>
      <c r="I222" s="6" t="s">
        <v>13</v>
      </c>
      <c r="J222" s="839">
        <v>30</v>
      </c>
      <c r="K222" s="93" t="s">
        <v>114</v>
      </c>
      <c r="L222" s="790">
        <v>3</v>
      </c>
    </row>
    <row r="223" spans="1:12" ht="19.5" customHeight="1" x14ac:dyDescent="0.2">
      <c r="A223" s="295"/>
      <c r="B223" s="286"/>
      <c r="C223" s="301"/>
      <c r="D223" s="762"/>
      <c r="E223" s="762"/>
      <c r="F223" s="968"/>
      <c r="G223" s="1089"/>
      <c r="H223" s="1136"/>
      <c r="I223" s="8" t="s">
        <v>70</v>
      </c>
      <c r="J223" s="829">
        <v>15.9</v>
      </c>
      <c r="K223" s="95"/>
      <c r="L223" s="569"/>
    </row>
    <row r="224" spans="1:12" ht="15" customHeight="1" thickBot="1" x14ac:dyDescent="0.25">
      <c r="A224" s="320"/>
      <c r="B224" s="321"/>
      <c r="C224" s="390"/>
      <c r="D224" s="32"/>
      <c r="E224" s="32"/>
      <c r="F224" s="727"/>
      <c r="G224" s="1090"/>
      <c r="H224" s="97"/>
      <c r="I224" s="9" t="s">
        <v>14</v>
      </c>
      <c r="J224" s="842">
        <f>SUM(J222:J223)</f>
        <v>45.9</v>
      </c>
      <c r="K224" s="106"/>
      <c r="L224" s="810"/>
    </row>
    <row r="225" spans="1:13" ht="32.25" customHeight="1" x14ac:dyDescent="0.2">
      <c r="A225" s="312" t="s">
        <v>15</v>
      </c>
      <c r="B225" s="313" t="s">
        <v>17</v>
      </c>
      <c r="C225" s="108" t="s">
        <v>19</v>
      </c>
      <c r="D225" s="29"/>
      <c r="E225" s="29"/>
      <c r="F225" s="732" t="s">
        <v>64</v>
      </c>
      <c r="G225" s="391"/>
      <c r="H225" s="755"/>
      <c r="I225" s="6"/>
      <c r="J225" s="839"/>
      <c r="K225" s="765"/>
      <c r="L225" s="817"/>
    </row>
    <row r="226" spans="1:13" s="22" customFormat="1" ht="31.15" customHeight="1" x14ac:dyDescent="0.2">
      <c r="A226" s="295"/>
      <c r="B226" s="286"/>
      <c r="C226" s="349"/>
      <c r="D226" s="128" t="s">
        <v>12</v>
      </c>
      <c r="E226" s="128"/>
      <c r="F226" s="1145" t="s">
        <v>61</v>
      </c>
      <c r="G226" s="392"/>
      <c r="H226" s="1134" t="s">
        <v>180</v>
      </c>
      <c r="I226" s="53" t="s">
        <v>13</v>
      </c>
      <c r="J226" s="873">
        <v>11.5</v>
      </c>
      <c r="K226" s="104" t="s">
        <v>115</v>
      </c>
      <c r="L226" s="441">
        <v>79</v>
      </c>
    </row>
    <row r="227" spans="1:13" s="22" customFormat="1" ht="43.9" customHeight="1" x14ac:dyDescent="0.2">
      <c r="A227" s="295"/>
      <c r="B227" s="286"/>
      <c r="C227" s="349"/>
      <c r="D227" s="708"/>
      <c r="E227" s="708"/>
      <c r="F227" s="1152"/>
      <c r="G227" s="393"/>
      <c r="H227" s="1117"/>
      <c r="I227" s="53" t="s">
        <v>13</v>
      </c>
      <c r="J227" s="867">
        <v>36</v>
      </c>
      <c r="K227" s="104" t="s">
        <v>225</v>
      </c>
      <c r="L227" s="818">
        <v>20</v>
      </c>
    </row>
    <row r="228" spans="1:13" s="22" customFormat="1" ht="25.9" customHeight="1" x14ac:dyDescent="0.2">
      <c r="A228" s="295"/>
      <c r="B228" s="289"/>
      <c r="C228" s="349"/>
      <c r="D228" s="128" t="s">
        <v>15</v>
      </c>
      <c r="E228" s="128"/>
      <c r="F228" s="1145" t="s">
        <v>304</v>
      </c>
      <c r="G228" s="1158" t="s">
        <v>2</v>
      </c>
      <c r="H228" s="1117"/>
      <c r="I228" s="53" t="s">
        <v>13</v>
      </c>
      <c r="J228" s="835">
        <v>7.8</v>
      </c>
      <c r="K228" s="783" t="s">
        <v>308</v>
      </c>
      <c r="L228" s="213">
        <v>5</v>
      </c>
      <c r="M228" s="470"/>
    </row>
    <row r="229" spans="1:13" s="22" customFormat="1" ht="15" customHeight="1" x14ac:dyDescent="0.2">
      <c r="A229" s="295"/>
      <c r="B229" s="289"/>
      <c r="C229" s="349"/>
      <c r="D229" s="708"/>
      <c r="E229" s="708"/>
      <c r="F229" s="1146"/>
      <c r="G229" s="1089"/>
      <c r="H229" s="1117"/>
      <c r="I229" s="716"/>
      <c r="J229" s="836"/>
      <c r="K229" s="752"/>
      <c r="L229" s="569"/>
      <c r="M229" s="470"/>
    </row>
    <row r="230" spans="1:13" ht="15.6" customHeight="1" x14ac:dyDescent="0.2">
      <c r="A230" s="295"/>
      <c r="B230" s="289"/>
      <c r="C230" s="349"/>
      <c r="D230" s="708"/>
      <c r="E230" s="708"/>
      <c r="F230" s="1146"/>
      <c r="G230" s="701"/>
      <c r="H230" s="1153" t="s">
        <v>169</v>
      </c>
      <c r="I230" s="53" t="s">
        <v>13</v>
      </c>
      <c r="J230" s="446">
        <v>28.6</v>
      </c>
      <c r="K230" s="956" t="s">
        <v>141</v>
      </c>
      <c r="L230" s="818">
        <v>3</v>
      </c>
      <c r="M230" s="470"/>
    </row>
    <row r="231" spans="1:13" ht="15.6" customHeight="1" x14ac:dyDescent="0.2">
      <c r="A231" s="295"/>
      <c r="B231" s="289"/>
      <c r="C231" s="349"/>
      <c r="D231" s="708"/>
      <c r="E231" s="708"/>
      <c r="F231" s="1146"/>
      <c r="G231" s="393"/>
      <c r="H231" s="1136"/>
      <c r="I231" s="53" t="s">
        <v>70</v>
      </c>
      <c r="J231" s="446">
        <v>0.5</v>
      </c>
      <c r="K231" s="957"/>
      <c r="L231" s="351"/>
      <c r="M231" s="470"/>
    </row>
    <row r="232" spans="1:13" ht="15.6" customHeight="1" x14ac:dyDescent="0.2">
      <c r="A232" s="295"/>
      <c r="B232" s="289"/>
      <c r="C232" s="349"/>
      <c r="D232" s="708"/>
      <c r="E232" s="708"/>
      <c r="F232" s="1146"/>
      <c r="G232" s="393"/>
      <c r="H232" s="1136"/>
      <c r="I232" s="53" t="s">
        <v>3</v>
      </c>
      <c r="J232" s="446">
        <v>94</v>
      </c>
      <c r="K232" s="957"/>
      <c r="L232" s="351"/>
      <c r="M232" s="470"/>
    </row>
    <row r="233" spans="1:13" ht="13.9" customHeight="1" thickBot="1" x14ac:dyDescent="0.25">
      <c r="A233" s="295"/>
      <c r="B233" s="286"/>
      <c r="C233" s="348"/>
      <c r="D233" s="31"/>
      <c r="E233" s="31"/>
      <c r="F233" s="1147"/>
      <c r="G233" s="393"/>
      <c r="H233" s="97"/>
      <c r="I233" s="72" t="s">
        <v>14</v>
      </c>
      <c r="J233" s="842">
        <f>SUM(J226:J232)</f>
        <v>178.4</v>
      </c>
      <c r="K233" s="957"/>
      <c r="L233" s="569"/>
      <c r="M233" s="470"/>
    </row>
    <row r="234" spans="1:13" ht="16.149999999999999" customHeight="1" x14ac:dyDescent="0.2">
      <c r="A234" s="312" t="s">
        <v>15</v>
      </c>
      <c r="B234" s="313" t="s">
        <v>17</v>
      </c>
      <c r="C234" s="394" t="s">
        <v>20</v>
      </c>
      <c r="D234" s="29"/>
      <c r="E234" s="24"/>
      <c r="F234" s="435" t="s">
        <v>252</v>
      </c>
      <c r="G234" s="395"/>
      <c r="H234" s="76"/>
      <c r="I234" s="169"/>
      <c r="J234" s="874"/>
      <c r="K234" s="93"/>
      <c r="L234" s="790"/>
    </row>
    <row r="235" spans="1:13" ht="16.149999999999999" customHeight="1" x14ac:dyDescent="0.2">
      <c r="A235" s="295"/>
      <c r="B235" s="286"/>
      <c r="C235" s="294"/>
      <c r="D235" s="762"/>
      <c r="E235" s="25"/>
      <c r="F235" s="769" t="s">
        <v>253</v>
      </c>
      <c r="G235" s="396"/>
      <c r="H235" s="1131" t="s">
        <v>180</v>
      </c>
      <c r="I235" s="437" t="s">
        <v>13</v>
      </c>
      <c r="J235" s="832">
        <f>1719.3+260</f>
        <v>1979.3</v>
      </c>
      <c r="K235" s="95" t="s">
        <v>79</v>
      </c>
      <c r="L235" s="569">
        <v>92</v>
      </c>
    </row>
    <row r="236" spans="1:13" ht="26.25" customHeight="1" x14ac:dyDescent="0.2">
      <c r="A236" s="295"/>
      <c r="B236" s="286"/>
      <c r="C236" s="294"/>
      <c r="D236" s="25"/>
      <c r="E236" s="25"/>
      <c r="F236" s="770"/>
      <c r="G236" s="436"/>
      <c r="H236" s="1148"/>
      <c r="I236" s="7" t="s">
        <v>70</v>
      </c>
      <c r="J236" s="446">
        <v>315.10000000000002</v>
      </c>
      <c r="K236" s="95"/>
      <c r="L236" s="569"/>
    </row>
    <row r="237" spans="1:13" ht="16.149999999999999" customHeight="1" x14ac:dyDescent="0.2">
      <c r="A237" s="295"/>
      <c r="B237" s="286"/>
      <c r="C237" s="294"/>
      <c r="D237" s="25"/>
      <c r="E237" s="25"/>
      <c r="F237" s="769" t="s">
        <v>254</v>
      </c>
      <c r="G237" s="205"/>
      <c r="H237" s="1130" t="s">
        <v>224</v>
      </c>
      <c r="I237" s="109" t="s">
        <v>13</v>
      </c>
      <c r="J237" s="835">
        <v>332.5</v>
      </c>
      <c r="K237" s="1065" t="s">
        <v>295</v>
      </c>
      <c r="L237" s="213">
        <v>100</v>
      </c>
    </row>
    <row r="238" spans="1:13" ht="16.149999999999999" customHeight="1" x14ac:dyDescent="0.2">
      <c r="A238" s="295"/>
      <c r="B238" s="286"/>
      <c r="C238" s="294"/>
      <c r="D238" s="25"/>
      <c r="E238" s="25"/>
      <c r="F238" s="769"/>
      <c r="G238" s="205"/>
      <c r="H238" s="1131"/>
      <c r="I238" s="109" t="s">
        <v>16</v>
      </c>
      <c r="J238" s="835">
        <v>7</v>
      </c>
      <c r="K238" s="997"/>
      <c r="L238" s="569"/>
    </row>
    <row r="239" spans="1:13" ht="15" customHeight="1" thickBot="1" x14ac:dyDescent="0.25">
      <c r="A239" s="295"/>
      <c r="B239" s="286"/>
      <c r="C239" s="348"/>
      <c r="D239" s="31"/>
      <c r="E239" s="31"/>
      <c r="F239" s="727"/>
      <c r="G239" s="393"/>
      <c r="H239" s="1040"/>
      <c r="I239" s="72" t="s">
        <v>14</v>
      </c>
      <c r="J239" s="842">
        <f>SUM(J235:J238)</f>
        <v>2633.9</v>
      </c>
      <c r="K239" s="1091"/>
      <c r="L239" s="791"/>
    </row>
    <row r="240" spans="1:13" ht="14.25" customHeight="1" thickBot="1" x14ac:dyDescent="0.25">
      <c r="A240" s="397" t="s">
        <v>15</v>
      </c>
      <c r="B240" s="398" t="s">
        <v>17</v>
      </c>
      <c r="C240" s="1029" t="s">
        <v>18</v>
      </c>
      <c r="D240" s="1030"/>
      <c r="E240" s="1030"/>
      <c r="F240" s="1030"/>
      <c r="G240" s="1030"/>
      <c r="H240" s="1030"/>
      <c r="I240" s="1030"/>
      <c r="J240" s="845">
        <f>J221+J224+J233+J219+J239</f>
        <v>5497.7999999999993</v>
      </c>
      <c r="K240" s="358"/>
      <c r="L240" s="772"/>
    </row>
    <row r="241" spans="1:13" s="79" customFormat="1" ht="14.25" customHeight="1" thickBot="1" x14ac:dyDescent="0.25">
      <c r="A241" s="397" t="s">
        <v>15</v>
      </c>
      <c r="B241" s="1031" t="s">
        <v>5</v>
      </c>
      <c r="C241" s="1032"/>
      <c r="D241" s="1032"/>
      <c r="E241" s="1032"/>
      <c r="F241" s="1032"/>
      <c r="G241" s="1032"/>
      <c r="H241" s="1032"/>
      <c r="I241" s="1032"/>
      <c r="J241" s="875">
        <f>J240+J195+J181</f>
        <v>18152.899999999998</v>
      </c>
      <c r="K241" s="401"/>
      <c r="L241" s="339"/>
    </row>
    <row r="242" spans="1:13" s="79" customFormat="1" ht="14.25" customHeight="1" thickBot="1" x14ac:dyDescent="0.25">
      <c r="A242" s="402" t="s">
        <v>4</v>
      </c>
      <c r="B242" s="1126" t="s">
        <v>6</v>
      </c>
      <c r="C242" s="1127"/>
      <c r="D242" s="1127"/>
      <c r="E242" s="1127"/>
      <c r="F242" s="1127"/>
      <c r="G242" s="1127"/>
      <c r="H242" s="1127"/>
      <c r="I242" s="1127"/>
      <c r="J242" s="876">
        <f>J241+J121</f>
        <v>124047.90300000001</v>
      </c>
      <c r="K242" s="405"/>
      <c r="L242" s="407"/>
    </row>
    <row r="243" spans="1:13" s="79" customFormat="1" ht="24.75" customHeight="1" x14ac:dyDescent="0.2">
      <c r="A243" s="1125" t="s">
        <v>335</v>
      </c>
      <c r="B243" s="1125"/>
      <c r="C243" s="1125"/>
      <c r="D243" s="1125"/>
      <c r="E243" s="1125"/>
      <c r="F243" s="1125"/>
      <c r="G243" s="1125"/>
      <c r="H243" s="1125"/>
      <c r="I243" s="1125"/>
      <c r="J243" s="1125"/>
      <c r="K243" s="1125"/>
      <c r="L243" s="1125"/>
      <c r="M243" s="927"/>
    </row>
    <row r="244" spans="1:13" s="79" customFormat="1" ht="23.25" customHeight="1" thickBot="1" x14ac:dyDescent="0.25">
      <c r="A244" s="1069" t="s">
        <v>0</v>
      </c>
      <c r="B244" s="1069"/>
      <c r="C244" s="1069"/>
      <c r="D244" s="1069"/>
      <c r="E244" s="1069"/>
      <c r="F244" s="1069"/>
      <c r="G244" s="1069"/>
      <c r="H244" s="1069"/>
      <c r="I244" s="1069"/>
      <c r="J244" s="1069"/>
      <c r="K244" s="408"/>
      <c r="L244" s="408"/>
    </row>
    <row r="245" spans="1:13" s="79" customFormat="1" ht="70.5" customHeight="1" thickBot="1" x14ac:dyDescent="0.25">
      <c r="A245" s="1048" t="s">
        <v>1</v>
      </c>
      <c r="B245" s="1049"/>
      <c r="C245" s="1049"/>
      <c r="D245" s="1049"/>
      <c r="E245" s="1049"/>
      <c r="F245" s="1049"/>
      <c r="G245" s="1049"/>
      <c r="H245" s="1049"/>
      <c r="I245" s="1050"/>
      <c r="J245" s="712" t="s">
        <v>311</v>
      </c>
      <c r="K245" s="57"/>
      <c r="L245" s="18"/>
    </row>
    <row r="246" spans="1:13" s="79" customFormat="1" ht="13.5" customHeight="1" x14ac:dyDescent="0.2">
      <c r="A246" s="1051" t="s">
        <v>22</v>
      </c>
      <c r="B246" s="1052"/>
      <c r="C246" s="1052"/>
      <c r="D246" s="1052"/>
      <c r="E246" s="1052"/>
      <c r="F246" s="1052"/>
      <c r="G246" s="1052"/>
      <c r="H246" s="1052"/>
      <c r="I246" s="1052"/>
      <c r="J246" s="428">
        <f>+J247+J254+J255+J256+J257</f>
        <v>123953.90299999999</v>
      </c>
      <c r="K246" s="57"/>
      <c r="L246" s="18"/>
    </row>
    <row r="247" spans="1:13" s="79" customFormat="1" ht="13.5" customHeight="1" x14ac:dyDescent="0.2">
      <c r="A247" s="1053" t="s">
        <v>147</v>
      </c>
      <c r="B247" s="1054"/>
      <c r="C247" s="1054"/>
      <c r="D247" s="1054"/>
      <c r="E247" s="1054"/>
      <c r="F247" s="1054"/>
      <c r="G247" s="1054"/>
      <c r="H247" s="1054"/>
      <c r="I247" s="1054"/>
      <c r="J247" s="429">
        <f>SUM(J248:J253)</f>
        <v>118786.20299999999</v>
      </c>
      <c r="K247" s="57"/>
      <c r="L247" s="18"/>
      <c r="M247" s="20"/>
    </row>
    <row r="248" spans="1:13" s="79" customFormat="1" ht="14.25" customHeight="1" x14ac:dyDescent="0.2">
      <c r="A248" s="1055" t="s">
        <v>245</v>
      </c>
      <c r="B248" s="1056"/>
      <c r="C248" s="1056"/>
      <c r="D248" s="1056"/>
      <c r="E248" s="1056"/>
      <c r="F248" s="1056"/>
      <c r="G248" s="1056"/>
      <c r="H248" s="1056"/>
      <c r="I248" s="1056"/>
      <c r="J248" s="713">
        <f>SUMIF(I15:I237,"sb",J15:J237)</f>
        <v>49907.903000000006</v>
      </c>
      <c r="K248" s="13"/>
      <c r="L248" s="18"/>
    </row>
    <row r="249" spans="1:13" s="79" customFormat="1" ht="15.6" customHeight="1" x14ac:dyDescent="0.2">
      <c r="A249" s="1062" t="s">
        <v>267</v>
      </c>
      <c r="B249" s="1063"/>
      <c r="C249" s="1063"/>
      <c r="D249" s="1063"/>
      <c r="E249" s="1063"/>
      <c r="F249" s="1063"/>
      <c r="G249" s="1063"/>
      <c r="H249" s="1063"/>
      <c r="I249" s="1064"/>
      <c r="J249" s="713">
        <f>SUMIF(I16:I238,"sb(K)",J16:J238)</f>
        <v>2890.4999999999991</v>
      </c>
      <c r="K249" s="13"/>
      <c r="L249" s="18"/>
    </row>
    <row r="250" spans="1:13" s="79" customFormat="1" ht="15.75" customHeight="1" x14ac:dyDescent="0.2">
      <c r="A250" s="1055" t="s">
        <v>246</v>
      </c>
      <c r="B250" s="1056"/>
      <c r="C250" s="1056"/>
      <c r="D250" s="1056"/>
      <c r="E250" s="1056"/>
      <c r="F250" s="1056"/>
      <c r="G250" s="1056"/>
      <c r="H250" s="1056"/>
      <c r="I250" s="1056"/>
      <c r="J250" s="713">
        <f>SUMIF(I15:I236,"sb(sp)",J15:J236)</f>
        <v>5239.9000000000005</v>
      </c>
      <c r="K250" s="21"/>
      <c r="L250" s="18"/>
    </row>
    <row r="251" spans="1:13" s="79" customFormat="1" ht="15.75" customHeight="1" x14ac:dyDescent="0.2">
      <c r="A251" s="1055" t="s">
        <v>236</v>
      </c>
      <c r="B251" s="1056"/>
      <c r="C251" s="1056"/>
      <c r="D251" s="1056"/>
      <c r="E251" s="1056"/>
      <c r="F251" s="1056"/>
      <c r="G251" s="1056"/>
      <c r="H251" s="1056"/>
      <c r="I251" s="1061"/>
      <c r="J251" s="713">
        <f>SUMIF(I15:I236,"sb(p)",J15:J236)</f>
        <v>1778.7</v>
      </c>
      <c r="K251" s="21"/>
      <c r="L251" s="18"/>
    </row>
    <row r="252" spans="1:13" s="79" customFormat="1" ht="15.75" customHeight="1" x14ac:dyDescent="0.2">
      <c r="A252" s="1042" t="s">
        <v>247</v>
      </c>
      <c r="B252" s="1043"/>
      <c r="C252" s="1043"/>
      <c r="D252" s="1043"/>
      <c r="E252" s="1043"/>
      <c r="F252" s="1043"/>
      <c r="G252" s="1043"/>
      <c r="H252" s="1043"/>
      <c r="I252" s="1043"/>
      <c r="J252" s="713">
        <f>SUMIF(I15:I238,"sb(vb)",J15:J238)</f>
        <v>57979.499999999993</v>
      </c>
      <c r="K252" s="21"/>
      <c r="L252" s="18"/>
    </row>
    <row r="253" spans="1:13" ht="15.75" customHeight="1" x14ac:dyDescent="0.2">
      <c r="A253" s="1044" t="s">
        <v>145</v>
      </c>
      <c r="B253" s="1045"/>
      <c r="C253" s="1045"/>
      <c r="D253" s="1045"/>
      <c r="E253" s="1045"/>
      <c r="F253" s="1045"/>
      <c r="G253" s="1045"/>
      <c r="H253" s="1045"/>
      <c r="I253" s="1045"/>
      <c r="J253" s="713">
        <f>SUMIF(I15:I236,"sb(es)",J15:J236)</f>
        <v>989.7</v>
      </c>
      <c r="K253" s="21"/>
      <c r="L253" s="18"/>
    </row>
    <row r="254" spans="1:13" ht="15.75" customHeight="1" x14ac:dyDescent="0.2">
      <c r="A254" s="1046" t="s">
        <v>71</v>
      </c>
      <c r="B254" s="1046"/>
      <c r="C254" s="1046"/>
      <c r="D254" s="1046"/>
      <c r="E254" s="1046"/>
      <c r="F254" s="1046"/>
      <c r="G254" s="1046"/>
      <c r="H254" s="1047"/>
      <c r="I254" s="1047"/>
      <c r="J254" s="430">
        <f>SUMIF(I15:I238,"sb(l)",J15:J238)</f>
        <v>4132.9000000000005</v>
      </c>
      <c r="K254" s="21"/>
      <c r="L254" s="18"/>
    </row>
    <row r="255" spans="1:13" ht="15.75" customHeight="1" x14ac:dyDescent="0.2">
      <c r="A255" s="1046" t="s">
        <v>146</v>
      </c>
      <c r="B255" s="1046"/>
      <c r="C255" s="1046"/>
      <c r="D255" s="1046"/>
      <c r="E255" s="1046"/>
      <c r="F255" s="1046"/>
      <c r="G255" s="1046"/>
      <c r="H255" s="1047"/>
      <c r="I255" s="1047"/>
      <c r="J255" s="430">
        <f>SUMIF(I16:I236,"sb(esl)",J16:J236)</f>
        <v>645.00000000000011</v>
      </c>
      <c r="K255" s="21"/>
      <c r="L255" s="18"/>
    </row>
    <row r="256" spans="1:13" ht="16.5" customHeight="1" x14ac:dyDescent="0.2">
      <c r="A256" s="1046" t="s">
        <v>50</v>
      </c>
      <c r="B256" s="1046"/>
      <c r="C256" s="1046"/>
      <c r="D256" s="1046"/>
      <c r="E256" s="1046"/>
      <c r="F256" s="1046"/>
      <c r="G256" s="1046"/>
      <c r="H256" s="1047"/>
      <c r="I256" s="1047"/>
      <c r="J256" s="430">
        <f>SUMIF(I15:I236,"sb(spl)",J15:J236)</f>
        <v>388.8</v>
      </c>
      <c r="K256" s="21"/>
      <c r="L256" s="18"/>
    </row>
    <row r="257" spans="1:12" ht="16.5" customHeight="1" x14ac:dyDescent="0.2">
      <c r="A257" s="1046" t="s">
        <v>152</v>
      </c>
      <c r="B257" s="1046"/>
      <c r="C257" s="1046"/>
      <c r="D257" s="1046"/>
      <c r="E257" s="1046"/>
      <c r="F257" s="1046"/>
      <c r="G257" s="1046"/>
      <c r="H257" s="1047"/>
      <c r="I257" s="1047"/>
      <c r="J257" s="430">
        <f>SUMIF(I16:I236,"sb(vbl)",J16:J236)</f>
        <v>1</v>
      </c>
      <c r="K257" s="21"/>
      <c r="L257" s="18"/>
    </row>
    <row r="258" spans="1:12" ht="17.25" customHeight="1" x14ac:dyDescent="0.2">
      <c r="A258" s="1057" t="s">
        <v>23</v>
      </c>
      <c r="B258" s="1058"/>
      <c r="C258" s="1058"/>
      <c r="D258" s="1058"/>
      <c r="E258" s="1058"/>
      <c r="F258" s="1058"/>
      <c r="G258" s="1058"/>
      <c r="H258" s="1058"/>
      <c r="I258" s="1058"/>
      <c r="J258" s="431">
        <f>SUM(J259:J260)</f>
        <v>94</v>
      </c>
      <c r="K258" s="57"/>
      <c r="L258" s="18"/>
    </row>
    <row r="259" spans="1:12" ht="15" customHeight="1" x14ac:dyDescent="0.2">
      <c r="A259" s="1059" t="s">
        <v>73</v>
      </c>
      <c r="B259" s="1060"/>
      <c r="C259" s="1060"/>
      <c r="D259" s="1060"/>
      <c r="E259" s="1060"/>
      <c r="F259" s="1060"/>
      <c r="G259" s="1060"/>
      <c r="H259" s="1060"/>
      <c r="I259" s="1060"/>
      <c r="J259" s="714">
        <f>SUMIF(I15:I236,"lrvb",J15:J236)</f>
        <v>94</v>
      </c>
      <c r="K259" s="21"/>
      <c r="L259" s="18"/>
    </row>
    <row r="260" spans="1:12" ht="15" customHeight="1" x14ac:dyDescent="0.2">
      <c r="A260" s="1055" t="s">
        <v>226</v>
      </c>
      <c r="B260" s="1056"/>
      <c r="C260" s="1056"/>
      <c r="D260" s="1056"/>
      <c r="E260" s="1056"/>
      <c r="F260" s="1056"/>
      <c r="G260" s="1056"/>
      <c r="H260" s="1056"/>
      <c r="I260" s="1061"/>
      <c r="J260" s="715">
        <f>SUMIF(I17:I239,"kt",J17:J239)</f>
        <v>0</v>
      </c>
      <c r="K260" s="21"/>
      <c r="L260" s="18"/>
    </row>
    <row r="261" spans="1:12" ht="16.5" customHeight="1" thickBot="1" x14ac:dyDescent="0.25">
      <c r="A261" s="1005" t="s">
        <v>24</v>
      </c>
      <c r="B261" s="991"/>
      <c r="C261" s="991"/>
      <c r="D261" s="991"/>
      <c r="E261" s="991"/>
      <c r="F261" s="991"/>
      <c r="G261" s="991"/>
      <c r="H261" s="991"/>
      <c r="I261" s="991"/>
      <c r="J261" s="427">
        <f>J258+J246</f>
        <v>124047.90299999999</v>
      </c>
      <c r="K261" s="57"/>
    </row>
    <row r="262" spans="1:12" ht="22.5" customHeight="1" x14ac:dyDescent="0.2">
      <c r="A262" s="1041" t="s">
        <v>119</v>
      </c>
      <c r="B262" s="1041"/>
      <c r="C262" s="1041"/>
      <c r="D262" s="1041"/>
      <c r="E262" s="1041"/>
      <c r="F262" s="1041"/>
      <c r="G262" s="1041"/>
      <c r="H262" s="1041"/>
      <c r="I262" s="1041"/>
      <c r="J262" s="1041"/>
      <c r="K262" s="1041"/>
      <c r="L262" s="1041"/>
    </row>
    <row r="263" spans="1:12" x14ac:dyDescent="0.2">
      <c r="F263" s="20"/>
      <c r="G263" s="415"/>
      <c r="H263" s="747"/>
      <c r="I263" s="87"/>
      <c r="J263" s="692">
        <f>+J261-J242</f>
        <v>0</v>
      </c>
      <c r="K263" s="17"/>
    </row>
    <row r="264" spans="1:12" x14ac:dyDescent="0.2">
      <c r="F264" s="20"/>
      <c r="G264" s="415"/>
      <c r="H264" s="747"/>
      <c r="I264" s="61"/>
      <c r="J264" s="80"/>
      <c r="K264" s="98"/>
    </row>
    <row r="265" spans="1:12" x14ac:dyDescent="0.2">
      <c r="F265" s="20"/>
      <c r="G265" s="415"/>
      <c r="H265" s="747"/>
      <c r="I265" s="747"/>
      <c r="J265" s="78"/>
    </row>
    <row r="266" spans="1:12" x14ac:dyDescent="0.2">
      <c r="F266" s="20"/>
      <c r="G266" s="415"/>
      <c r="H266" s="747"/>
      <c r="I266" s="747"/>
      <c r="J266" s="78"/>
      <c r="L266" s="20"/>
    </row>
    <row r="267" spans="1:12" x14ac:dyDescent="0.2">
      <c r="F267" s="20"/>
      <c r="G267" s="415"/>
      <c r="H267" s="747"/>
      <c r="I267" s="747"/>
      <c r="J267" s="78"/>
      <c r="L267" s="20"/>
    </row>
    <row r="268" spans="1:12" x14ac:dyDescent="0.2">
      <c r="F268" s="20"/>
      <c r="G268" s="415"/>
      <c r="H268" s="747"/>
      <c r="I268" s="747"/>
      <c r="J268" s="78"/>
      <c r="L268" s="20"/>
    </row>
    <row r="269" spans="1:12" x14ac:dyDescent="0.2">
      <c r="F269" s="20"/>
      <c r="G269" s="415"/>
      <c r="H269" s="747"/>
      <c r="I269" s="747"/>
      <c r="J269" s="78"/>
      <c r="L269" s="20"/>
    </row>
    <row r="270" spans="1:12" x14ac:dyDescent="0.2">
      <c r="F270" s="20"/>
      <c r="G270" s="415"/>
      <c r="H270" s="747"/>
      <c r="I270" s="747"/>
      <c r="J270" s="78"/>
      <c r="L270" s="20"/>
    </row>
    <row r="271" spans="1:12" x14ac:dyDescent="0.2">
      <c r="A271" s="416"/>
      <c r="B271" s="416"/>
      <c r="C271" s="416"/>
      <c r="D271" s="39"/>
      <c r="E271" s="39"/>
      <c r="F271" s="20"/>
      <c r="G271" s="415"/>
      <c r="H271" s="747"/>
      <c r="I271" s="747"/>
      <c r="J271" s="78"/>
      <c r="K271" s="20"/>
      <c r="L271" s="20"/>
    </row>
    <row r="272" spans="1:12" x14ac:dyDescent="0.2">
      <c r="A272" s="416"/>
      <c r="B272" s="416"/>
      <c r="C272" s="416"/>
      <c r="D272" s="39"/>
      <c r="E272" s="39"/>
      <c r="F272" s="20"/>
      <c r="G272" s="415"/>
      <c r="H272" s="747"/>
      <c r="I272" s="747"/>
      <c r="J272" s="78"/>
      <c r="K272" s="20"/>
      <c r="L272" s="20"/>
    </row>
    <row r="273" spans="1:12" x14ac:dyDescent="0.2">
      <c r="A273" s="416"/>
      <c r="B273" s="416"/>
      <c r="C273" s="416"/>
      <c r="D273" s="39"/>
      <c r="E273" s="39"/>
      <c r="F273" s="20"/>
      <c r="G273" s="415"/>
      <c r="H273" s="747"/>
      <c r="I273" s="747"/>
      <c r="J273" s="78"/>
      <c r="K273" s="20"/>
      <c r="L273" s="20"/>
    </row>
    <row r="274" spans="1:12" x14ac:dyDescent="0.2">
      <c r="A274" s="416"/>
      <c r="B274" s="416"/>
      <c r="C274" s="416"/>
      <c r="D274" s="39"/>
      <c r="E274" s="39"/>
      <c r="F274" s="20"/>
      <c r="G274" s="415"/>
      <c r="H274" s="747"/>
      <c r="I274" s="747"/>
      <c r="J274" s="78"/>
      <c r="K274" s="20"/>
      <c r="L274" s="20"/>
    </row>
    <row r="275" spans="1:12" x14ac:dyDescent="0.2">
      <c r="A275" s="416"/>
      <c r="B275" s="416"/>
      <c r="C275" s="416"/>
      <c r="D275" s="39"/>
      <c r="E275" s="39"/>
      <c r="F275" s="20"/>
      <c r="G275" s="415"/>
      <c r="H275" s="747"/>
      <c r="I275" s="747"/>
      <c r="J275" s="78"/>
      <c r="K275" s="20"/>
      <c r="L275" s="20"/>
    </row>
    <row r="276" spans="1:12" x14ac:dyDescent="0.2">
      <c r="A276" s="416"/>
      <c r="B276" s="416"/>
      <c r="C276" s="416"/>
      <c r="D276" s="39"/>
      <c r="E276" s="39"/>
      <c r="F276" s="20"/>
      <c r="G276" s="415"/>
      <c r="H276" s="747"/>
      <c r="I276" s="747"/>
      <c r="J276" s="78"/>
      <c r="K276" s="20"/>
      <c r="L276" s="20"/>
    </row>
    <row r="277" spans="1:12" x14ac:dyDescent="0.2">
      <c r="A277" s="416"/>
      <c r="B277" s="416"/>
      <c r="C277" s="416"/>
      <c r="D277" s="39"/>
      <c r="E277" s="39"/>
      <c r="F277" s="20"/>
      <c r="G277" s="415"/>
      <c r="H277" s="747"/>
      <c r="I277" s="747"/>
      <c r="J277" s="78"/>
      <c r="K277" s="20"/>
      <c r="L277" s="20"/>
    </row>
    <row r="278" spans="1:12" x14ac:dyDescent="0.2">
      <c r="A278" s="416"/>
      <c r="B278" s="416"/>
      <c r="C278" s="416"/>
      <c r="D278" s="39"/>
      <c r="E278" s="39"/>
      <c r="F278" s="20"/>
      <c r="G278" s="415"/>
      <c r="H278" s="747"/>
      <c r="I278" s="747"/>
      <c r="J278" s="78"/>
      <c r="K278" s="20"/>
      <c r="L278" s="20"/>
    </row>
    <row r="279" spans="1:12" x14ac:dyDescent="0.2">
      <c r="A279" s="416"/>
      <c r="B279" s="416"/>
      <c r="C279" s="416"/>
      <c r="D279" s="39"/>
      <c r="E279" s="39"/>
      <c r="F279" s="20"/>
      <c r="G279" s="415"/>
      <c r="H279" s="747"/>
      <c r="I279" s="747"/>
      <c r="J279" s="78"/>
      <c r="K279" s="20"/>
      <c r="L279" s="20"/>
    </row>
    <row r="280" spans="1:12" x14ac:dyDescent="0.2">
      <c r="A280" s="416"/>
      <c r="B280" s="416"/>
      <c r="C280" s="416"/>
      <c r="D280" s="39"/>
      <c r="E280" s="39"/>
      <c r="F280" s="20"/>
      <c r="G280" s="415"/>
      <c r="H280" s="747"/>
      <c r="I280" s="747"/>
      <c r="J280" s="78"/>
      <c r="K280" s="20"/>
      <c r="L280" s="20"/>
    </row>
    <row r="281" spans="1:12" x14ac:dyDescent="0.2">
      <c r="A281" s="416"/>
      <c r="B281" s="416"/>
      <c r="C281" s="416"/>
      <c r="D281" s="39"/>
      <c r="E281" s="39"/>
      <c r="F281" s="20"/>
      <c r="G281" s="415"/>
      <c r="H281" s="747"/>
      <c r="I281" s="747"/>
      <c r="J281" s="78"/>
      <c r="K281" s="20"/>
      <c r="L281" s="20"/>
    </row>
    <row r="282" spans="1:12" x14ac:dyDescent="0.2">
      <c r="A282" s="416"/>
      <c r="B282" s="416"/>
      <c r="C282" s="416"/>
      <c r="D282" s="39"/>
      <c r="E282" s="39"/>
      <c r="F282" s="20"/>
      <c r="G282" s="415"/>
      <c r="H282" s="747"/>
      <c r="I282" s="747"/>
      <c r="J282" s="78"/>
      <c r="K282" s="20"/>
      <c r="L282" s="20"/>
    </row>
    <row r="283" spans="1:12" x14ac:dyDescent="0.2">
      <c r="A283" s="416"/>
      <c r="B283" s="416"/>
      <c r="C283" s="416"/>
      <c r="D283" s="39"/>
      <c r="E283" s="39"/>
      <c r="F283" s="20"/>
      <c r="G283" s="415"/>
      <c r="H283" s="747"/>
      <c r="I283" s="747"/>
      <c r="J283" s="78"/>
      <c r="K283" s="20"/>
      <c r="L283" s="20"/>
    </row>
  </sheetData>
  <mergeCells count="206">
    <mergeCell ref="F188:F189"/>
    <mergeCell ref="D192:D193"/>
    <mergeCell ref="H235:H236"/>
    <mergeCell ref="H199:H200"/>
    <mergeCell ref="H167:H169"/>
    <mergeCell ref="D179:D180"/>
    <mergeCell ref="E179:E180"/>
    <mergeCell ref="M166:Q167"/>
    <mergeCell ref="C181:I181"/>
    <mergeCell ref="C196:L196"/>
    <mergeCell ref="C182:L182"/>
    <mergeCell ref="K230:K233"/>
    <mergeCell ref="F226:F227"/>
    <mergeCell ref="E199:E202"/>
    <mergeCell ref="H230:H232"/>
    <mergeCell ref="F186:F187"/>
    <mergeCell ref="H192:H194"/>
    <mergeCell ref="G192:G193"/>
    <mergeCell ref="H188:H189"/>
    <mergeCell ref="K220:K221"/>
    <mergeCell ref="G228:G229"/>
    <mergeCell ref="F171:F172"/>
    <mergeCell ref="F213:F214"/>
    <mergeCell ref="F218:F219"/>
    <mergeCell ref="H197:H198"/>
    <mergeCell ref="F167:F169"/>
    <mergeCell ref="G213:G214"/>
    <mergeCell ref="E218:E219"/>
    <mergeCell ref="D218:D219"/>
    <mergeCell ref="F165:F166"/>
    <mergeCell ref="G172:I172"/>
    <mergeCell ref="C124:C127"/>
    <mergeCell ref="A243:L243"/>
    <mergeCell ref="B241:I241"/>
    <mergeCell ref="B242:I242"/>
    <mergeCell ref="E192:E193"/>
    <mergeCell ref="H237:H239"/>
    <mergeCell ref="A220:A221"/>
    <mergeCell ref="B220:B221"/>
    <mergeCell ref="H226:H229"/>
    <mergeCell ref="H222:H223"/>
    <mergeCell ref="F222:F223"/>
    <mergeCell ref="F197:F198"/>
    <mergeCell ref="F199:F202"/>
    <mergeCell ref="C195:I195"/>
    <mergeCell ref="G220:G221"/>
    <mergeCell ref="F220:F221"/>
    <mergeCell ref="F228:F233"/>
    <mergeCell ref="K208:K209"/>
    <mergeCell ref="C240:I240"/>
    <mergeCell ref="G222:G224"/>
    <mergeCell ref="K237:K239"/>
    <mergeCell ref="D199:D202"/>
    <mergeCell ref="H220:H221"/>
    <mergeCell ref="F192:F193"/>
    <mergeCell ref="K7:L7"/>
    <mergeCell ref="K8:L8"/>
    <mergeCell ref="G8:G10"/>
    <mergeCell ref="I8:I10"/>
    <mergeCell ref="L65:L66"/>
    <mergeCell ref="F8:F10"/>
    <mergeCell ref="F34:F37"/>
    <mergeCell ref="H8:H10"/>
    <mergeCell ref="F16:F20"/>
    <mergeCell ref="F65:F66"/>
    <mergeCell ref="F27:F30"/>
    <mergeCell ref="F59:F61"/>
    <mergeCell ref="F24:F26"/>
    <mergeCell ref="H15:H17"/>
    <mergeCell ref="H20:H23"/>
    <mergeCell ref="B13:L13"/>
    <mergeCell ref="C14:L14"/>
    <mergeCell ref="K28:K29"/>
    <mergeCell ref="L28:L29"/>
    <mergeCell ref="C8:C10"/>
    <mergeCell ref="K44:K46"/>
    <mergeCell ref="K59:K60"/>
    <mergeCell ref="K21:K22"/>
    <mergeCell ref="L21:L22"/>
    <mergeCell ref="A244:J244"/>
    <mergeCell ref="F67:F70"/>
    <mergeCell ref="H114:H115"/>
    <mergeCell ref="F102:F103"/>
    <mergeCell ref="E8:E10"/>
    <mergeCell ref="H112:H113"/>
    <mergeCell ref="A124:A127"/>
    <mergeCell ref="F184:F185"/>
    <mergeCell ref="A11:L11"/>
    <mergeCell ref="A12:L12"/>
    <mergeCell ref="F75:F77"/>
    <mergeCell ref="K65:K66"/>
    <mergeCell ref="F54:F56"/>
    <mergeCell ref="K116:K117"/>
    <mergeCell ref="K130:K131"/>
    <mergeCell ref="A8:A10"/>
    <mergeCell ref="B8:B10"/>
    <mergeCell ref="F38:F43"/>
    <mergeCell ref="G92:G93"/>
    <mergeCell ref="C120:I120"/>
    <mergeCell ref="B121:I121"/>
    <mergeCell ref="B122:L122"/>
    <mergeCell ref="C123:L123"/>
    <mergeCell ref="H118:H119"/>
    <mergeCell ref="A262:L262"/>
    <mergeCell ref="A252:I252"/>
    <mergeCell ref="A253:I253"/>
    <mergeCell ref="A254:I254"/>
    <mergeCell ref="A255:I255"/>
    <mergeCell ref="A256:I256"/>
    <mergeCell ref="A245:I245"/>
    <mergeCell ref="A246:I246"/>
    <mergeCell ref="A247:I247"/>
    <mergeCell ref="A248:I248"/>
    <mergeCell ref="A250:I250"/>
    <mergeCell ref="A257:I257"/>
    <mergeCell ref="A258:I258"/>
    <mergeCell ref="A259:I259"/>
    <mergeCell ref="A251:I251"/>
    <mergeCell ref="A260:I260"/>
    <mergeCell ref="A249:I249"/>
    <mergeCell ref="A261:I261"/>
    <mergeCell ref="D8:D10"/>
    <mergeCell ref="K106:K107"/>
    <mergeCell ref="H1:L1"/>
    <mergeCell ref="H165:H166"/>
    <mergeCell ref="H158:H161"/>
    <mergeCell ref="F156:F157"/>
    <mergeCell ref="F112:F113"/>
    <mergeCell ref="K114:K115"/>
    <mergeCell ref="F114:F115"/>
    <mergeCell ref="K144:K145"/>
    <mergeCell ref="K146:K147"/>
    <mergeCell ref="J8:J10"/>
    <mergeCell ref="F124:F127"/>
    <mergeCell ref="G124:G127"/>
    <mergeCell ref="A6:L6"/>
    <mergeCell ref="K109:K111"/>
    <mergeCell ref="F92:F93"/>
    <mergeCell ref="F108:F111"/>
    <mergeCell ref="A4:L4"/>
    <mergeCell ref="A5:L5"/>
    <mergeCell ref="H2:K2"/>
    <mergeCell ref="K9:K10"/>
    <mergeCell ref="B124:B127"/>
    <mergeCell ref="H137:H139"/>
    <mergeCell ref="F71:F73"/>
    <mergeCell ref="F100:F101"/>
    <mergeCell ref="F85:F86"/>
    <mergeCell ref="F90:F91"/>
    <mergeCell ref="F116:F117"/>
    <mergeCell ref="H100:H101"/>
    <mergeCell ref="K125:K126"/>
    <mergeCell ref="G100:G101"/>
    <mergeCell ref="F78:F81"/>
    <mergeCell ref="G103:I103"/>
    <mergeCell ref="H89:H91"/>
    <mergeCell ref="H116:H117"/>
    <mergeCell ref="K85:K86"/>
    <mergeCell ref="H104:H105"/>
    <mergeCell ref="H125:H126"/>
    <mergeCell ref="H144:H146"/>
    <mergeCell ref="H156:H157"/>
    <mergeCell ref="F158:F161"/>
    <mergeCell ref="F118:F119"/>
    <mergeCell ref="H149:H150"/>
    <mergeCell ref="H203:H219"/>
    <mergeCell ref="K200:K201"/>
    <mergeCell ref="F106:F107"/>
    <mergeCell ref="G106:G107"/>
    <mergeCell ref="H163:H164"/>
    <mergeCell ref="F163:F164"/>
    <mergeCell ref="K163:K164"/>
    <mergeCell ref="H174:H179"/>
    <mergeCell ref="F179:F180"/>
    <mergeCell ref="G180:I180"/>
    <mergeCell ref="F174:F175"/>
    <mergeCell ref="F144:F148"/>
    <mergeCell ref="F130:F132"/>
    <mergeCell ref="H140:H141"/>
    <mergeCell ref="H133:H136"/>
    <mergeCell ref="H128:H129"/>
    <mergeCell ref="F133:F135"/>
    <mergeCell ref="F140:F143"/>
    <mergeCell ref="F137:F139"/>
    <mergeCell ref="E149:E150"/>
    <mergeCell ref="F149:F150"/>
    <mergeCell ref="I149:I150"/>
    <mergeCell ref="J149:J150"/>
    <mergeCell ref="F151:F153"/>
    <mergeCell ref="E154:E155"/>
    <mergeCell ref="F154:F155"/>
    <mergeCell ref="K154:K155"/>
    <mergeCell ref="E152:E153"/>
    <mergeCell ref="H152:H153"/>
    <mergeCell ref="K151:K153"/>
    <mergeCell ref="K30:K32"/>
    <mergeCell ref="L31:L32"/>
    <mergeCell ref="K34:K36"/>
    <mergeCell ref="L34:L36"/>
    <mergeCell ref="I95:I96"/>
    <mergeCell ref="J95:J96"/>
    <mergeCell ref="L200:L201"/>
    <mergeCell ref="L152:L153"/>
    <mergeCell ref="L59:L60"/>
    <mergeCell ref="K69:K70"/>
    <mergeCell ref="K137:K139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5" fitToHeight="0" orientation="portrait" r:id="rId1"/>
  <rowBreaks count="7" manualBreakCount="7">
    <brk id="43" max="11" man="1"/>
    <brk id="77" max="11" man="1"/>
    <brk id="103" max="11" man="1"/>
    <brk id="143" max="11" man="1"/>
    <brk id="182" max="11" man="1"/>
    <brk id="215" max="11" man="1"/>
    <brk id="24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5"/>
  <sheetViews>
    <sheetView zoomScaleNormal="100" workbookViewId="0"/>
  </sheetViews>
  <sheetFormatPr defaultColWidth="9.28515625" defaultRowHeight="12.75" x14ac:dyDescent="0.2"/>
  <cols>
    <col min="1" max="3" width="3.28515625" style="276" customWidth="1"/>
    <col min="4" max="4" width="31.42578125" style="79" customWidth="1"/>
    <col min="5" max="5" width="2.7109375" style="277" customWidth="1"/>
    <col min="6" max="6" width="8" style="18" customWidth="1"/>
    <col min="7" max="9" width="8.7109375" style="417" customWidth="1"/>
    <col min="10" max="10" width="23" style="79" customWidth="1"/>
    <col min="11" max="13" width="6.42578125" style="499" customWidth="1"/>
    <col min="14" max="16384" width="9.28515625" style="20"/>
  </cols>
  <sheetData>
    <row r="1" spans="1:13" ht="34.15" customHeight="1" x14ac:dyDescent="0.2">
      <c r="A1" s="276" t="s">
        <v>172</v>
      </c>
      <c r="F1" s="20"/>
      <c r="G1" s="518"/>
      <c r="H1" s="518"/>
      <c r="I1" s="1009" t="s">
        <v>269</v>
      </c>
      <c r="J1" s="1009"/>
      <c r="K1" s="1009"/>
      <c r="L1" s="1009"/>
      <c r="M1" s="1009"/>
    </row>
    <row r="2" spans="1:13" ht="33" customHeight="1" x14ac:dyDescent="0.2">
      <c r="F2" s="20"/>
      <c r="G2" s="518"/>
      <c r="H2" s="518"/>
      <c r="I2" s="519" t="s">
        <v>270</v>
      </c>
      <c r="J2" s="519"/>
      <c r="K2" s="519"/>
      <c r="L2" s="519"/>
      <c r="M2" s="519"/>
    </row>
    <row r="3" spans="1:13" s="19" customFormat="1" ht="15.75" x14ac:dyDescent="0.2">
      <c r="A3" s="1020" t="s">
        <v>268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</row>
    <row r="4" spans="1:13" s="19" customFormat="1" ht="19.5" customHeight="1" x14ac:dyDescent="0.2">
      <c r="A4" s="1021" t="s">
        <v>25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</row>
    <row r="5" spans="1:13" s="19" customFormat="1" ht="19.5" customHeight="1" x14ac:dyDescent="0.2">
      <c r="A5" s="1019" t="s">
        <v>41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</row>
    <row r="6" spans="1:13" ht="18.75" customHeight="1" thickBot="1" x14ac:dyDescent="0.25">
      <c r="A6" s="39"/>
      <c r="B6" s="39"/>
      <c r="D6" s="495"/>
      <c r="E6" s="278"/>
      <c r="F6" s="23"/>
      <c r="G6" s="495"/>
      <c r="H6" s="495"/>
      <c r="I6" s="495"/>
      <c r="J6" s="1092" t="s">
        <v>54</v>
      </c>
      <c r="K6" s="1092"/>
      <c r="L6" s="1092"/>
      <c r="M6" s="1092"/>
    </row>
    <row r="7" spans="1:13" ht="21" customHeight="1" x14ac:dyDescent="0.2">
      <c r="A7" s="1082" t="s">
        <v>7</v>
      </c>
      <c r="B7" s="1085" t="s">
        <v>8</v>
      </c>
      <c r="C7" s="1006" t="s">
        <v>9</v>
      </c>
      <c r="D7" s="1102" t="s">
        <v>75</v>
      </c>
      <c r="E7" s="1095" t="s">
        <v>10</v>
      </c>
      <c r="F7" s="1105" t="s">
        <v>11</v>
      </c>
      <c r="G7" s="1166" t="s">
        <v>196</v>
      </c>
      <c r="H7" s="1166" t="s">
        <v>197</v>
      </c>
      <c r="I7" s="1166" t="s">
        <v>198</v>
      </c>
      <c r="J7" s="1093" t="s">
        <v>76</v>
      </c>
      <c r="K7" s="1169"/>
      <c r="L7" s="1169"/>
      <c r="M7" s="1094"/>
    </row>
    <row r="8" spans="1:13" ht="15.75" customHeight="1" x14ac:dyDescent="0.2">
      <c r="A8" s="1083"/>
      <c r="B8" s="1086"/>
      <c r="C8" s="1007"/>
      <c r="D8" s="1103"/>
      <c r="E8" s="1096"/>
      <c r="F8" s="1106"/>
      <c r="G8" s="1167"/>
      <c r="H8" s="1167"/>
      <c r="I8" s="1167"/>
      <c r="J8" s="1170" t="s">
        <v>21</v>
      </c>
      <c r="K8" s="1172" t="s">
        <v>271</v>
      </c>
      <c r="L8" s="1172"/>
      <c r="M8" s="1173"/>
    </row>
    <row r="9" spans="1:13" ht="87.75" customHeight="1" thickBot="1" x14ac:dyDescent="0.25">
      <c r="A9" s="1084"/>
      <c r="B9" s="1087"/>
      <c r="C9" s="1008"/>
      <c r="D9" s="1104"/>
      <c r="E9" s="1097"/>
      <c r="F9" s="1107"/>
      <c r="G9" s="1168"/>
      <c r="H9" s="1168"/>
      <c r="I9" s="1168"/>
      <c r="J9" s="1171"/>
      <c r="K9" s="115" t="s">
        <v>282</v>
      </c>
      <c r="L9" s="116" t="s">
        <v>283</v>
      </c>
      <c r="M9" s="101" t="s">
        <v>284</v>
      </c>
    </row>
    <row r="10" spans="1:13" ht="17.45" customHeight="1" x14ac:dyDescent="0.2">
      <c r="A10" s="1075" t="s">
        <v>47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7"/>
    </row>
    <row r="11" spans="1:13" ht="15.75" customHeight="1" x14ac:dyDescent="0.2">
      <c r="A11" s="1078" t="s">
        <v>26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80"/>
    </row>
    <row r="12" spans="1:13" ht="15.75" customHeight="1" x14ac:dyDescent="0.2">
      <c r="A12" s="279" t="s">
        <v>12</v>
      </c>
      <c r="B12" s="1110" t="s">
        <v>30</v>
      </c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2"/>
    </row>
    <row r="13" spans="1:13" ht="15.75" customHeight="1" thickBot="1" x14ac:dyDescent="0.25">
      <c r="A13" s="280" t="s">
        <v>12</v>
      </c>
      <c r="B13" s="281" t="s">
        <v>12</v>
      </c>
      <c r="C13" s="1113" t="s">
        <v>51</v>
      </c>
      <c r="D13" s="1114"/>
      <c r="E13" s="1114"/>
      <c r="F13" s="1165"/>
      <c r="G13" s="1165"/>
      <c r="H13" s="1165"/>
      <c r="I13" s="1165"/>
      <c r="J13" s="1114"/>
      <c r="K13" s="1114"/>
      <c r="L13" s="1114"/>
      <c r="M13" s="1115"/>
    </row>
    <row r="14" spans="1:13" ht="16.149999999999999" customHeight="1" x14ac:dyDescent="0.2">
      <c r="A14" s="282" t="s">
        <v>12</v>
      </c>
      <c r="B14" s="283" t="s">
        <v>12</v>
      </c>
      <c r="C14" s="284" t="s">
        <v>12</v>
      </c>
      <c r="D14" s="1161" t="s">
        <v>38</v>
      </c>
      <c r="E14" s="285"/>
      <c r="F14" s="215" t="s">
        <v>46</v>
      </c>
      <c r="G14" s="547">
        <v>388.8</v>
      </c>
      <c r="H14" s="144"/>
      <c r="I14" s="546"/>
      <c r="J14" s="315"/>
      <c r="K14" s="6"/>
      <c r="L14" s="496"/>
      <c r="M14" s="192"/>
    </row>
    <row r="15" spans="1:13" ht="16.149999999999999" customHeight="1" x14ac:dyDescent="0.2">
      <c r="A15" s="279"/>
      <c r="B15" s="289"/>
      <c r="C15" s="294"/>
      <c r="D15" s="1162"/>
      <c r="E15" s="545"/>
      <c r="F15" s="8" t="s">
        <v>13</v>
      </c>
      <c r="G15" s="418">
        <v>40284.6</v>
      </c>
      <c r="H15" s="140">
        <v>42145.5</v>
      </c>
      <c r="I15" s="446">
        <v>43468.6</v>
      </c>
      <c r="J15" s="17"/>
      <c r="K15" s="111"/>
      <c r="L15" s="124"/>
      <c r="M15" s="103"/>
    </row>
    <row r="16" spans="1:13" ht="16.149999999999999" customHeight="1" x14ac:dyDescent="0.2">
      <c r="A16" s="279"/>
      <c r="B16" s="289"/>
      <c r="C16" s="294"/>
      <c r="D16" s="544"/>
      <c r="E16" s="545"/>
      <c r="F16" s="8" t="s">
        <v>16</v>
      </c>
      <c r="G16" s="418">
        <v>54184.9</v>
      </c>
      <c r="H16" s="140">
        <v>53492.800000000003</v>
      </c>
      <c r="I16" s="446">
        <v>53503.8</v>
      </c>
      <c r="J16" s="17"/>
      <c r="K16" s="111"/>
      <c r="L16" s="124"/>
      <c r="M16" s="103"/>
    </row>
    <row r="17" spans="1:14" ht="16.149999999999999" customHeight="1" x14ac:dyDescent="0.2">
      <c r="A17" s="279"/>
      <c r="B17" s="289"/>
      <c r="C17" s="294"/>
      <c r="D17" s="544"/>
      <c r="E17" s="545"/>
      <c r="F17" s="8" t="s">
        <v>37</v>
      </c>
      <c r="G17" s="418">
        <v>5239.8999999999996</v>
      </c>
      <c r="H17" s="140">
        <v>6559</v>
      </c>
      <c r="I17" s="446">
        <v>6580.5</v>
      </c>
      <c r="J17" s="17"/>
      <c r="K17" s="111"/>
      <c r="L17" s="124"/>
      <c r="M17" s="103"/>
    </row>
    <row r="18" spans="1:14" ht="16.149999999999999" customHeight="1" x14ac:dyDescent="0.2">
      <c r="A18" s="279"/>
      <c r="B18" s="289"/>
      <c r="C18" s="294"/>
      <c r="D18" s="544"/>
      <c r="E18" s="545"/>
      <c r="F18" s="8" t="s">
        <v>70</v>
      </c>
      <c r="G18" s="418">
        <v>10.4</v>
      </c>
      <c r="H18" s="140"/>
      <c r="I18" s="446"/>
      <c r="J18" s="17"/>
      <c r="K18" s="111"/>
      <c r="L18" s="124"/>
      <c r="M18" s="103"/>
    </row>
    <row r="19" spans="1:14" ht="16.149999999999999" customHeight="1" x14ac:dyDescent="0.2">
      <c r="A19" s="279"/>
      <c r="B19" s="289"/>
      <c r="C19" s="294"/>
      <c r="D19" s="544"/>
      <c r="E19" s="545"/>
      <c r="F19" s="8" t="s">
        <v>72</v>
      </c>
      <c r="G19" s="418">
        <v>76.8</v>
      </c>
      <c r="H19" s="140"/>
      <c r="I19" s="446"/>
      <c r="J19" s="17"/>
      <c r="K19" s="111"/>
      <c r="L19" s="124"/>
      <c r="M19" s="103"/>
    </row>
    <row r="20" spans="1:14" ht="16.149999999999999" customHeight="1" x14ac:dyDescent="0.2">
      <c r="A20" s="279"/>
      <c r="B20" s="289"/>
      <c r="C20" s="294"/>
      <c r="D20" s="544"/>
      <c r="E20" s="545"/>
      <c r="F20" s="109" t="s">
        <v>148</v>
      </c>
      <c r="G20" s="10">
        <v>515.70000000000005</v>
      </c>
      <c r="H20" s="145"/>
      <c r="I20" s="139"/>
      <c r="J20" s="17"/>
      <c r="K20" s="111"/>
      <c r="L20" s="124"/>
      <c r="M20" s="103"/>
    </row>
    <row r="21" spans="1:14" ht="14.25" customHeight="1" x14ac:dyDescent="0.2">
      <c r="A21" s="279"/>
      <c r="B21" s="286"/>
      <c r="C21" s="287"/>
      <c r="D21" s="967" t="s">
        <v>92</v>
      </c>
      <c r="E21" s="288" t="s">
        <v>163</v>
      </c>
      <c r="F21" s="556" t="s">
        <v>150</v>
      </c>
      <c r="G21" s="561">
        <v>19856.900000000001</v>
      </c>
      <c r="H21" s="548">
        <v>21024.799999999999</v>
      </c>
      <c r="I21" s="549">
        <v>22252.6</v>
      </c>
      <c r="J21" s="291" t="s">
        <v>79</v>
      </c>
      <c r="K21" s="8">
        <v>47</v>
      </c>
      <c r="L21" s="121">
        <v>47</v>
      </c>
      <c r="M21" s="122">
        <v>47</v>
      </c>
      <c r="N21" s="17"/>
    </row>
    <row r="22" spans="1:14" ht="14.25" customHeight="1" x14ac:dyDescent="0.2">
      <c r="A22" s="279"/>
      <c r="B22" s="286"/>
      <c r="C22" s="287"/>
      <c r="D22" s="968"/>
      <c r="E22" s="219"/>
      <c r="F22" s="556" t="s">
        <v>272</v>
      </c>
      <c r="G22" s="559">
        <v>12432.9</v>
      </c>
      <c r="H22" s="548">
        <f>+G22</f>
        <v>12432.9</v>
      </c>
      <c r="I22" s="549">
        <f>+H22</f>
        <v>12432.9</v>
      </c>
      <c r="J22" s="50" t="s">
        <v>80</v>
      </c>
      <c r="K22" s="109">
        <v>8068</v>
      </c>
      <c r="L22" s="119">
        <v>8098</v>
      </c>
      <c r="M22" s="113">
        <v>8100</v>
      </c>
      <c r="N22" s="17"/>
    </row>
    <row r="23" spans="1:14" ht="29.65" customHeight="1" x14ac:dyDescent="0.2">
      <c r="A23" s="279"/>
      <c r="B23" s="286"/>
      <c r="C23" s="287"/>
      <c r="D23" s="968"/>
      <c r="E23" s="219"/>
      <c r="F23" s="556" t="s">
        <v>273</v>
      </c>
      <c r="G23" s="559">
        <v>3643.8</v>
      </c>
      <c r="H23" s="548">
        <f>+G23+1075.1</f>
        <v>4718.8999999999996</v>
      </c>
      <c r="I23" s="549">
        <f>+H23</f>
        <v>4718.8999999999996</v>
      </c>
      <c r="J23" s="291" t="s">
        <v>212</v>
      </c>
      <c r="K23" s="350">
        <v>8.4</v>
      </c>
      <c r="L23" s="126">
        <v>73.599999999999994</v>
      </c>
      <c r="M23" s="183">
        <v>72.599999999999994</v>
      </c>
      <c r="N23" s="17"/>
    </row>
    <row r="24" spans="1:14" ht="33" customHeight="1" x14ac:dyDescent="0.2">
      <c r="A24" s="279"/>
      <c r="B24" s="289"/>
      <c r="C24" s="287"/>
      <c r="D24" s="969"/>
      <c r="E24" s="290"/>
      <c r="F24" s="556"/>
      <c r="G24" s="559"/>
      <c r="H24" s="548"/>
      <c r="I24" s="549"/>
      <c r="J24" s="508" t="s">
        <v>213</v>
      </c>
      <c r="K24" s="449">
        <v>2.73</v>
      </c>
      <c r="L24" s="425">
        <v>22.27</v>
      </c>
      <c r="M24" s="426">
        <v>22.6</v>
      </c>
      <c r="N24" s="17"/>
    </row>
    <row r="25" spans="1:14" ht="58.9" customHeight="1" x14ac:dyDescent="0.2">
      <c r="A25" s="279"/>
      <c r="B25" s="289"/>
      <c r="C25" s="287"/>
      <c r="D25" s="487" t="s">
        <v>285</v>
      </c>
      <c r="E25" s="219"/>
      <c r="F25" s="556" t="s">
        <v>150</v>
      </c>
      <c r="G25" s="559">
        <v>2.4</v>
      </c>
      <c r="H25" s="548"/>
      <c r="I25" s="549"/>
      <c r="J25" s="291" t="s">
        <v>256</v>
      </c>
      <c r="K25" s="210">
        <v>16</v>
      </c>
      <c r="L25" s="141"/>
      <c r="M25" s="122"/>
      <c r="N25" s="17"/>
    </row>
    <row r="26" spans="1:14" ht="15.75" customHeight="1" x14ac:dyDescent="0.2">
      <c r="A26" s="279"/>
      <c r="B26" s="289"/>
      <c r="C26" s="287"/>
      <c r="D26" s="967" t="s">
        <v>155</v>
      </c>
      <c r="E26" s="506"/>
      <c r="F26" s="556" t="s">
        <v>272</v>
      </c>
      <c r="G26" s="559">
        <v>790.5</v>
      </c>
      <c r="H26" s="548">
        <f>+G26</f>
        <v>790.5</v>
      </c>
      <c r="I26" s="549">
        <f>+H26</f>
        <v>790.5</v>
      </c>
      <c r="J26" s="211" t="s">
        <v>79</v>
      </c>
      <c r="K26" s="111">
        <v>10</v>
      </c>
      <c r="L26" s="124">
        <v>11</v>
      </c>
      <c r="M26" s="103">
        <v>12</v>
      </c>
      <c r="N26" s="17"/>
    </row>
    <row r="27" spans="1:14" ht="14.25" customHeight="1" x14ac:dyDescent="0.2">
      <c r="A27" s="279"/>
      <c r="B27" s="286"/>
      <c r="C27" s="287"/>
      <c r="D27" s="968"/>
      <c r="E27" s="219"/>
      <c r="F27" s="556"/>
      <c r="G27" s="560"/>
      <c r="H27" s="550"/>
      <c r="I27" s="551"/>
      <c r="J27" s="50" t="s">
        <v>80</v>
      </c>
      <c r="K27" s="109">
        <v>430</v>
      </c>
      <c r="L27" s="119">
        <v>450</v>
      </c>
      <c r="M27" s="113">
        <v>470</v>
      </c>
      <c r="N27" s="17"/>
    </row>
    <row r="28" spans="1:14" ht="15" customHeight="1" thickBot="1" x14ac:dyDescent="0.25">
      <c r="A28" s="279"/>
      <c r="B28" s="289"/>
      <c r="C28" s="287"/>
      <c r="D28" s="971"/>
      <c r="E28" s="219"/>
      <c r="F28" s="556"/>
      <c r="G28" s="559"/>
      <c r="H28" s="548"/>
      <c r="I28" s="549"/>
      <c r="J28" s="51"/>
      <c r="K28" s="212"/>
      <c r="L28" s="497"/>
      <c r="M28" s="114"/>
      <c r="N28" s="17"/>
    </row>
    <row r="29" spans="1:14" ht="12.75" customHeight="1" x14ac:dyDescent="0.2">
      <c r="A29" s="292"/>
      <c r="B29" s="289"/>
      <c r="C29" s="293"/>
      <c r="D29" s="981" t="s">
        <v>53</v>
      </c>
      <c r="E29" s="219"/>
      <c r="F29" s="556" t="s">
        <v>150</v>
      </c>
      <c r="G29" s="561">
        <v>1329.2</v>
      </c>
      <c r="H29" s="552">
        <f>1360+64.6</f>
        <v>1424.6</v>
      </c>
      <c r="I29" s="553">
        <f>1362+64.6</f>
        <v>1426.6</v>
      </c>
      <c r="J29" s="218" t="s">
        <v>79</v>
      </c>
      <c r="K29" s="6">
        <v>4</v>
      </c>
      <c r="L29" s="496">
        <v>4</v>
      </c>
      <c r="M29" s="192">
        <v>4</v>
      </c>
      <c r="N29" s="17"/>
    </row>
    <row r="30" spans="1:14" ht="15.75" customHeight="1" x14ac:dyDescent="0.2">
      <c r="A30" s="292"/>
      <c r="B30" s="289"/>
      <c r="C30" s="294"/>
      <c r="D30" s="968"/>
      <c r="E30" s="219"/>
      <c r="F30" s="556" t="s">
        <v>272</v>
      </c>
      <c r="G30" s="559">
        <v>1783.6</v>
      </c>
      <c r="H30" s="548">
        <v>1800</v>
      </c>
      <c r="I30" s="549">
        <v>1800</v>
      </c>
      <c r="J30" s="50" t="s">
        <v>80</v>
      </c>
      <c r="K30" s="232">
        <v>1247</v>
      </c>
      <c r="L30" s="121">
        <v>1247</v>
      </c>
      <c r="M30" s="196">
        <v>1247</v>
      </c>
      <c r="N30" s="17"/>
    </row>
    <row r="31" spans="1:14" ht="15.75" customHeight="1" x14ac:dyDescent="0.2">
      <c r="A31" s="292"/>
      <c r="B31" s="289"/>
      <c r="C31" s="294"/>
      <c r="D31" s="968"/>
      <c r="E31" s="506"/>
      <c r="F31" s="556" t="s">
        <v>273</v>
      </c>
      <c r="G31" s="559">
        <v>353.9</v>
      </c>
      <c r="H31" s="548">
        <v>389.3</v>
      </c>
      <c r="I31" s="549">
        <v>408.8</v>
      </c>
      <c r="J31" s="50" t="s">
        <v>139</v>
      </c>
      <c r="K31" s="232">
        <v>869</v>
      </c>
      <c r="L31" s="119">
        <v>869</v>
      </c>
      <c r="M31" s="213">
        <v>869</v>
      </c>
      <c r="N31" s="17"/>
    </row>
    <row r="32" spans="1:14" ht="30" customHeight="1" x14ac:dyDescent="0.2">
      <c r="A32" s="295"/>
      <c r="B32" s="289"/>
      <c r="C32" s="294"/>
      <c r="D32" s="968"/>
      <c r="E32" s="219"/>
      <c r="F32" s="556"/>
      <c r="G32" s="559"/>
      <c r="H32" s="548"/>
      <c r="I32" s="549"/>
      <c r="J32" s="291" t="s">
        <v>212</v>
      </c>
      <c r="K32" s="210"/>
      <c r="L32" s="141">
        <v>4.4000000000000004</v>
      </c>
      <c r="M32" s="113"/>
      <c r="N32" s="17"/>
    </row>
    <row r="33" spans="1:14" ht="30" customHeight="1" x14ac:dyDescent="0.2">
      <c r="A33" s="295"/>
      <c r="B33" s="289"/>
      <c r="C33" s="294"/>
      <c r="D33" s="487"/>
      <c r="E33" s="219"/>
      <c r="F33" s="556" t="s">
        <v>272</v>
      </c>
      <c r="G33" s="559">
        <v>26.1</v>
      </c>
      <c r="H33" s="548"/>
      <c r="I33" s="549"/>
      <c r="J33" s="291" t="s">
        <v>213</v>
      </c>
      <c r="K33" s="210"/>
      <c r="L33" s="214">
        <v>1.43</v>
      </c>
      <c r="M33" s="122"/>
      <c r="N33" s="17"/>
    </row>
    <row r="34" spans="1:14" ht="16.899999999999999" customHeight="1" x14ac:dyDescent="0.2">
      <c r="A34" s="295"/>
      <c r="B34" s="289"/>
      <c r="C34" s="294"/>
      <c r="D34" s="967" t="s">
        <v>173</v>
      </c>
      <c r="E34" s="219"/>
      <c r="F34" s="556" t="s">
        <v>272</v>
      </c>
      <c r="G34" s="559">
        <v>138.80000000000001</v>
      </c>
      <c r="H34" s="548"/>
      <c r="I34" s="549"/>
      <c r="J34" s="291" t="s">
        <v>79</v>
      </c>
      <c r="K34" s="109">
        <v>1</v>
      </c>
      <c r="L34" s="119"/>
      <c r="M34" s="113"/>
      <c r="N34" s="17"/>
    </row>
    <row r="35" spans="1:14" ht="16.899999999999999" customHeight="1" thickBot="1" x14ac:dyDescent="0.25">
      <c r="A35" s="295"/>
      <c r="B35" s="289"/>
      <c r="C35" s="294"/>
      <c r="D35" s="971"/>
      <c r="E35" s="506"/>
      <c r="F35" s="556" t="s">
        <v>272</v>
      </c>
      <c r="G35" s="559">
        <v>0.4</v>
      </c>
      <c r="H35" s="548"/>
      <c r="I35" s="549"/>
      <c r="J35" s="52" t="s">
        <v>80</v>
      </c>
      <c r="K35" s="469">
        <v>77</v>
      </c>
      <c r="L35" s="120"/>
      <c r="M35" s="193"/>
      <c r="N35" s="17"/>
    </row>
    <row r="36" spans="1:14" ht="15.75" customHeight="1" x14ac:dyDescent="0.2">
      <c r="A36" s="295"/>
      <c r="B36" s="286"/>
      <c r="C36" s="294"/>
      <c r="D36" s="968" t="s">
        <v>93</v>
      </c>
      <c r="E36" s="219"/>
      <c r="F36" s="556" t="s">
        <v>150</v>
      </c>
      <c r="G36" s="562">
        <v>8941.2999999999993</v>
      </c>
      <c r="H36" s="558">
        <f>+G36</f>
        <v>8941.2999999999993</v>
      </c>
      <c r="I36" s="557">
        <f>+H36</f>
        <v>8941.2999999999993</v>
      </c>
      <c r="J36" s="218" t="s">
        <v>79</v>
      </c>
      <c r="K36" s="215">
        <v>32</v>
      </c>
      <c r="L36" s="187">
        <v>32</v>
      </c>
      <c r="M36" s="102">
        <v>32</v>
      </c>
      <c r="N36" s="17"/>
    </row>
    <row r="37" spans="1:14" ht="15.75" customHeight="1" x14ac:dyDescent="0.2">
      <c r="A37" s="295"/>
      <c r="B37" s="286"/>
      <c r="C37" s="294"/>
      <c r="D37" s="968"/>
      <c r="E37" s="219"/>
      <c r="F37" s="556" t="s">
        <v>272</v>
      </c>
      <c r="G37" s="561">
        <v>33246.1</v>
      </c>
      <c r="H37" s="552">
        <f t="shared" ref="H37:I38" si="0">+G37</f>
        <v>33246.1</v>
      </c>
      <c r="I37" s="553">
        <f t="shared" si="0"/>
        <v>33246.1</v>
      </c>
      <c r="J37" s="50" t="s">
        <v>80</v>
      </c>
      <c r="K37" s="210">
        <v>19188</v>
      </c>
      <c r="L37" s="121">
        <v>19238</v>
      </c>
      <c r="M37" s="196">
        <v>19250</v>
      </c>
      <c r="N37" s="17"/>
    </row>
    <row r="38" spans="1:14" ht="15.75" customHeight="1" x14ac:dyDescent="0.2">
      <c r="A38" s="295"/>
      <c r="B38" s="286"/>
      <c r="C38" s="294"/>
      <c r="D38" s="968"/>
      <c r="E38" s="219"/>
      <c r="F38" s="556" t="s">
        <v>272</v>
      </c>
      <c r="G38" s="561">
        <v>1302.4000000000001</v>
      </c>
      <c r="H38" s="552">
        <f t="shared" si="0"/>
        <v>1302.4000000000001</v>
      </c>
      <c r="I38" s="553">
        <f t="shared" si="0"/>
        <v>1302.4000000000001</v>
      </c>
      <c r="J38" s="317" t="s">
        <v>139</v>
      </c>
      <c r="K38" s="210">
        <v>19023</v>
      </c>
      <c r="L38" s="121">
        <v>19073</v>
      </c>
      <c r="M38" s="196">
        <v>19083</v>
      </c>
      <c r="N38" s="17"/>
    </row>
    <row r="39" spans="1:14" ht="30" customHeight="1" x14ac:dyDescent="0.2">
      <c r="A39" s="295"/>
      <c r="B39" s="286"/>
      <c r="C39" s="294"/>
      <c r="D39" s="968"/>
      <c r="E39" s="219"/>
      <c r="F39" s="556" t="s">
        <v>272</v>
      </c>
      <c r="G39" s="561">
        <v>550.6</v>
      </c>
      <c r="H39" s="552"/>
      <c r="I39" s="553"/>
      <c r="J39" s="291" t="s">
        <v>212</v>
      </c>
      <c r="K39" s="210"/>
      <c r="L39" s="141">
        <v>3.6</v>
      </c>
      <c r="M39" s="196"/>
      <c r="N39" s="17"/>
    </row>
    <row r="40" spans="1:14" ht="28.9" customHeight="1" x14ac:dyDescent="0.2">
      <c r="A40" s="295"/>
      <c r="B40" s="286"/>
      <c r="C40" s="294"/>
      <c r="D40" s="968"/>
      <c r="E40" s="219"/>
      <c r="F40" s="556" t="s">
        <v>273</v>
      </c>
      <c r="G40" s="559">
        <v>832.7</v>
      </c>
      <c r="H40" s="548">
        <v>833</v>
      </c>
      <c r="I40" s="549">
        <v>835</v>
      </c>
      <c r="J40" s="554" t="s">
        <v>213</v>
      </c>
      <c r="K40" s="453"/>
      <c r="L40" s="208">
        <v>0.1</v>
      </c>
      <c r="M40" s="196"/>
      <c r="N40" s="17"/>
    </row>
    <row r="41" spans="1:14" ht="15.6" customHeight="1" x14ac:dyDescent="0.2">
      <c r="A41" s="295"/>
      <c r="B41" s="286"/>
      <c r="C41" s="294"/>
      <c r="D41" s="967" t="s">
        <v>156</v>
      </c>
      <c r="E41" s="219"/>
      <c r="F41" s="556" t="s">
        <v>150</v>
      </c>
      <c r="G41" s="561">
        <v>13.6</v>
      </c>
      <c r="H41" s="552"/>
      <c r="I41" s="553"/>
      <c r="J41" s="50" t="s">
        <v>79</v>
      </c>
      <c r="K41" s="109">
        <v>1</v>
      </c>
      <c r="L41" s="119"/>
      <c r="M41" s="103"/>
      <c r="N41" s="17"/>
    </row>
    <row r="42" spans="1:14" ht="15.6" customHeight="1" x14ac:dyDescent="0.2">
      <c r="A42" s="295"/>
      <c r="B42" s="286"/>
      <c r="C42" s="294"/>
      <c r="D42" s="968"/>
      <c r="E42" s="219"/>
      <c r="F42" s="556" t="s">
        <v>278</v>
      </c>
      <c r="G42" s="561">
        <v>515.70000000000005</v>
      </c>
      <c r="H42" s="552"/>
      <c r="I42" s="553"/>
      <c r="J42" s="17"/>
      <c r="K42" s="111"/>
      <c r="L42" s="124"/>
      <c r="M42" s="103"/>
      <c r="N42" s="17"/>
    </row>
    <row r="43" spans="1:14" ht="13.9" customHeight="1" thickBot="1" x14ac:dyDescent="0.25">
      <c r="A43" s="295"/>
      <c r="B43" s="286"/>
      <c r="C43" s="294"/>
      <c r="D43" s="968"/>
      <c r="E43" s="219"/>
      <c r="F43" s="556" t="s">
        <v>277</v>
      </c>
      <c r="G43" s="561">
        <v>76.8</v>
      </c>
      <c r="H43" s="552"/>
      <c r="I43" s="553"/>
      <c r="J43" s="17"/>
      <c r="K43" s="111"/>
      <c r="L43" s="124"/>
      <c r="M43" s="103"/>
      <c r="N43" s="17"/>
    </row>
    <row r="44" spans="1:14" ht="40.5" customHeight="1" thickBot="1" x14ac:dyDescent="0.25">
      <c r="A44" s="295"/>
      <c r="B44" s="286"/>
      <c r="C44" s="294"/>
      <c r="D44" s="217" t="s">
        <v>157</v>
      </c>
      <c r="E44" s="219"/>
      <c r="F44" s="556" t="s">
        <v>150</v>
      </c>
      <c r="G44" s="561">
        <v>13.9</v>
      </c>
      <c r="H44" s="552">
        <v>15</v>
      </c>
      <c r="I44" s="553">
        <v>15</v>
      </c>
      <c r="J44" s="218" t="s">
        <v>79</v>
      </c>
      <c r="K44" s="215">
        <v>4</v>
      </c>
      <c r="L44" s="187">
        <v>4</v>
      </c>
      <c r="M44" s="102">
        <v>4</v>
      </c>
      <c r="N44" s="17"/>
    </row>
    <row r="45" spans="1:14" ht="21.75" customHeight="1" x14ac:dyDescent="0.2">
      <c r="A45" s="295"/>
      <c r="B45" s="286"/>
      <c r="C45" s="294"/>
      <c r="D45" s="981" t="s">
        <v>286</v>
      </c>
      <c r="E45" s="219"/>
      <c r="F45" s="556" t="s">
        <v>272</v>
      </c>
      <c r="G45" s="559">
        <v>2817.4</v>
      </c>
      <c r="H45" s="548">
        <f>+G45</f>
        <v>2817.4</v>
      </c>
      <c r="I45" s="549">
        <f>+H45</f>
        <v>2817.4</v>
      </c>
      <c r="J45" s="218" t="s">
        <v>79</v>
      </c>
      <c r="K45" s="215">
        <v>6</v>
      </c>
      <c r="L45" s="187">
        <v>7</v>
      </c>
      <c r="M45" s="102">
        <v>7</v>
      </c>
      <c r="N45" s="17"/>
    </row>
    <row r="46" spans="1:14" ht="21.75" customHeight="1" thickBot="1" x14ac:dyDescent="0.25">
      <c r="A46" s="295"/>
      <c r="B46" s="286"/>
      <c r="C46" s="294"/>
      <c r="D46" s="971"/>
      <c r="E46" s="219"/>
      <c r="F46" s="556" t="s">
        <v>272</v>
      </c>
      <c r="G46" s="559">
        <v>36</v>
      </c>
      <c r="H46" s="548"/>
      <c r="I46" s="549"/>
      <c r="J46" s="50" t="s">
        <v>80</v>
      </c>
      <c r="K46" s="109">
        <v>1232</v>
      </c>
      <c r="L46" s="119">
        <v>1340</v>
      </c>
      <c r="M46" s="113">
        <v>1370</v>
      </c>
      <c r="N46" s="17"/>
    </row>
    <row r="47" spans="1:14" ht="21.75" customHeight="1" x14ac:dyDescent="0.2">
      <c r="A47" s="295"/>
      <c r="B47" s="286"/>
      <c r="C47" s="294"/>
      <c r="D47" s="968" t="s">
        <v>135</v>
      </c>
      <c r="E47" s="219"/>
      <c r="F47" s="556" t="s">
        <v>150</v>
      </c>
      <c r="G47" s="559">
        <v>44.8</v>
      </c>
      <c r="H47" s="548">
        <v>45</v>
      </c>
      <c r="I47" s="549">
        <v>47</v>
      </c>
      <c r="J47" s="1003" t="s">
        <v>120</v>
      </c>
      <c r="K47" s="947">
        <v>1958</v>
      </c>
      <c r="L47" s="1174">
        <v>2000</v>
      </c>
      <c r="M47" s="953">
        <v>2000</v>
      </c>
      <c r="N47" s="17"/>
    </row>
    <row r="48" spans="1:14" s="297" customFormat="1" ht="24.6" customHeight="1" thickBot="1" x14ac:dyDescent="0.25">
      <c r="A48" s="279"/>
      <c r="B48" s="286"/>
      <c r="C48" s="293"/>
      <c r="D48" s="968"/>
      <c r="E48" s="220"/>
      <c r="F48" s="556"/>
      <c r="G48" s="559"/>
      <c r="H48" s="548"/>
      <c r="I48" s="549"/>
      <c r="J48" s="1004"/>
      <c r="K48" s="948"/>
      <c r="L48" s="1175"/>
      <c r="M48" s="1101"/>
      <c r="N48" s="461"/>
    </row>
    <row r="49" spans="1:14" ht="15.6" customHeight="1" x14ac:dyDescent="0.2">
      <c r="A49" s="292"/>
      <c r="B49" s="286"/>
      <c r="C49" s="294"/>
      <c r="D49" s="981" t="s">
        <v>240</v>
      </c>
      <c r="E49" s="221"/>
      <c r="F49" s="556" t="s">
        <v>150</v>
      </c>
      <c r="G49" s="563">
        <v>7547</v>
      </c>
      <c r="H49" s="548">
        <v>7650</v>
      </c>
      <c r="I49" s="549">
        <v>7650</v>
      </c>
      <c r="J49" s="218" t="s">
        <v>79</v>
      </c>
      <c r="K49" s="215">
        <v>6</v>
      </c>
      <c r="L49" s="187">
        <v>6</v>
      </c>
      <c r="M49" s="102">
        <v>6</v>
      </c>
      <c r="N49" s="17"/>
    </row>
    <row r="50" spans="1:14" ht="15.6" customHeight="1" x14ac:dyDescent="0.2">
      <c r="A50" s="292"/>
      <c r="B50" s="286"/>
      <c r="C50" s="294"/>
      <c r="D50" s="968"/>
      <c r="E50" s="221"/>
      <c r="F50" s="556" t="s">
        <v>272</v>
      </c>
      <c r="G50" s="559">
        <v>153.80000000000001</v>
      </c>
      <c r="H50" s="548">
        <f>+G50</f>
        <v>153.80000000000001</v>
      </c>
      <c r="I50" s="549">
        <f>+H50</f>
        <v>153.80000000000001</v>
      </c>
      <c r="J50" s="50" t="s">
        <v>80</v>
      </c>
      <c r="K50" s="8">
        <v>4500</v>
      </c>
      <c r="L50" s="121">
        <v>4500</v>
      </c>
      <c r="M50" s="122">
        <v>4500</v>
      </c>
      <c r="N50" s="17"/>
    </row>
    <row r="51" spans="1:14" ht="15.6" customHeight="1" x14ac:dyDescent="0.2">
      <c r="A51" s="292"/>
      <c r="B51" s="286"/>
      <c r="C51" s="294"/>
      <c r="D51" s="968"/>
      <c r="E51" s="221"/>
      <c r="F51" s="556" t="s">
        <v>273</v>
      </c>
      <c r="G51" s="559">
        <f>321.9</f>
        <v>321.89999999999998</v>
      </c>
      <c r="H51" s="548">
        <f>522.8</f>
        <v>522.79999999999995</v>
      </c>
      <c r="I51" s="549">
        <f>522.8</f>
        <v>522.79999999999995</v>
      </c>
      <c r="J51" s="954" t="s">
        <v>257</v>
      </c>
      <c r="K51" s="109">
        <v>190</v>
      </c>
      <c r="L51" s="119">
        <v>180</v>
      </c>
      <c r="M51" s="113">
        <v>170</v>
      </c>
      <c r="N51" s="17"/>
    </row>
    <row r="52" spans="1:14" ht="15.6" customHeight="1" thickBot="1" x14ac:dyDescent="0.25">
      <c r="A52" s="292"/>
      <c r="B52" s="286"/>
      <c r="C52" s="294"/>
      <c r="D52" s="968"/>
      <c r="E52" s="221"/>
      <c r="F52" s="556"/>
      <c r="G52" s="559"/>
      <c r="H52" s="548"/>
      <c r="I52" s="549"/>
      <c r="J52" s="955"/>
      <c r="K52" s="111"/>
      <c r="L52" s="124"/>
      <c r="M52" s="103"/>
      <c r="N52" s="17"/>
    </row>
    <row r="53" spans="1:14" ht="30" customHeight="1" x14ac:dyDescent="0.2">
      <c r="A53" s="292"/>
      <c r="B53" s="286"/>
      <c r="C53" s="294"/>
      <c r="D53" s="994" t="s">
        <v>241</v>
      </c>
      <c r="E53" s="225" t="s">
        <v>163</v>
      </c>
      <c r="F53" s="556" t="s">
        <v>150</v>
      </c>
      <c r="G53" s="561">
        <v>463.8</v>
      </c>
      <c r="H53" s="552">
        <v>470</v>
      </c>
      <c r="I53" s="553">
        <v>480</v>
      </c>
      <c r="J53" s="315" t="s">
        <v>82</v>
      </c>
      <c r="K53" s="6">
        <v>10000</v>
      </c>
      <c r="L53" s="496">
        <v>10000</v>
      </c>
      <c r="M53" s="192">
        <v>10000</v>
      </c>
      <c r="N53" s="17"/>
    </row>
    <row r="54" spans="1:14" ht="18" customHeight="1" x14ac:dyDescent="0.2">
      <c r="A54" s="292"/>
      <c r="B54" s="286"/>
      <c r="C54" s="294"/>
      <c r="D54" s="993"/>
      <c r="E54" s="219"/>
      <c r="F54" s="556" t="s">
        <v>272</v>
      </c>
      <c r="G54" s="559">
        <v>499.1</v>
      </c>
      <c r="H54" s="548">
        <v>505</v>
      </c>
      <c r="I54" s="549">
        <v>515</v>
      </c>
      <c r="J54" s="317" t="s">
        <v>89</v>
      </c>
      <c r="K54" s="8">
        <f>9+3+8+3+3+2+20+1+2+2+4</f>
        <v>57</v>
      </c>
      <c r="L54" s="121"/>
      <c r="M54" s="122"/>
      <c r="N54" s="17"/>
    </row>
    <row r="55" spans="1:14" ht="30" customHeight="1" x14ac:dyDescent="0.2">
      <c r="A55" s="292"/>
      <c r="B55" s="286"/>
      <c r="C55" s="294"/>
      <c r="D55" s="993"/>
      <c r="E55" s="226"/>
      <c r="F55" s="556" t="s">
        <v>273</v>
      </c>
      <c r="G55" s="559">
        <v>18</v>
      </c>
      <c r="H55" s="548">
        <v>20</v>
      </c>
      <c r="I55" s="549">
        <v>20</v>
      </c>
      <c r="J55" s="291" t="s">
        <v>165</v>
      </c>
      <c r="K55" s="8">
        <v>2</v>
      </c>
      <c r="L55" s="121">
        <v>1</v>
      </c>
      <c r="M55" s="122">
        <v>1</v>
      </c>
      <c r="N55" s="17"/>
    </row>
    <row r="56" spans="1:14" ht="18" customHeight="1" thickBot="1" x14ac:dyDescent="0.25">
      <c r="A56" s="292"/>
      <c r="B56" s="286"/>
      <c r="C56" s="294"/>
      <c r="D56" s="504"/>
      <c r="E56" s="228"/>
      <c r="F56" s="556"/>
      <c r="G56" s="559"/>
      <c r="H56" s="548"/>
      <c r="I56" s="549"/>
      <c r="J56" s="501" t="s">
        <v>287</v>
      </c>
      <c r="K56" s="212">
        <v>12</v>
      </c>
      <c r="L56" s="497">
        <v>13</v>
      </c>
      <c r="M56" s="114">
        <v>14</v>
      </c>
      <c r="N56" s="17"/>
    </row>
    <row r="57" spans="1:14" ht="16.149999999999999" customHeight="1" x14ac:dyDescent="0.2">
      <c r="A57" s="292"/>
      <c r="B57" s="286"/>
      <c r="C57" s="294"/>
      <c r="D57" s="994" t="s">
        <v>176</v>
      </c>
      <c r="E57" s="226"/>
      <c r="F57" s="556" t="s">
        <v>274</v>
      </c>
      <c r="G57" s="559">
        <v>5.4</v>
      </c>
      <c r="H57" s="548"/>
      <c r="I57" s="549"/>
      <c r="J57" s="505" t="s">
        <v>57</v>
      </c>
      <c r="K57" s="6">
        <v>100</v>
      </c>
      <c r="L57" s="496"/>
      <c r="M57" s="192"/>
      <c r="N57" s="17"/>
    </row>
    <row r="58" spans="1:14" ht="16.149999999999999" customHeight="1" x14ac:dyDescent="0.2">
      <c r="A58" s="292"/>
      <c r="B58" s="286"/>
      <c r="C58" s="294"/>
      <c r="D58" s="993"/>
      <c r="E58" s="226"/>
      <c r="F58" s="556" t="s">
        <v>272</v>
      </c>
      <c r="G58" s="559">
        <v>0.9</v>
      </c>
      <c r="H58" s="548"/>
      <c r="I58" s="549"/>
      <c r="J58" s="505"/>
      <c r="K58" s="111"/>
      <c r="L58" s="124"/>
      <c r="M58" s="103"/>
      <c r="N58" s="17"/>
    </row>
    <row r="59" spans="1:14" ht="24" customHeight="1" thickBot="1" x14ac:dyDescent="0.25">
      <c r="A59" s="292"/>
      <c r="B59" s="286"/>
      <c r="C59" s="294"/>
      <c r="D59" s="993"/>
      <c r="E59" s="226"/>
      <c r="F59" s="556"/>
      <c r="G59" s="559"/>
      <c r="H59" s="548"/>
      <c r="I59" s="549"/>
      <c r="J59" s="505"/>
      <c r="K59" s="111"/>
      <c r="L59" s="124"/>
      <c r="M59" s="103"/>
      <c r="N59" s="17"/>
    </row>
    <row r="60" spans="1:14" ht="16.149999999999999" customHeight="1" x14ac:dyDescent="0.2">
      <c r="A60" s="298"/>
      <c r="B60" s="289"/>
      <c r="C60" s="287"/>
      <c r="D60" s="994" t="s">
        <v>97</v>
      </c>
      <c r="E60" s="458"/>
      <c r="F60" s="556" t="s">
        <v>150</v>
      </c>
      <c r="G60" s="564">
        <v>532.20000000000005</v>
      </c>
      <c r="H60" s="552">
        <v>560</v>
      </c>
      <c r="I60" s="553">
        <v>560</v>
      </c>
      <c r="J60" s="218" t="s">
        <v>192</v>
      </c>
      <c r="K60" s="231">
        <v>139</v>
      </c>
      <c r="L60" s="187">
        <v>150</v>
      </c>
      <c r="M60" s="229">
        <v>160</v>
      </c>
      <c r="N60" s="17"/>
    </row>
    <row r="61" spans="1:14" ht="28.15" customHeight="1" x14ac:dyDescent="0.2">
      <c r="A61" s="298"/>
      <c r="B61" s="289"/>
      <c r="C61" s="287"/>
      <c r="D61" s="993"/>
      <c r="E61" s="458"/>
      <c r="F61" s="556" t="s">
        <v>272</v>
      </c>
      <c r="G61" s="561">
        <v>179.7</v>
      </c>
      <c r="H61" s="552">
        <f>+G61</f>
        <v>179.7</v>
      </c>
      <c r="I61" s="553">
        <f>+H61</f>
        <v>179.7</v>
      </c>
      <c r="J61" s="291" t="s">
        <v>212</v>
      </c>
      <c r="K61" s="210"/>
      <c r="L61" s="121">
        <v>2</v>
      </c>
      <c r="M61" s="230"/>
      <c r="N61" s="17"/>
    </row>
    <row r="62" spans="1:14" ht="31.15" customHeight="1" thickBot="1" x14ac:dyDescent="0.25">
      <c r="A62" s="298"/>
      <c r="B62" s="289"/>
      <c r="C62" s="287"/>
      <c r="D62" s="999"/>
      <c r="E62" s="458"/>
      <c r="F62" s="556" t="s">
        <v>273</v>
      </c>
      <c r="G62" s="559">
        <v>39.6</v>
      </c>
      <c r="H62" s="548">
        <v>40</v>
      </c>
      <c r="I62" s="549">
        <v>40</v>
      </c>
      <c r="J62" s="554" t="s">
        <v>213</v>
      </c>
      <c r="K62" s="232"/>
      <c r="L62" s="208">
        <v>0.1</v>
      </c>
      <c r="M62" s="113"/>
      <c r="N62" s="17"/>
    </row>
    <row r="63" spans="1:14" ht="31.15" customHeight="1" x14ac:dyDescent="0.2">
      <c r="A63" s="298"/>
      <c r="B63" s="289"/>
      <c r="C63" s="287"/>
      <c r="D63" s="993" t="s">
        <v>98</v>
      </c>
      <c r="E63" s="226"/>
      <c r="F63" s="556" t="s">
        <v>150</v>
      </c>
      <c r="G63" s="561">
        <v>227.8</v>
      </c>
      <c r="H63" s="552">
        <v>287.7</v>
      </c>
      <c r="I63" s="553">
        <v>287.7</v>
      </c>
      <c r="J63" s="317" t="s">
        <v>215</v>
      </c>
      <c r="K63" s="8">
        <v>2000</v>
      </c>
      <c r="L63" s="121">
        <v>2100</v>
      </c>
      <c r="M63" s="122">
        <v>2190</v>
      </c>
      <c r="N63" s="17"/>
    </row>
    <row r="64" spans="1:14" ht="44.45" customHeight="1" x14ac:dyDescent="0.2">
      <c r="A64" s="298"/>
      <c r="B64" s="289"/>
      <c r="C64" s="287"/>
      <c r="D64" s="993"/>
      <c r="E64" s="228"/>
      <c r="F64" s="556" t="s">
        <v>273</v>
      </c>
      <c r="G64" s="559">
        <v>30</v>
      </c>
      <c r="H64" s="548">
        <v>35</v>
      </c>
      <c r="I64" s="549">
        <v>35</v>
      </c>
      <c r="J64" s="291" t="s">
        <v>275</v>
      </c>
      <c r="K64" s="111">
        <v>80</v>
      </c>
      <c r="L64" s="124">
        <v>85</v>
      </c>
      <c r="M64" s="103">
        <v>90</v>
      </c>
      <c r="N64" s="17"/>
    </row>
    <row r="65" spans="1:14" ht="30.75" customHeight="1" thickBot="1" x14ac:dyDescent="0.25">
      <c r="A65" s="298"/>
      <c r="B65" s="289"/>
      <c r="C65" s="287"/>
      <c r="D65" s="504"/>
      <c r="E65" s="226"/>
      <c r="F65" s="556"/>
      <c r="G65" s="559"/>
      <c r="H65" s="548"/>
      <c r="I65" s="549"/>
      <c r="J65" s="52" t="s">
        <v>83</v>
      </c>
      <c r="K65" s="469">
        <v>12700</v>
      </c>
      <c r="L65" s="120">
        <v>12500</v>
      </c>
      <c r="M65" s="193">
        <v>12000</v>
      </c>
      <c r="N65" s="17"/>
    </row>
    <row r="66" spans="1:14" ht="35.450000000000003" customHeight="1" x14ac:dyDescent="0.2">
      <c r="A66" s="279"/>
      <c r="B66" s="289"/>
      <c r="C66" s="287"/>
      <c r="D66" s="995" t="s">
        <v>121</v>
      </c>
      <c r="E66" s="300" t="s">
        <v>167</v>
      </c>
      <c r="F66" s="556" t="s">
        <v>274</v>
      </c>
      <c r="G66" s="559">
        <v>5</v>
      </c>
      <c r="H66" s="548"/>
      <c r="I66" s="549"/>
      <c r="J66" s="50" t="s">
        <v>161</v>
      </c>
      <c r="K66" s="111"/>
      <c r="L66" s="123">
        <v>300</v>
      </c>
      <c r="M66" s="103">
        <v>400</v>
      </c>
      <c r="N66" s="17"/>
    </row>
    <row r="67" spans="1:14" ht="35.450000000000003" customHeight="1" thickBot="1" x14ac:dyDescent="0.25">
      <c r="A67" s="279"/>
      <c r="B67" s="289"/>
      <c r="C67" s="287"/>
      <c r="D67" s="996"/>
      <c r="E67" s="228"/>
      <c r="F67" s="556" t="s">
        <v>150</v>
      </c>
      <c r="G67" s="559">
        <v>6</v>
      </c>
      <c r="H67" s="548">
        <v>9.5</v>
      </c>
      <c r="I67" s="549">
        <v>10</v>
      </c>
      <c r="J67" s="50" t="s">
        <v>166</v>
      </c>
      <c r="K67" s="109">
        <v>15</v>
      </c>
      <c r="L67" s="124">
        <v>30</v>
      </c>
      <c r="M67" s="113"/>
      <c r="N67" s="17"/>
    </row>
    <row r="68" spans="1:14" ht="56.25" customHeight="1" x14ac:dyDescent="0.2">
      <c r="A68" s="279"/>
      <c r="B68" s="289"/>
      <c r="C68" s="287"/>
      <c r="D68" s="55" t="s">
        <v>118</v>
      </c>
      <c r="E68" s="228"/>
      <c r="F68" s="556"/>
      <c r="G68" s="559"/>
      <c r="H68" s="548"/>
      <c r="I68" s="549"/>
      <c r="J68" s="555" t="s">
        <v>81</v>
      </c>
      <c r="K68" s="231">
        <v>125</v>
      </c>
      <c r="L68" s="187">
        <v>190</v>
      </c>
      <c r="M68" s="229">
        <v>210</v>
      </c>
      <c r="N68" s="17"/>
    </row>
    <row r="69" spans="1:14" ht="15.75" customHeight="1" x14ac:dyDescent="0.2">
      <c r="A69" s="279"/>
      <c r="B69" s="289"/>
      <c r="C69" s="287"/>
      <c r="D69" s="96" t="s">
        <v>154</v>
      </c>
      <c r="E69" s="226"/>
      <c r="F69" s="556" t="s">
        <v>150</v>
      </c>
      <c r="G69" s="559">
        <v>103.4</v>
      </c>
      <c r="H69" s="548">
        <v>137.19999999999999</v>
      </c>
      <c r="I69" s="549">
        <v>137.69999999999999</v>
      </c>
      <c r="J69" s="508" t="s">
        <v>79</v>
      </c>
      <c r="K69" s="232">
        <v>2</v>
      </c>
      <c r="L69" s="119">
        <v>2</v>
      </c>
      <c r="M69" s="213">
        <v>1</v>
      </c>
      <c r="N69" s="17"/>
    </row>
    <row r="70" spans="1:14" ht="15.6" customHeight="1" thickBot="1" x14ac:dyDescent="0.25">
      <c r="A70" s="279"/>
      <c r="B70" s="289"/>
      <c r="C70" s="287"/>
      <c r="D70" s="483" t="s">
        <v>85</v>
      </c>
      <c r="E70" s="219" t="s">
        <v>167</v>
      </c>
      <c r="F70" s="556" t="s">
        <v>150</v>
      </c>
      <c r="G70" s="559"/>
      <c r="H70" s="548">
        <v>26.5</v>
      </c>
      <c r="I70" s="549">
        <v>26.5</v>
      </c>
      <c r="J70" s="554" t="s">
        <v>79</v>
      </c>
      <c r="K70" s="232"/>
      <c r="L70" s="119">
        <v>1</v>
      </c>
      <c r="M70" s="213">
        <v>1</v>
      </c>
      <c r="N70" s="17"/>
    </row>
    <row r="71" spans="1:14" ht="29.25" customHeight="1" x14ac:dyDescent="0.2">
      <c r="A71" s="279"/>
      <c r="B71" s="289"/>
      <c r="C71" s="301"/>
      <c r="D71" s="54" t="s">
        <v>162</v>
      </c>
      <c r="E71" s="225"/>
      <c r="F71" s="556"/>
      <c r="G71" s="559"/>
      <c r="H71" s="548"/>
      <c r="I71" s="549"/>
      <c r="J71" s="513"/>
      <c r="K71" s="6"/>
      <c r="L71" s="496"/>
      <c r="M71" s="192"/>
      <c r="N71" s="17"/>
    </row>
    <row r="72" spans="1:14" ht="15.75" customHeight="1" x14ac:dyDescent="0.2">
      <c r="A72" s="279"/>
      <c r="B72" s="289"/>
      <c r="C72" s="287"/>
      <c r="D72" s="968" t="s">
        <v>177</v>
      </c>
      <c r="E72" s="219"/>
      <c r="F72" s="556" t="s">
        <v>150</v>
      </c>
      <c r="G72" s="561">
        <v>90.6</v>
      </c>
      <c r="H72" s="552">
        <v>135.5</v>
      </c>
      <c r="I72" s="553">
        <v>152.69999999999999</v>
      </c>
      <c r="J72" s="211" t="s">
        <v>81</v>
      </c>
      <c r="K72" s="479">
        <v>123</v>
      </c>
      <c r="L72" s="123">
        <v>270</v>
      </c>
      <c r="M72" s="194">
        <v>300</v>
      </c>
      <c r="N72" s="17"/>
    </row>
    <row r="73" spans="1:14" ht="15.75" customHeight="1" thickBot="1" x14ac:dyDescent="0.25">
      <c r="A73" s="279"/>
      <c r="B73" s="289"/>
      <c r="C73" s="287"/>
      <c r="D73" s="969"/>
      <c r="E73" s="219"/>
      <c r="F73" s="556"/>
      <c r="G73" s="561"/>
      <c r="H73" s="552"/>
      <c r="I73" s="553"/>
      <c r="J73" s="514" t="s">
        <v>138</v>
      </c>
      <c r="K73" s="261">
        <v>9</v>
      </c>
      <c r="L73" s="119">
        <v>12</v>
      </c>
      <c r="M73" s="103">
        <v>15</v>
      </c>
      <c r="N73" s="17"/>
    </row>
    <row r="74" spans="1:14" ht="29.25" customHeight="1" x14ac:dyDescent="0.2">
      <c r="A74" s="279"/>
      <c r="B74" s="289"/>
      <c r="C74" s="287"/>
      <c r="D74" s="968" t="s">
        <v>219</v>
      </c>
      <c r="E74" s="985" t="s">
        <v>163</v>
      </c>
      <c r="F74" s="556" t="s">
        <v>150</v>
      </c>
      <c r="G74" s="559">
        <v>73.599999999999994</v>
      </c>
      <c r="H74" s="548">
        <v>103.9</v>
      </c>
      <c r="I74" s="549">
        <v>113.6</v>
      </c>
      <c r="J74" s="218" t="s">
        <v>218</v>
      </c>
      <c r="K74" s="231">
        <v>1</v>
      </c>
      <c r="L74" s="496"/>
      <c r="M74" s="102"/>
      <c r="N74" s="17"/>
    </row>
    <row r="75" spans="1:14" ht="15.75" customHeight="1" x14ac:dyDescent="0.2">
      <c r="A75" s="279"/>
      <c r="B75" s="289"/>
      <c r="C75" s="287"/>
      <c r="D75" s="968"/>
      <c r="E75" s="1154"/>
      <c r="F75" s="556"/>
      <c r="G75" s="559"/>
      <c r="H75" s="548"/>
      <c r="I75" s="549"/>
      <c r="J75" s="50" t="s">
        <v>122</v>
      </c>
      <c r="K75" s="521">
        <v>4.83</v>
      </c>
      <c r="L75" s="214">
        <v>5.56</v>
      </c>
      <c r="M75" s="233">
        <v>5.88</v>
      </c>
      <c r="N75" s="17"/>
    </row>
    <row r="76" spans="1:14" ht="31.5" customHeight="1" thickBot="1" x14ac:dyDescent="0.25">
      <c r="A76" s="279"/>
      <c r="B76" s="289"/>
      <c r="C76" s="287"/>
      <c r="D76" s="487"/>
      <c r="E76" s="302" t="s">
        <v>167</v>
      </c>
      <c r="F76" s="556"/>
      <c r="G76" s="559"/>
      <c r="H76" s="548"/>
      <c r="I76" s="549"/>
      <c r="J76" s="52" t="s">
        <v>217</v>
      </c>
      <c r="K76" s="232">
        <v>25</v>
      </c>
      <c r="L76" s="119">
        <v>195</v>
      </c>
      <c r="M76" s="213">
        <v>180</v>
      </c>
      <c r="N76" s="17"/>
    </row>
    <row r="77" spans="1:14" ht="53.25" customHeight="1" x14ac:dyDescent="0.2">
      <c r="A77" s="295"/>
      <c r="B77" s="286"/>
      <c r="C77" s="294"/>
      <c r="D77" s="490" t="s">
        <v>58</v>
      </c>
      <c r="E77" s="303"/>
      <c r="F77" s="556" t="s">
        <v>150</v>
      </c>
      <c r="G77" s="559">
        <f>503.4+74.7</f>
        <v>578.1</v>
      </c>
      <c r="H77" s="548">
        <v>704.1</v>
      </c>
      <c r="I77" s="549">
        <v>704.1</v>
      </c>
      <c r="J77" s="315" t="s">
        <v>99</v>
      </c>
      <c r="K77" s="231">
        <v>507</v>
      </c>
      <c r="L77" s="187">
        <v>507</v>
      </c>
      <c r="M77" s="229">
        <v>507</v>
      </c>
      <c r="N77" s="17"/>
    </row>
    <row r="78" spans="1:14" ht="27.75" customHeight="1" thickBot="1" x14ac:dyDescent="0.25">
      <c r="A78" s="295"/>
      <c r="B78" s="286"/>
      <c r="C78" s="294"/>
      <c r="D78" s="486"/>
      <c r="E78" s="226"/>
      <c r="F78" s="556" t="s">
        <v>272</v>
      </c>
      <c r="G78" s="559">
        <v>176.4</v>
      </c>
      <c r="H78" s="548">
        <v>199</v>
      </c>
      <c r="I78" s="549">
        <v>200</v>
      </c>
      <c r="J78" s="50" t="s">
        <v>160</v>
      </c>
      <c r="K78" s="232">
        <v>8</v>
      </c>
      <c r="L78" s="119">
        <v>11</v>
      </c>
      <c r="M78" s="213">
        <v>11</v>
      </c>
      <c r="N78" s="17"/>
    </row>
    <row r="79" spans="1:14" ht="15.6" customHeight="1" x14ac:dyDescent="0.2">
      <c r="A79" s="295"/>
      <c r="B79" s="286"/>
      <c r="C79" s="294"/>
      <c r="D79" s="75" t="s">
        <v>44</v>
      </c>
      <c r="E79" s="226"/>
      <c r="F79" s="556" t="s">
        <v>272</v>
      </c>
      <c r="G79" s="559">
        <v>50.2</v>
      </c>
      <c r="H79" s="548">
        <v>66</v>
      </c>
      <c r="I79" s="549">
        <v>66</v>
      </c>
      <c r="J79" s="555" t="s">
        <v>86</v>
      </c>
      <c r="K79" s="6">
        <v>17</v>
      </c>
      <c r="L79" s="496">
        <v>17</v>
      </c>
      <c r="M79" s="192">
        <v>17</v>
      </c>
      <c r="N79" s="17"/>
    </row>
    <row r="80" spans="1:14" ht="15.6" customHeight="1" x14ac:dyDescent="0.2">
      <c r="A80" s="295"/>
      <c r="B80" s="286"/>
      <c r="C80" s="287"/>
      <c r="D80" s="483" t="s">
        <v>74</v>
      </c>
      <c r="E80" s="226"/>
      <c r="F80" s="556" t="s">
        <v>150</v>
      </c>
      <c r="G80" s="559">
        <v>304.5</v>
      </c>
      <c r="H80" s="548">
        <v>346.6</v>
      </c>
      <c r="I80" s="549">
        <v>400</v>
      </c>
      <c r="J80" s="317" t="s">
        <v>80</v>
      </c>
      <c r="K80" s="210">
        <v>1204</v>
      </c>
      <c r="L80" s="121">
        <v>1215</v>
      </c>
      <c r="M80" s="196">
        <v>1215</v>
      </c>
      <c r="N80" s="17"/>
    </row>
    <row r="81" spans="1:13" ht="69" customHeight="1" thickBot="1" x14ac:dyDescent="0.25">
      <c r="A81" s="295"/>
      <c r="B81" s="286"/>
      <c r="C81" s="287"/>
      <c r="D81" s="49" t="s">
        <v>88</v>
      </c>
      <c r="E81" s="520"/>
      <c r="F81" s="556" t="s">
        <v>150</v>
      </c>
      <c r="G81" s="559">
        <v>155.50299999999999</v>
      </c>
      <c r="H81" s="548">
        <v>67.3</v>
      </c>
      <c r="I81" s="549">
        <v>67.3</v>
      </c>
      <c r="J81" s="50" t="s">
        <v>65</v>
      </c>
      <c r="K81" s="109">
        <v>7753</v>
      </c>
      <c r="L81" s="119">
        <v>7753</v>
      </c>
      <c r="M81" s="183">
        <v>7753</v>
      </c>
    </row>
    <row r="82" spans="1:13" ht="56.65" customHeight="1" x14ac:dyDescent="0.2">
      <c r="A82" s="295"/>
      <c r="B82" s="286"/>
      <c r="C82" s="287"/>
      <c r="D82" s="967" t="s">
        <v>288</v>
      </c>
      <c r="E82" s="998"/>
      <c r="F82" s="556" t="s">
        <v>150</v>
      </c>
      <c r="G82" s="559"/>
      <c r="H82" s="548">
        <v>196.53</v>
      </c>
      <c r="I82" s="549">
        <v>196.53</v>
      </c>
      <c r="J82" s="218" t="s">
        <v>220</v>
      </c>
      <c r="K82" s="215">
        <v>6</v>
      </c>
      <c r="L82" s="187">
        <v>6</v>
      </c>
      <c r="M82" s="306">
        <v>6</v>
      </c>
    </row>
    <row r="83" spans="1:13" ht="32.450000000000003" customHeight="1" x14ac:dyDescent="0.2">
      <c r="A83" s="295"/>
      <c r="B83" s="286"/>
      <c r="C83" s="287"/>
      <c r="D83" s="968"/>
      <c r="E83" s="998"/>
      <c r="F83" s="111"/>
      <c r="G83" s="135"/>
      <c r="H83" s="143"/>
      <c r="I83" s="138"/>
      <c r="J83" s="1163" t="s">
        <v>221</v>
      </c>
      <c r="K83" s="111">
        <v>10</v>
      </c>
      <c r="L83" s="124">
        <v>10</v>
      </c>
      <c r="M83" s="307">
        <v>10</v>
      </c>
    </row>
    <row r="84" spans="1:13" ht="15.6" customHeight="1" thickBot="1" x14ac:dyDescent="0.25">
      <c r="A84" s="308"/>
      <c r="B84" s="309"/>
      <c r="C84" s="310"/>
      <c r="D84" s="971"/>
      <c r="E84" s="1000" t="s">
        <v>40</v>
      </c>
      <c r="F84" s="1176"/>
      <c r="G84" s="41">
        <f>SUM(G14:G20)</f>
        <v>100701.09999999999</v>
      </c>
      <c r="H84" s="41">
        <f>SUM(H14:H20)</f>
        <v>102197.3</v>
      </c>
      <c r="I84" s="427">
        <f>SUM(I14:I20)</f>
        <v>103552.9</v>
      </c>
      <c r="J84" s="1164"/>
      <c r="K84" s="212"/>
      <c r="L84" s="497"/>
      <c r="M84" s="311"/>
    </row>
    <row r="85" spans="1:13" ht="32.25" customHeight="1" x14ac:dyDescent="0.2">
      <c r="A85" s="312" t="s">
        <v>12</v>
      </c>
      <c r="B85" s="313" t="s">
        <v>12</v>
      </c>
      <c r="C85" s="284" t="s">
        <v>15</v>
      </c>
      <c r="D85" s="503" t="s">
        <v>59</v>
      </c>
      <c r="E85" s="303"/>
      <c r="F85" s="510"/>
      <c r="G85" s="42"/>
      <c r="H85" s="142"/>
      <c r="I85" s="137"/>
      <c r="J85" s="315"/>
      <c r="K85" s="6"/>
      <c r="L85" s="496"/>
      <c r="M85" s="192"/>
    </row>
    <row r="86" spans="1:13" ht="29.65" customHeight="1" x14ac:dyDescent="0.2">
      <c r="A86" s="295"/>
      <c r="B86" s="286"/>
      <c r="C86" s="294"/>
      <c r="D86" s="96" t="s">
        <v>195</v>
      </c>
      <c r="E86" s="226"/>
      <c r="F86" s="45" t="s">
        <v>16</v>
      </c>
      <c r="G86" s="11">
        <v>256.5</v>
      </c>
      <c r="H86" s="141">
        <f>+G86</f>
        <v>256.5</v>
      </c>
      <c r="I86" s="136">
        <f>+H86</f>
        <v>256.5</v>
      </c>
      <c r="J86" s="317" t="s">
        <v>80</v>
      </c>
      <c r="K86" s="8">
        <v>3080</v>
      </c>
      <c r="L86" s="121">
        <v>3090</v>
      </c>
      <c r="M86" s="122">
        <v>3100</v>
      </c>
    </row>
    <row r="87" spans="1:13" ht="16.149999999999999" customHeight="1" x14ac:dyDescent="0.2">
      <c r="A87" s="295"/>
      <c r="B87" s="286"/>
      <c r="C87" s="294"/>
      <c r="D87" s="483" t="s">
        <v>43</v>
      </c>
      <c r="E87" s="565" t="s">
        <v>163</v>
      </c>
      <c r="F87" s="512" t="s">
        <v>13</v>
      </c>
      <c r="G87" s="135">
        <v>130</v>
      </c>
      <c r="H87" s="143">
        <v>140</v>
      </c>
      <c r="I87" s="138">
        <v>150</v>
      </c>
      <c r="J87" s="12" t="s">
        <v>100</v>
      </c>
      <c r="K87" s="111">
        <v>70</v>
      </c>
      <c r="L87" s="124">
        <v>80</v>
      </c>
      <c r="M87" s="103">
        <v>100</v>
      </c>
    </row>
    <row r="88" spans="1:13" ht="15.75" customHeight="1" x14ac:dyDescent="0.2">
      <c r="A88" s="295"/>
      <c r="B88" s="286"/>
      <c r="C88" s="294"/>
      <c r="D88" s="967" t="s">
        <v>55</v>
      </c>
      <c r="E88" s="566"/>
      <c r="F88" s="572" t="s">
        <v>16</v>
      </c>
      <c r="G88" s="134">
        <v>1106.2</v>
      </c>
      <c r="H88" s="208">
        <v>1106.2</v>
      </c>
      <c r="I88" s="209">
        <v>1106.2</v>
      </c>
      <c r="J88" s="291" t="s">
        <v>100</v>
      </c>
      <c r="K88" s="7">
        <v>96</v>
      </c>
      <c r="L88" s="244">
        <v>100</v>
      </c>
      <c r="M88" s="319">
        <v>100</v>
      </c>
    </row>
    <row r="89" spans="1:13" ht="15.75" customHeight="1" x14ac:dyDescent="0.2">
      <c r="A89" s="295"/>
      <c r="B89" s="286"/>
      <c r="C89" s="294"/>
      <c r="D89" s="968"/>
      <c r="E89" s="226"/>
      <c r="F89" s="511"/>
      <c r="G89" s="135"/>
      <c r="H89" s="143"/>
      <c r="I89" s="138"/>
      <c r="J89" s="1163" t="s">
        <v>151</v>
      </c>
      <c r="K89" s="109">
        <v>5733</v>
      </c>
      <c r="L89" s="119">
        <v>5800</v>
      </c>
      <c r="M89" s="113">
        <v>5800</v>
      </c>
    </row>
    <row r="90" spans="1:13" ht="15.75" customHeight="1" thickBot="1" x14ac:dyDescent="0.25">
      <c r="A90" s="320"/>
      <c r="B90" s="321"/>
      <c r="C90" s="322"/>
      <c r="D90" s="971"/>
      <c r="E90" s="567"/>
      <c r="F90" s="46" t="s">
        <v>14</v>
      </c>
      <c r="G90" s="41">
        <f>SUM(G86:G89)</f>
        <v>1492.7</v>
      </c>
      <c r="H90" s="149">
        <f>SUM(H86:H89)</f>
        <v>1502.7</v>
      </c>
      <c r="I90" s="154">
        <f>SUM(I86:I89)</f>
        <v>1512.7</v>
      </c>
      <c r="J90" s="1164"/>
      <c r="K90" s="212"/>
      <c r="L90" s="497"/>
      <c r="M90" s="114"/>
    </row>
    <row r="91" spans="1:13" ht="30.6" customHeight="1" x14ac:dyDescent="0.2">
      <c r="A91" s="312" t="s">
        <v>12</v>
      </c>
      <c r="B91" s="313" t="s">
        <v>12</v>
      </c>
      <c r="C91" s="284" t="s">
        <v>17</v>
      </c>
      <c r="D91" s="981" t="s">
        <v>48</v>
      </c>
      <c r="E91" s="226"/>
      <c r="F91" s="510" t="s">
        <v>13</v>
      </c>
      <c r="G91" s="423">
        <v>3.9</v>
      </c>
      <c r="H91" s="424">
        <v>3.9</v>
      </c>
      <c r="I91" s="306">
        <v>3.9</v>
      </c>
      <c r="J91" s="315" t="s">
        <v>87</v>
      </c>
      <c r="K91" s="6">
        <v>10</v>
      </c>
      <c r="L91" s="187">
        <v>10</v>
      </c>
      <c r="M91" s="192"/>
    </row>
    <row r="92" spans="1:13" ht="16.899999999999999" customHeight="1" thickBot="1" x14ac:dyDescent="0.25">
      <c r="A92" s="320"/>
      <c r="B92" s="309"/>
      <c r="C92" s="322"/>
      <c r="D92" s="971"/>
      <c r="E92" s="567"/>
      <c r="F92" s="46" t="s">
        <v>14</v>
      </c>
      <c r="G92" s="420">
        <f t="shared" ref="G92:I92" si="1">G91</f>
        <v>3.9</v>
      </c>
      <c r="H92" s="421">
        <f t="shared" si="1"/>
        <v>3.9</v>
      </c>
      <c r="I92" s="422">
        <f t="shared" si="1"/>
        <v>3.9</v>
      </c>
      <c r="J92" s="50" t="s">
        <v>81</v>
      </c>
      <c r="K92" s="469">
        <v>860</v>
      </c>
      <c r="L92" s="120">
        <v>860</v>
      </c>
      <c r="M92" s="193"/>
    </row>
    <row r="93" spans="1:13" ht="18.75" customHeight="1" x14ac:dyDescent="0.2">
      <c r="A93" s="312" t="s">
        <v>12</v>
      </c>
      <c r="B93" s="313" t="s">
        <v>12</v>
      </c>
      <c r="C93" s="284" t="s">
        <v>19</v>
      </c>
      <c r="D93" s="981" t="s">
        <v>91</v>
      </c>
      <c r="E93" s="303"/>
      <c r="F93" s="510" t="s">
        <v>13</v>
      </c>
      <c r="G93" s="135">
        <v>47.2</v>
      </c>
      <c r="H93" s="143">
        <v>48</v>
      </c>
      <c r="I93" s="138">
        <v>48</v>
      </c>
      <c r="J93" s="1003" t="s">
        <v>101</v>
      </c>
      <c r="K93" s="4">
        <v>39</v>
      </c>
      <c r="L93" s="325">
        <v>39</v>
      </c>
      <c r="M93" s="326">
        <v>39</v>
      </c>
    </row>
    <row r="94" spans="1:13" ht="14.25" customHeight="1" thickBot="1" x14ac:dyDescent="0.25">
      <c r="A94" s="320"/>
      <c r="B94" s="321"/>
      <c r="C94" s="322"/>
      <c r="D94" s="971"/>
      <c r="E94" s="567"/>
      <c r="F94" s="46" t="s">
        <v>14</v>
      </c>
      <c r="G94" s="41">
        <f t="shared" ref="G94:I94" si="2">SUM(G93)</f>
        <v>47.2</v>
      </c>
      <c r="H94" s="149">
        <f t="shared" si="2"/>
        <v>48</v>
      </c>
      <c r="I94" s="154">
        <f t="shared" si="2"/>
        <v>48</v>
      </c>
      <c r="J94" s="1004"/>
      <c r="K94" s="522"/>
      <c r="L94" s="117"/>
      <c r="M94" s="118"/>
    </row>
    <row r="95" spans="1:13" ht="28.15" customHeight="1" x14ac:dyDescent="0.2">
      <c r="A95" s="312" t="s">
        <v>12</v>
      </c>
      <c r="B95" s="313" t="s">
        <v>12</v>
      </c>
      <c r="C95" s="284" t="s">
        <v>20</v>
      </c>
      <c r="D95" s="981" t="s">
        <v>194</v>
      </c>
      <c r="E95" s="303"/>
      <c r="F95" s="510" t="s">
        <v>13</v>
      </c>
      <c r="G95" s="423">
        <v>2.7</v>
      </c>
      <c r="H95" s="424">
        <v>2.7</v>
      </c>
      <c r="I95" s="306">
        <v>2.7</v>
      </c>
      <c r="J95" s="1157" t="s">
        <v>193</v>
      </c>
      <c r="K95" s="6">
        <v>1</v>
      </c>
      <c r="L95" s="496">
        <v>1</v>
      </c>
      <c r="M95" s="192">
        <v>1</v>
      </c>
    </row>
    <row r="96" spans="1:13" ht="15.75" customHeight="1" thickBot="1" x14ac:dyDescent="0.25">
      <c r="A96" s="320"/>
      <c r="B96" s="321"/>
      <c r="C96" s="322"/>
      <c r="D96" s="971"/>
      <c r="E96" s="567"/>
      <c r="F96" s="46" t="s">
        <v>14</v>
      </c>
      <c r="G96" s="41">
        <f t="shared" ref="G96:I96" si="3">SUM(G95:G95)</f>
        <v>2.7</v>
      </c>
      <c r="H96" s="149">
        <f t="shared" si="3"/>
        <v>2.7</v>
      </c>
      <c r="I96" s="154">
        <f t="shared" si="3"/>
        <v>2.7</v>
      </c>
      <c r="J96" s="1091"/>
      <c r="K96" s="212"/>
      <c r="L96" s="497"/>
      <c r="M96" s="114"/>
    </row>
    <row r="97" spans="1:13" ht="16.149999999999999" customHeight="1" x14ac:dyDescent="0.2">
      <c r="A97" s="312" t="s">
        <v>12</v>
      </c>
      <c r="B97" s="313" t="s">
        <v>12</v>
      </c>
      <c r="C97" s="284" t="s">
        <v>68</v>
      </c>
      <c r="D97" s="981" t="s">
        <v>96</v>
      </c>
      <c r="E97" s="391"/>
      <c r="F97" s="517" t="s">
        <v>13</v>
      </c>
      <c r="G97" s="222">
        <v>11.7</v>
      </c>
      <c r="H97" s="223">
        <v>12</v>
      </c>
      <c r="I97" s="224">
        <v>12</v>
      </c>
      <c r="J97" s="500" t="s">
        <v>79</v>
      </c>
      <c r="K97" s="6">
        <v>92</v>
      </c>
      <c r="L97" s="496">
        <v>92</v>
      </c>
      <c r="M97" s="192">
        <v>92</v>
      </c>
    </row>
    <row r="98" spans="1:13" ht="16.149999999999999" customHeight="1" thickBot="1" x14ac:dyDescent="0.25">
      <c r="A98" s="320"/>
      <c r="B98" s="321"/>
      <c r="C98" s="322"/>
      <c r="D98" s="971"/>
      <c r="E98" s="568"/>
      <c r="F98" s="46" t="s">
        <v>14</v>
      </c>
      <c r="G98" s="41">
        <f t="shared" ref="G98:I98" si="4">SUM(G97)</f>
        <v>11.7</v>
      </c>
      <c r="H98" s="149">
        <f t="shared" si="4"/>
        <v>12</v>
      </c>
      <c r="I98" s="154">
        <f t="shared" si="4"/>
        <v>12</v>
      </c>
      <c r="J98" s="501"/>
      <c r="K98" s="212"/>
      <c r="L98" s="497"/>
      <c r="M98" s="114"/>
    </row>
    <row r="99" spans="1:13" ht="13.5" customHeight="1" thickBot="1" x14ac:dyDescent="0.25">
      <c r="A99" s="330" t="s">
        <v>12</v>
      </c>
      <c r="B99" s="331" t="s">
        <v>12</v>
      </c>
      <c r="C99" s="1029" t="s">
        <v>18</v>
      </c>
      <c r="D99" s="1030"/>
      <c r="E99" s="1030"/>
      <c r="F99" s="1030"/>
      <c r="G99" s="332">
        <f>G84+G90+G94+G96+G98+G92</f>
        <v>102259.29999999997</v>
      </c>
      <c r="H99" s="333">
        <f>H84+H90+H94+H96+H98+H92</f>
        <v>103766.59999999999</v>
      </c>
      <c r="I99" s="334">
        <f>I84+I90+I94+I96+I98+I92</f>
        <v>105132.19999999998</v>
      </c>
      <c r="J99" s="473"/>
      <c r="K99" s="473"/>
      <c r="L99" s="473"/>
      <c r="M99" s="474"/>
    </row>
    <row r="100" spans="1:13" ht="15.75" customHeight="1" thickBot="1" x14ac:dyDescent="0.25">
      <c r="A100" s="330" t="s">
        <v>12</v>
      </c>
      <c r="B100" s="1031" t="s">
        <v>5</v>
      </c>
      <c r="C100" s="1032"/>
      <c r="D100" s="1032"/>
      <c r="E100" s="1032"/>
      <c r="F100" s="1032"/>
      <c r="G100" s="335">
        <f t="shared" ref="G100:I100" si="5">G99</f>
        <v>102259.29999999997</v>
      </c>
      <c r="H100" s="336">
        <f t="shared" si="5"/>
        <v>103766.59999999999</v>
      </c>
      <c r="I100" s="337">
        <f t="shared" si="5"/>
        <v>105132.19999999998</v>
      </c>
      <c r="J100" s="338"/>
      <c r="K100" s="338"/>
      <c r="L100" s="338"/>
      <c r="M100" s="339"/>
    </row>
    <row r="101" spans="1:13" ht="15.75" customHeight="1" thickBot="1" x14ac:dyDescent="0.25">
      <c r="A101" s="312" t="s">
        <v>15</v>
      </c>
      <c r="B101" s="1033" t="s">
        <v>31</v>
      </c>
      <c r="C101" s="1034"/>
      <c r="D101" s="1034"/>
      <c r="E101" s="1034"/>
      <c r="F101" s="1034"/>
      <c r="G101" s="1034"/>
      <c r="H101" s="1034"/>
      <c r="I101" s="1034"/>
      <c r="J101" s="1034"/>
      <c r="K101" s="1034"/>
      <c r="L101" s="1034"/>
      <c r="M101" s="1035"/>
    </row>
    <row r="102" spans="1:13" ht="15.75" customHeight="1" thickBot="1" x14ac:dyDescent="0.25">
      <c r="A102" s="330" t="s">
        <v>15</v>
      </c>
      <c r="B102" s="340" t="s">
        <v>12</v>
      </c>
      <c r="C102" s="1036" t="s">
        <v>27</v>
      </c>
      <c r="D102" s="1037"/>
      <c r="E102" s="1037"/>
      <c r="F102" s="1037"/>
      <c r="G102" s="1037"/>
      <c r="H102" s="1037"/>
      <c r="I102" s="1037"/>
      <c r="J102" s="1037"/>
      <c r="K102" s="1037"/>
      <c r="L102" s="1037"/>
      <c r="M102" s="1038"/>
    </row>
    <row r="103" spans="1:13" s="341" customFormat="1" ht="15" customHeight="1" x14ac:dyDescent="0.2">
      <c r="A103" s="1072" t="s">
        <v>15</v>
      </c>
      <c r="B103" s="1024" t="s">
        <v>12</v>
      </c>
      <c r="C103" s="1122" t="s">
        <v>12</v>
      </c>
      <c r="D103" s="981" t="s">
        <v>123</v>
      </c>
      <c r="E103" s="1016" t="s">
        <v>163</v>
      </c>
      <c r="F103" s="494" t="s">
        <v>70</v>
      </c>
      <c r="G103" s="42">
        <v>220.9</v>
      </c>
      <c r="H103" s="142"/>
      <c r="I103" s="137"/>
      <c r="J103" s="234" t="s">
        <v>234</v>
      </c>
      <c r="K103" s="14">
        <v>6</v>
      </c>
      <c r="L103" s="516"/>
      <c r="M103" s="192"/>
    </row>
    <row r="104" spans="1:13" s="341" customFormat="1" ht="15" customHeight="1" x14ac:dyDescent="0.2">
      <c r="A104" s="1073"/>
      <c r="B104" s="1025"/>
      <c r="C104" s="1123"/>
      <c r="D104" s="968"/>
      <c r="E104" s="1017"/>
      <c r="F104" s="45" t="s">
        <v>13</v>
      </c>
      <c r="G104" s="449">
        <v>50.8</v>
      </c>
      <c r="H104" s="425">
        <v>71.7</v>
      </c>
      <c r="I104" s="426">
        <v>71.7</v>
      </c>
      <c r="J104" s="68"/>
      <c r="K104" s="87"/>
      <c r="L104" s="124"/>
      <c r="M104" s="569"/>
    </row>
    <row r="105" spans="1:13" s="341" customFormat="1" ht="15" customHeight="1" x14ac:dyDescent="0.2">
      <c r="A105" s="1073"/>
      <c r="B105" s="1025"/>
      <c r="C105" s="1123"/>
      <c r="D105" s="968"/>
      <c r="E105" s="1017"/>
      <c r="F105" s="450" t="s">
        <v>70</v>
      </c>
      <c r="G105" s="449">
        <v>20.9</v>
      </c>
      <c r="H105" s="451"/>
      <c r="I105" s="452"/>
      <c r="J105" s="515"/>
      <c r="K105" s="87"/>
      <c r="L105" s="124"/>
      <c r="M105" s="103"/>
    </row>
    <row r="106" spans="1:13" s="341" customFormat="1" ht="15" customHeight="1" thickBot="1" x14ac:dyDescent="0.25">
      <c r="A106" s="1074"/>
      <c r="B106" s="1026"/>
      <c r="C106" s="1124"/>
      <c r="D106" s="971"/>
      <c r="E106" s="1018"/>
      <c r="F106" s="570" t="s">
        <v>14</v>
      </c>
      <c r="G106" s="354">
        <f>SUM(G103:G105)</f>
        <v>292.59999999999997</v>
      </c>
      <c r="H106" s="355">
        <f>SUM(H103:H105)</f>
        <v>71.7</v>
      </c>
      <c r="I106" s="571">
        <f>SUM(I103:I105)</f>
        <v>71.7</v>
      </c>
      <c r="J106" s="509"/>
      <c r="K106" s="15"/>
      <c r="L106" s="497"/>
      <c r="M106" s="114"/>
    </row>
    <row r="107" spans="1:13" ht="16.149999999999999" customHeight="1" x14ac:dyDescent="0.2">
      <c r="A107" s="312" t="s">
        <v>15</v>
      </c>
      <c r="B107" s="313" t="s">
        <v>12</v>
      </c>
      <c r="C107" s="284" t="s">
        <v>15</v>
      </c>
      <c r="D107" s="994" t="s">
        <v>170</v>
      </c>
      <c r="E107" s="225"/>
      <c r="F107" s="593" t="s">
        <v>13</v>
      </c>
      <c r="G107" s="222">
        <v>1088.9000000000001</v>
      </c>
      <c r="H107" s="223">
        <v>7791.2</v>
      </c>
      <c r="I107" s="304">
        <v>4248</v>
      </c>
      <c r="J107" s="537"/>
      <c r="K107" s="6"/>
      <c r="L107" s="538"/>
      <c r="M107" s="192"/>
    </row>
    <row r="108" spans="1:13" ht="16.149999999999999" customHeight="1" x14ac:dyDescent="0.2">
      <c r="A108" s="295"/>
      <c r="B108" s="286"/>
      <c r="C108" s="294"/>
      <c r="D108" s="993"/>
      <c r="E108" s="219"/>
      <c r="F108" s="594" t="s">
        <v>266</v>
      </c>
      <c r="G108" s="11">
        <v>2702.5</v>
      </c>
      <c r="H108" s="141"/>
      <c r="I108" s="146"/>
      <c r="J108" s="533"/>
      <c r="K108" s="111"/>
      <c r="L108" s="124"/>
      <c r="M108" s="103"/>
    </row>
    <row r="109" spans="1:13" ht="16.149999999999999" customHeight="1" x14ac:dyDescent="0.2">
      <c r="A109" s="295"/>
      <c r="B109" s="286"/>
      <c r="C109" s="294"/>
      <c r="D109" s="993"/>
      <c r="E109" s="219"/>
      <c r="F109" s="594" t="s">
        <v>70</v>
      </c>
      <c r="G109" s="11">
        <v>3752.6</v>
      </c>
      <c r="H109" s="141"/>
      <c r="I109" s="146"/>
      <c r="J109" s="533"/>
      <c r="K109" s="111"/>
      <c r="L109" s="124"/>
      <c r="M109" s="103"/>
    </row>
    <row r="110" spans="1:13" ht="16.149999999999999" customHeight="1" x14ac:dyDescent="0.2">
      <c r="A110" s="295"/>
      <c r="B110" s="286"/>
      <c r="C110" s="294"/>
      <c r="D110" s="993"/>
      <c r="E110" s="219"/>
      <c r="F110" s="595" t="s">
        <v>231</v>
      </c>
      <c r="G110" s="11">
        <v>1778.7</v>
      </c>
      <c r="H110" s="141"/>
      <c r="I110" s="146"/>
      <c r="J110" s="533"/>
      <c r="K110" s="111"/>
      <c r="L110" s="124"/>
      <c r="M110" s="103"/>
    </row>
    <row r="111" spans="1:13" ht="16.149999999999999" customHeight="1" x14ac:dyDescent="0.2">
      <c r="A111" s="295"/>
      <c r="B111" s="286"/>
      <c r="C111" s="294"/>
      <c r="D111" s="993"/>
      <c r="E111" s="219"/>
      <c r="F111" s="235" t="s">
        <v>16</v>
      </c>
      <c r="G111" s="11">
        <v>18.899999999999999</v>
      </c>
      <c r="H111" s="141"/>
      <c r="I111" s="146"/>
      <c r="J111" s="533"/>
      <c r="K111" s="111"/>
      <c r="L111" s="124"/>
      <c r="M111" s="103"/>
    </row>
    <row r="112" spans="1:13" ht="16.149999999999999" customHeight="1" x14ac:dyDescent="0.2">
      <c r="A112" s="295"/>
      <c r="B112" s="286"/>
      <c r="C112" s="294"/>
      <c r="D112" s="993"/>
      <c r="E112" s="219"/>
      <c r="F112" s="459" t="s">
        <v>149</v>
      </c>
      <c r="G112" s="11">
        <v>1</v>
      </c>
      <c r="H112" s="141"/>
      <c r="I112" s="146"/>
      <c r="J112" s="533"/>
      <c r="K112" s="111"/>
      <c r="L112" s="124"/>
      <c r="M112" s="103"/>
    </row>
    <row r="113" spans="1:13" ht="16.149999999999999" customHeight="1" x14ac:dyDescent="0.2">
      <c r="A113" s="295"/>
      <c r="B113" s="286"/>
      <c r="C113" s="294"/>
      <c r="D113" s="993"/>
      <c r="E113" s="219"/>
      <c r="F113" s="596" t="s">
        <v>72</v>
      </c>
      <c r="G113" s="11">
        <v>979.2</v>
      </c>
      <c r="H113" s="141">
        <f>SUMIF(F117:F162,"sb(es)'",H117:H162)</f>
        <v>263.7</v>
      </c>
      <c r="I113" s="146">
        <f>SUMIF(F117:F162,"sb(es)'",I117:I162)</f>
        <v>0</v>
      </c>
      <c r="J113" s="533"/>
      <c r="K113" s="111"/>
      <c r="L113" s="124"/>
      <c r="M113" s="103"/>
    </row>
    <row r="114" spans="1:13" ht="16.149999999999999" customHeight="1" x14ac:dyDescent="0.2">
      <c r="A114" s="295"/>
      <c r="B114" s="286"/>
      <c r="C114" s="294"/>
      <c r="D114" s="993"/>
      <c r="E114" s="219"/>
      <c r="F114" s="459" t="s">
        <v>148</v>
      </c>
      <c r="G114" s="11">
        <v>129.30000000000001</v>
      </c>
      <c r="H114" s="141"/>
      <c r="I114" s="146"/>
      <c r="J114" s="533"/>
      <c r="K114" s="111"/>
      <c r="L114" s="124"/>
      <c r="M114" s="103"/>
    </row>
    <row r="115" spans="1:13" ht="16.149999999999999" customHeight="1" x14ac:dyDescent="0.2">
      <c r="A115" s="295"/>
      <c r="B115" s="286"/>
      <c r="C115" s="294"/>
      <c r="D115" s="993"/>
      <c r="E115" s="219"/>
      <c r="F115" s="468" t="s">
        <v>3</v>
      </c>
      <c r="G115" s="11">
        <v>210</v>
      </c>
      <c r="H115" s="141">
        <f>SUMIF(F119:F164,"lrvb'",H119:H164)</f>
        <v>789.8</v>
      </c>
      <c r="I115" s="146">
        <f>SUMIF(F118:F163,"lrvb'",I118:I163)</f>
        <v>2633.1</v>
      </c>
      <c r="J115" s="533"/>
      <c r="K115" s="111"/>
      <c r="L115" s="124"/>
      <c r="M115" s="103"/>
    </row>
    <row r="116" spans="1:13" ht="16.149999999999999" customHeight="1" x14ac:dyDescent="0.2">
      <c r="A116" s="295"/>
      <c r="B116" s="286"/>
      <c r="C116" s="294"/>
      <c r="D116" s="1177"/>
      <c r="E116" s="219"/>
      <c r="F116" s="109" t="s">
        <v>222</v>
      </c>
      <c r="G116" s="134">
        <v>89.9</v>
      </c>
      <c r="H116" s="208"/>
      <c r="I116" s="216"/>
      <c r="J116" s="533"/>
      <c r="K116" s="111"/>
      <c r="L116" s="124"/>
      <c r="M116" s="103"/>
    </row>
    <row r="117" spans="1:13" s="82" customFormat="1" ht="43.5" customHeight="1" x14ac:dyDescent="0.2">
      <c r="A117" s="342"/>
      <c r="B117" s="343"/>
      <c r="C117" s="344"/>
      <c r="D117" s="84" t="s">
        <v>102</v>
      </c>
      <c r="E117" s="345"/>
      <c r="F117" s="462"/>
      <c r="G117" s="601"/>
      <c r="H117" s="602"/>
      <c r="I117" s="579"/>
      <c r="J117" s="463"/>
      <c r="K117" s="462"/>
      <c r="L117" s="464"/>
      <c r="M117" s="465"/>
    </row>
    <row r="118" spans="1:13" ht="14.25" customHeight="1" x14ac:dyDescent="0.2">
      <c r="A118" s="295"/>
      <c r="B118" s="286"/>
      <c r="C118" s="294"/>
      <c r="D118" s="967" t="s">
        <v>242</v>
      </c>
      <c r="E118" s="565" t="s">
        <v>163</v>
      </c>
      <c r="F118" s="586" t="s">
        <v>274</v>
      </c>
      <c r="G118" s="575">
        <v>37</v>
      </c>
      <c r="H118" s="576"/>
      <c r="I118" s="580"/>
      <c r="J118" s="1178" t="s">
        <v>42</v>
      </c>
      <c r="K118" s="603">
        <v>1</v>
      </c>
      <c r="L118" s="236"/>
      <c r="M118" s="179"/>
    </row>
    <row r="119" spans="1:13" ht="14.65" customHeight="1" x14ac:dyDescent="0.2">
      <c r="A119" s="295"/>
      <c r="B119" s="286"/>
      <c r="C119" s="294"/>
      <c r="D119" s="968"/>
      <c r="E119" s="542" t="s">
        <v>2</v>
      </c>
      <c r="F119" s="586" t="s">
        <v>276</v>
      </c>
      <c r="G119" s="575">
        <f>670.4-460.4</f>
        <v>210</v>
      </c>
      <c r="H119" s="599">
        <v>789.8</v>
      </c>
      <c r="I119" s="580">
        <v>614</v>
      </c>
      <c r="J119" s="1183"/>
      <c r="K119" s="604"/>
      <c r="L119" s="237"/>
      <c r="M119" s="180"/>
    </row>
    <row r="120" spans="1:13" ht="31.15" customHeight="1" x14ac:dyDescent="0.2">
      <c r="A120" s="295"/>
      <c r="B120" s="286"/>
      <c r="C120" s="294"/>
      <c r="D120" s="968"/>
      <c r="E120" s="542"/>
      <c r="F120" s="586"/>
      <c r="G120" s="575"/>
      <c r="H120" s="599"/>
      <c r="I120" s="580"/>
      <c r="J120" s="527" t="s">
        <v>205</v>
      </c>
      <c r="K120" s="605">
        <v>15</v>
      </c>
      <c r="L120" s="466">
        <v>65</v>
      </c>
      <c r="M120" s="467">
        <v>100</v>
      </c>
    </row>
    <row r="121" spans="1:13" ht="16.899999999999999" customHeight="1" x14ac:dyDescent="0.2">
      <c r="A121" s="295"/>
      <c r="B121" s="286"/>
      <c r="C121" s="294"/>
      <c r="D121" s="967" t="s">
        <v>243</v>
      </c>
      <c r="E121" s="577" t="s">
        <v>163</v>
      </c>
      <c r="F121" s="587" t="s">
        <v>150</v>
      </c>
      <c r="G121" s="575"/>
      <c r="H121" s="576">
        <f>4481.2+254</f>
        <v>4735.2</v>
      </c>
      <c r="I121" s="580"/>
      <c r="J121" s="630" t="s">
        <v>45</v>
      </c>
      <c r="K121" s="605">
        <v>70</v>
      </c>
      <c r="L121" s="241">
        <v>100</v>
      </c>
      <c r="M121" s="181"/>
    </row>
    <row r="122" spans="1:13" ht="16.899999999999999" customHeight="1" x14ac:dyDescent="0.2">
      <c r="A122" s="295"/>
      <c r="B122" s="286"/>
      <c r="C122" s="294"/>
      <c r="D122" s="968"/>
      <c r="E122" s="694" t="s">
        <v>2</v>
      </c>
      <c r="F122" s="587" t="s">
        <v>279</v>
      </c>
      <c r="G122" s="575">
        <f>3126.5+2000+145.7+125.8-1000+1089.9-36.8+1121.3+18-3933.9-254</f>
        <v>2402.4999999999995</v>
      </c>
      <c r="H122" s="576"/>
      <c r="I122" s="580"/>
      <c r="J122" s="631"/>
      <c r="K122" s="606"/>
      <c r="L122" s="190"/>
      <c r="M122" s="182"/>
    </row>
    <row r="123" spans="1:13" ht="15" customHeight="1" x14ac:dyDescent="0.2">
      <c r="A123" s="295"/>
      <c r="B123" s="286"/>
      <c r="C123" s="294"/>
      <c r="D123" s="992" t="s">
        <v>104</v>
      </c>
      <c r="E123" s="506" t="s">
        <v>2</v>
      </c>
      <c r="F123" s="556" t="s">
        <v>150</v>
      </c>
      <c r="G123" s="559">
        <f>68.7+65.9</f>
        <v>134.60000000000002</v>
      </c>
      <c r="H123" s="548"/>
      <c r="I123" s="582"/>
      <c r="J123" s="1180" t="s">
        <v>90</v>
      </c>
      <c r="K123" s="350">
        <v>100</v>
      </c>
      <c r="L123" s="126"/>
      <c r="M123" s="183"/>
    </row>
    <row r="124" spans="1:13" ht="15" customHeight="1" x14ac:dyDescent="0.2">
      <c r="A124" s="295"/>
      <c r="B124" s="286"/>
      <c r="C124" s="294"/>
      <c r="D124" s="993"/>
      <c r="E124" s="506"/>
      <c r="F124" s="556" t="s">
        <v>274</v>
      </c>
      <c r="G124" s="559">
        <v>325.7</v>
      </c>
      <c r="H124" s="548"/>
      <c r="I124" s="582"/>
      <c r="J124" s="1181"/>
      <c r="K124" s="607"/>
      <c r="L124" s="451"/>
      <c r="M124" s="307"/>
    </row>
    <row r="125" spans="1:13" ht="15" customHeight="1" x14ac:dyDescent="0.2">
      <c r="A125" s="295"/>
      <c r="B125" s="286"/>
      <c r="C125" s="294"/>
      <c r="D125" s="993"/>
      <c r="E125" s="506"/>
      <c r="F125" s="556" t="s">
        <v>274</v>
      </c>
      <c r="G125" s="559">
        <v>180</v>
      </c>
      <c r="H125" s="548"/>
      <c r="I125" s="582"/>
      <c r="J125" s="1182"/>
      <c r="K125" s="608"/>
      <c r="L125" s="127"/>
      <c r="M125" s="184"/>
    </row>
    <row r="126" spans="1:13" ht="28.15" customHeight="1" x14ac:dyDescent="0.2">
      <c r="A126" s="295"/>
      <c r="B126" s="286"/>
      <c r="C126" s="287"/>
      <c r="D126" s="967" t="s">
        <v>289</v>
      </c>
      <c r="E126" s="565" t="s">
        <v>2</v>
      </c>
      <c r="F126" s="556" t="s">
        <v>150</v>
      </c>
      <c r="G126" s="559">
        <v>586.1</v>
      </c>
      <c r="H126" s="576">
        <f>870-80</f>
        <v>790</v>
      </c>
      <c r="I126" s="580">
        <f>1020-420</f>
        <v>600</v>
      </c>
      <c r="J126" s="125" t="s">
        <v>112</v>
      </c>
      <c r="K126" s="210">
        <f>2-1</f>
        <v>1</v>
      </c>
      <c r="L126" s="121">
        <v>1</v>
      </c>
      <c r="M126" s="196">
        <v>1</v>
      </c>
    </row>
    <row r="127" spans="1:13" ht="20.45" customHeight="1" x14ac:dyDescent="0.2">
      <c r="A127" s="295"/>
      <c r="B127" s="286"/>
      <c r="C127" s="287"/>
      <c r="D127" s="968"/>
      <c r="E127" s="219"/>
      <c r="F127" s="556" t="s">
        <v>274</v>
      </c>
      <c r="G127" s="559">
        <v>150</v>
      </c>
      <c r="H127" s="548"/>
      <c r="I127" s="582"/>
      <c r="J127" s="195" t="s">
        <v>223</v>
      </c>
      <c r="K127" s="232">
        <v>1</v>
      </c>
      <c r="L127" s="119">
        <v>2</v>
      </c>
      <c r="M127" s="213">
        <v>1</v>
      </c>
    </row>
    <row r="128" spans="1:13" ht="20.45" customHeight="1" x14ac:dyDescent="0.2">
      <c r="A128" s="295"/>
      <c r="B128" s="286"/>
      <c r="C128" s="287"/>
      <c r="D128" s="969"/>
      <c r="E128" s="219"/>
      <c r="F128" s="556" t="s">
        <v>281</v>
      </c>
      <c r="G128" s="559">
        <v>89.9</v>
      </c>
      <c r="H128" s="548"/>
      <c r="I128" s="582"/>
      <c r="J128" s="129"/>
      <c r="K128" s="371"/>
      <c r="L128" s="123"/>
      <c r="M128" s="194"/>
    </row>
    <row r="129" spans="1:18" ht="19.149999999999999" customHeight="1" x14ac:dyDescent="0.2">
      <c r="A129" s="295"/>
      <c r="B129" s="286"/>
      <c r="C129" s="294"/>
      <c r="D129" s="967" t="s">
        <v>178</v>
      </c>
      <c r="E129" s="565" t="s">
        <v>163</v>
      </c>
      <c r="F129" s="586" t="s">
        <v>274</v>
      </c>
      <c r="G129" s="598">
        <f>21-3+33.5</f>
        <v>51.5</v>
      </c>
      <c r="H129" s="600"/>
      <c r="I129" s="583"/>
      <c r="J129" s="1178" t="s">
        <v>103</v>
      </c>
      <c r="K129" s="610">
        <v>7</v>
      </c>
      <c r="L129" s="188"/>
      <c r="M129" s="179"/>
    </row>
    <row r="130" spans="1:18" ht="19.149999999999999" customHeight="1" x14ac:dyDescent="0.2">
      <c r="A130" s="295"/>
      <c r="B130" s="286"/>
      <c r="C130" s="294"/>
      <c r="D130" s="968"/>
      <c r="E130" s="542"/>
      <c r="F130" s="586" t="s">
        <v>277</v>
      </c>
      <c r="G130" s="598">
        <f>210.4+14.8-10.7</f>
        <v>214.50000000000003</v>
      </c>
      <c r="H130" s="600"/>
      <c r="I130" s="583"/>
      <c r="J130" s="1179"/>
      <c r="K130" s="111"/>
      <c r="L130" s="189"/>
      <c r="M130" s="180"/>
    </row>
    <row r="131" spans="1:18" ht="19.149999999999999" customHeight="1" x14ac:dyDescent="0.2">
      <c r="A131" s="295"/>
      <c r="B131" s="286"/>
      <c r="C131" s="294"/>
      <c r="D131" s="968"/>
      <c r="E131" s="542" t="s">
        <v>2</v>
      </c>
      <c r="F131" s="586" t="s">
        <v>278</v>
      </c>
      <c r="G131" s="598">
        <v>10.7</v>
      </c>
      <c r="H131" s="600"/>
      <c r="I131" s="583"/>
      <c r="J131" s="1179"/>
      <c r="K131" s="610"/>
      <c r="L131" s="189"/>
      <c r="M131" s="180"/>
    </row>
    <row r="132" spans="1:18" ht="19.149999999999999" customHeight="1" x14ac:dyDescent="0.2">
      <c r="A132" s="295"/>
      <c r="B132" s="286"/>
      <c r="C132" s="294"/>
      <c r="D132" s="968"/>
      <c r="E132" s="542"/>
      <c r="F132" s="586" t="s">
        <v>272</v>
      </c>
      <c r="G132" s="598">
        <f>18.6+1.3-1</f>
        <v>18.900000000000002</v>
      </c>
      <c r="H132" s="600"/>
      <c r="I132" s="583"/>
      <c r="J132" s="1179"/>
      <c r="K132" s="111"/>
      <c r="L132" s="124"/>
      <c r="M132" s="103"/>
    </row>
    <row r="133" spans="1:18" ht="19.149999999999999" customHeight="1" x14ac:dyDescent="0.2">
      <c r="A133" s="295"/>
      <c r="B133" s="286"/>
      <c r="C133" s="294"/>
      <c r="D133" s="968"/>
      <c r="E133" s="542"/>
      <c r="F133" s="586" t="s">
        <v>280</v>
      </c>
      <c r="G133" s="575">
        <v>1</v>
      </c>
      <c r="H133" s="600"/>
      <c r="I133" s="583"/>
      <c r="J133" s="632"/>
      <c r="K133" s="111"/>
      <c r="L133" s="124"/>
      <c r="M133" s="103"/>
    </row>
    <row r="134" spans="1:18" s="17" customFormat="1" ht="29.65" customHeight="1" x14ac:dyDescent="0.2">
      <c r="A134" s="295"/>
      <c r="B134" s="286"/>
      <c r="C134" s="346"/>
      <c r="D134" s="967" t="s">
        <v>258</v>
      </c>
      <c r="E134" s="697" t="s">
        <v>163</v>
      </c>
      <c r="F134" s="556" t="s">
        <v>150</v>
      </c>
      <c r="G134" s="561"/>
      <c r="H134" s="552">
        <v>200</v>
      </c>
      <c r="I134" s="584">
        <v>200</v>
      </c>
      <c r="J134" s="524" t="s">
        <v>290</v>
      </c>
      <c r="K134" s="109"/>
      <c r="L134" s="119">
        <v>1</v>
      </c>
      <c r="M134" s="113">
        <v>1</v>
      </c>
    </row>
    <row r="135" spans="1:18" s="17" customFormat="1" ht="30" customHeight="1" x14ac:dyDescent="0.2">
      <c r="A135" s="295"/>
      <c r="B135" s="286"/>
      <c r="C135" s="346"/>
      <c r="D135" s="969"/>
      <c r="E135" s="698" t="s">
        <v>2</v>
      </c>
      <c r="F135" s="556"/>
      <c r="G135" s="561"/>
      <c r="H135" s="552"/>
      <c r="I135" s="584"/>
      <c r="J135" s="524" t="s">
        <v>200</v>
      </c>
      <c r="K135" s="210"/>
      <c r="L135" s="121">
        <v>1</v>
      </c>
      <c r="M135" s="447">
        <v>1</v>
      </c>
    </row>
    <row r="136" spans="1:18" ht="30" customHeight="1" x14ac:dyDescent="0.2">
      <c r="A136" s="295"/>
      <c r="B136" s="286"/>
      <c r="C136" s="294"/>
      <c r="D136" s="961" t="s">
        <v>227</v>
      </c>
      <c r="E136" s="577" t="s">
        <v>228</v>
      </c>
      <c r="F136" s="588" t="s">
        <v>150</v>
      </c>
      <c r="G136" s="597"/>
      <c r="H136" s="599">
        <v>50</v>
      </c>
      <c r="I136" s="581"/>
      <c r="J136" s="633" t="s">
        <v>229</v>
      </c>
      <c r="K136" s="109"/>
      <c r="L136" s="119">
        <v>1</v>
      </c>
      <c r="M136" s="113"/>
      <c r="N136" s="1185"/>
      <c r="O136" s="1186"/>
      <c r="P136" s="1186"/>
      <c r="Q136" s="1186"/>
      <c r="R136" s="1186"/>
    </row>
    <row r="137" spans="1:18" ht="14.65" customHeight="1" x14ac:dyDescent="0.2">
      <c r="A137" s="295"/>
      <c r="B137" s="286"/>
      <c r="C137" s="294"/>
      <c r="D137" s="1184"/>
      <c r="E137" s="696" t="s">
        <v>2</v>
      </c>
      <c r="F137" s="588" t="s">
        <v>276</v>
      </c>
      <c r="G137" s="575"/>
      <c r="H137" s="576"/>
      <c r="I137" s="580">
        <v>843</v>
      </c>
      <c r="J137" s="1178" t="s">
        <v>230</v>
      </c>
      <c r="K137" s="109"/>
      <c r="L137" s="119"/>
      <c r="M137" s="113">
        <v>100</v>
      </c>
    </row>
    <row r="138" spans="1:18" ht="14.65" customHeight="1" x14ac:dyDescent="0.2">
      <c r="A138" s="295"/>
      <c r="B138" s="286"/>
      <c r="C138" s="294"/>
      <c r="D138" s="962"/>
      <c r="E138" s="458"/>
      <c r="F138" s="588"/>
      <c r="G138" s="575"/>
      <c r="H138" s="576"/>
      <c r="I138" s="580"/>
      <c r="J138" s="1183"/>
      <c r="K138" s="371"/>
      <c r="L138" s="123"/>
      <c r="M138" s="194"/>
    </row>
    <row r="139" spans="1:18" ht="15.6" customHeight="1" x14ac:dyDescent="0.2">
      <c r="A139" s="295"/>
      <c r="B139" s="286"/>
      <c r="C139" s="294"/>
      <c r="D139" s="967" t="s">
        <v>232</v>
      </c>
      <c r="E139" s="577" t="s">
        <v>163</v>
      </c>
      <c r="F139" s="589" t="s">
        <v>150</v>
      </c>
      <c r="G139" s="575"/>
      <c r="H139" s="576"/>
      <c r="I139" s="580">
        <v>36.9</v>
      </c>
      <c r="J139" s="1180" t="s">
        <v>262</v>
      </c>
      <c r="K139" s="611"/>
      <c r="L139" s="247"/>
      <c r="M139" s="185">
        <v>100</v>
      </c>
    </row>
    <row r="140" spans="1:18" ht="15.6" customHeight="1" x14ac:dyDescent="0.2">
      <c r="A140" s="295"/>
      <c r="B140" s="286"/>
      <c r="C140" s="294"/>
      <c r="D140" s="969"/>
      <c r="E140" s="698" t="s">
        <v>2</v>
      </c>
      <c r="F140" s="589" t="s">
        <v>276</v>
      </c>
      <c r="G140" s="575"/>
      <c r="H140" s="576"/>
      <c r="I140" s="580">
        <v>200</v>
      </c>
      <c r="J140" s="1182"/>
      <c r="K140" s="612"/>
      <c r="L140" s="245"/>
      <c r="M140" s="200"/>
    </row>
    <row r="141" spans="1:18" ht="15.6" customHeight="1" x14ac:dyDescent="0.2">
      <c r="A141" s="295"/>
      <c r="B141" s="286"/>
      <c r="C141" s="294"/>
      <c r="D141" s="967" t="s">
        <v>291</v>
      </c>
      <c r="E141" s="697" t="s">
        <v>163</v>
      </c>
      <c r="F141" s="589" t="s">
        <v>150</v>
      </c>
      <c r="G141" s="575"/>
      <c r="H141" s="576"/>
      <c r="I141" s="581">
        <v>58.6</v>
      </c>
      <c r="J141" s="634" t="s">
        <v>233</v>
      </c>
      <c r="K141" s="611"/>
      <c r="L141" s="247"/>
      <c r="M141" s="185">
        <v>100</v>
      </c>
    </row>
    <row r="142" spans="1:18" ht="15.6" customHeight="1" x14ac:dyDescent="0.2">
      <c r="A142" s="295"/>
      <c r="B142" s="286"/>
      <c r="C142" s="294"/>
      <c r="D142" s="968"/>
      <c r="E142" s="696" t="s">
        <v>2</v>
      </c>
      <c r="F142" s="589" t="s">
        <v>276</v>
      </c>
      <c r="G142" s="575"/>
      <c r="H142" s="576"/>
      <c r="I142" s="581">
        <v>300</v>
      </c>
      <c r="J142" s="635"/>
      <c r="K142" s="612"/>
      <c r="L142" s="245"/>
      <c r="M142" s="200"/>
    </row>
    <row r="143" spans="1:18" ht="14.65" customHeight="1" x14ac:dyDescent="0.2">
      <c r="A143" s="295"/>
      <c r="B143" s="286"/>
      <c r="C143" s="294"/>
      <c r="D143" s="1120" t="s">
        <v>105</v>
      </c>
      <c r="E143" s="529"/>
      <c r="F143" s="556"/>
      <c r="G143" s="573"/>
      <c r="H143" s="574"/>
      <c r="I143" s="585"/>
      <c r="J143" s="532"/>
      <c r="K143" s="197"/>
      <c r="L143" s="254"/>
      <c r="M143" s="255"/>
    </row>
    <row r="144" spans="1:18" ht="14.65" customHeight="1" x14ac:dyDescent="0.2">
      <c r="A144" s="295"/>
      <c r="B144" s="286"/>
      <c r="C144" s="294"/>
      <c r="D144" s="1010"/>
      <c r="E144" s="530"/>
      <c r="F144" s="586"/>
      <c r="G144" s="559"/>
      <c r="H144" s="548"/>
      <c r="I144" s="582"/>
      <c r="J144" s="533"/>
      <c r="K144" s="419"/>
      <c r="L144" s="176"/>
      <c r="M144" s="171"/>
    </row>
    <row r="145" spans="1:20" ht="14.65" customHeight="1" x14ac:dyDescent="0.2">
      <c r="A145" s="295"/>
      <c r="B145" s="286"/>
      <c r="C145" s="294"/>
      <c r="D145" s="968" t="s">
        <v>142</v>
      </c>
      <c r="E145" s="248" t="s">
        <v>163</v>
      </c>
      <c r="F145" s="586" t="s">
        <v>150</v>
      </c>
      <c r="G145" s="575">
        <f>396.2-396.2+356+140+40+7.4+152.9+551+220.9-800-300</f>
        <v>368.20000000000005</v>
      </c>
      <c r="H145" s="576">
        <f>358.7+800+49</f>
        <v>1207.7</v>
      </c>
      <c r="I145" s="580"/>
      <c r="J145" s="636" t="s">
        <v>78</v>
      </c>
      <c r="K145" s="618">
        <v>50</v>
      </c>
      <c r="L145" s="619">
        <v>100</v>
      </c>
      <c r="M145" s="472"/>
    </row>
    <row r="146" spans="1:20" ht="14.65" customHeight="1" x14ac:dyDescent="0.2">
      <c r="A146" s="295"/>
      <c r="B146" s="286"/>
      <c r="C146" s="294"/>
      <c r="D146" s="968"/>
      <c r="E146" s="696" t="s">
        <v>2</v>
      </c>
      <c r="F146" s="586" t="s">
        <v>279</v>
      </c>
      <c r="G146" s="575">
        <v>300</v>
      </c>
      <c r="H146" s="576"/>
      <c r="I146" s="580"/>
      <c r="J146" s="636"/>
      <c r="K146" s="618"/>
      <c r="L146" s="619"/>
      <c r="M146" s="472"/>
    </row>
    <row r="147" spans="1:20" ht="14.65" customHeight="1" x14ac:dyDescent="0.2">
      <c r="A147" s="295"/>
      <c r="B147" s="286"/>
      <c r="C147" s="294"/>
      <c r="D147" s="968"/>
      <c r="E147" s="578" t="s">
        <v>265</v>
      </c>
      <c r="F147" s="586" t="s">
        <v>274</v>
      </c>
      <c r="G147" s="575">
        <f>86.4-49</f>
        <v>37.400000000000006</v>
      </c>
      <c r="H147" s="576"/>
      <c r="I147" s="580"/>
      <c r="J147" s="636"/>
      <c r="K147" s="618"/>
      <c r="L147" s="619"/>
      <c r="M147" s="472"/>
    </row>
    <row r="148" spans="1:20" ht="15" customHeight="1" x14ac:dyDescent="0.2">
      <c r="A148" s="295"/>
      <c r="B148" s="286"/>
      <c r="C148" s="294"/>
      <c r="D148" s="969"/>
      <c r="E148" s="578"/>
      <c r="F148" s="586" t="s">
        <v>277</v>
      </c>
      <c r="G148" s="575">
        <f>263.7+255.8+95.9</f>
        <v>615.4</v>
      </c>
      <c r="H148" s="576">
        <f>113.7+150</f>
        <v>263.7</v>
      </c>
      <c r="I148" s="580"/>
      <c r="J148" s="636"/>
      <c r="K148" s="618"/>
      <c r="L148" s="619"/>
      <c r="M148" s="620"/>
    </row>
    <row r="149" spans="1:20" ht="30" customHeight="1" x14ac:dyDescent="0.2">
      <c r="A149" s="295"/>
      <c r="B149" s="286"/>
      <c r="C149" s="348"/>
      <c r="D149" s="482" t="s">
        <v>201</v>
      </c>
      <c r="E149" s="577" t="s">
        <v>163</v>
      </c>
      <c r="F149" s="590"/>
      <c r="G149" s="597"/>
      <c r="H149" s="576"/>
      <c r="I149" s="581"/>
      <c r="J149" s="445"/>
      <c r="K149" s="617"/>
      <c r="L149" s="241"/>
      <c r="M149" s="172"/>
    </row>
    <row r="150" spans="1:20" ht="30" customHeight="1" x14ac:dyDescent="0.2">
      <c r="A150" s="295"/>
      <c r="B150" s="286"/>
      <c r="C150" s="348"/>
      <c r="D150" s="1145" t="s">
        <v>292</v>
      </c>
      <c r="E150" s="696" t="s">
        <v>2</v>
      </c>
      <c r="F150" s="590" t="s">
        <v>150</v>
      </c>
      <c r="G150" s="597"/>
      <c r="H150" s="576">
        <v>35.700000000000003</v>
      </c>
      <c r="I150" s="581">
        <v>1013.6</v>
      </c>
      <c r="J150" s="637" t="s">
        <v>42</v>
      </c>
      <c r="K150" s="615"/>
      <c r="L150" s="616">
        <v>1</v>
      </c>
      <c r="M150" s="442">
        <v>2</v>
      </c>
      <c r="N150" s="471"/>
    </row>
    <row r="151" spans="1:20" ht="28.15" customHeight="1" x14ac:dyDescent="0.2">
      <c r="A151" s="295"/>
      <c r="B151" s="286"/>
      <c r="C151" s="348"/>
      <c r="D151" s="1152"/>
      <c r="E151" s="700"/>
      <c r="F151" s="590"/>
      <c r="G151" s="597"/>
      <c r="H151" s="576"/>
      <c r="I151" s="581"/>
      <c r="J151" s="445" t="s">
        <v>202</v>
      </c>
      <c r="K151" s="613"/>
      <c r="L151" s="241"/>
      <c r="M151" s="441">
        <v>30</v>
      </c>
    </row>
    <row r="152" spans="1:20" ht="45" customHeight="1" x14ac:dyDescent="0.2">
      <c r="A152" s="295"/>
      <c r="B152" s="286"/>
      <c r="C152" s="348"/>
      <c r="D152" s="250" t="s">
        <v>255</v>
      </c>
      <c r="E152" s="221"/>
      <c r="F152" s="590"/>
      <c r="G152" s="597"/>
      <c r="H152" s="576"/>
      <c r="I152" s="581"/>
      <c r="J152" s="445" t="s">
        <v>203</v>
      </c>
      <c r="K152" s="109"/>
      <c r="L152" s="119">
        <v>1</v>
      </c>
      <c r="M152" s="441">
        <v>1</v>
      </c>
    </row>
    <row r="153" spans="1:20" ht="30.6" customHeight="1" x14ac:dyDescent="0.2">
      <c r="A153" s="295"/>
      <c r="B153" s="286"/>
      <c r="C153" s="348"/>
      <c r="D153" s="251" t="s">
        <v>235</v>
      </c>
      <c r="E153" s="699" t="s">
        <v>2</v>
      </c>
      <c r="F153" s="591" t="s">
        <v>150</v>
      </c>
      <c r="G153" s="597"/>
      <c r="H153" s="599">
        <v>672.6</v>
      </c>
      <c r="I153" s="581"/>
      <c r="J153" s="445" t="s">
        <v>230</v>
      </c>
      <c r="K153" s="109"/>
      <c r="L153" s="119">
        <v>100</v>
      </c>
      <c r="M153" s="173"/>
    </row>
    <row r="154" spans="1:20" ht="19.149999999999999" customHeight="1" x14ac:dyDescent="0.2">
      <c r="A154" s="295"/>
      <c r="B154" s="286"/>
      <c r="C154" s="294"/>
      <c r="D154" s="992" t="s">
        <v>244</v>
      </c>
      <c r="E154" s="577" t="s">
        <v>163</v>
      </c>
      <c r="F154" s="586" t="s">
        <v>150</v>
      </c>
      <c r="G154" s="575"/>
      <c r="H154" s="576">
        <v>100</v>
      </c>
      <c r="I154" s="580">
        <f>200+2138.9</f>
        <v>2338.9</v>
      </c>
      <c r="J154" s="1163" t="s">
        <v>230</v>
      </c>
      <c r="K154" s="109"/>
      <c r="L154" s="119">
        <v>2</v>
      </c>
      <c r="M154" s="113">
        <v>50</v>
      </c>
      <c r="N154" s="997"/>
      <c r="O154" s="955"/>
      <c r="P154" s="955"/>
      <c r="Q154" s="955"/>
      <c r="R154" s="955"/>
      <c r="S154" s="955"/>
      <c r="T154" s="955"/>
    </row>
    <row r="155" spans="1:20" ht="19.149999999999999" customHeight="1" x14ac:dyDescent="0.2">
      <c r="A155" s="295"/>
      <c r="B155" s="286"/>
      <c r="C155" s="294"/>
      <c r="D155" s="993"/>
      <c r="E155" s="248" t="s">
        <v>265</v>
      </c>
      <c r="F155" s="586"/>
      <c r="G155" s="575"/>
      <c r="H155" s="576"/>
      <c r="I155" s="580"/>
      <c r="J155" s="1187"/>
      <c r="K155" s="111"/>
      <c r="L155" s="124"/>
      <c r="M155" s="103"/>
      <c r="N155" s="997"/>
      <c r="O155" s="955"/>
      <c r="P155" s="955"/>
      <c r="Q155" s="955"/>
      <c r="R155" s="955"/>
      <c r="S155" s="955"/>
      <c r="T155" s="955"/>
    </row>
    <row r="156" spans="1:20" ht="19.149999999999999" customHeight="1" x14ac:dyDescent="0.2">
      <c r="A156" s="295"/>
      <c r="B156" s="286"/>
      <c r="C156" s="294"/>
      <c r="D156" s="1177"/>
      <c r="E156" s="696" t="s">
        <v>2</v>
      </c>
      <c r="F156" s="586"/>
      <c r="G156" s="575"/>
      <c r="H156" s="576"/>
      <c r="I156" s="580"/>
      <c r="J156" s="68"/>
      <c r="K156" s="111"/>
      <c r="L156" s="124"/>
      <c r="M156" s="103"/>
      <c r="N156" s="695"/>
      <c r="O156" s="695"/>
      <c r="P156" s="695"/>
      <c r="Q156" s="695"/>
      <c r="R156" s="695"/>
      <c r="S156" s="695"/>
      <c r="T156" s="695"/>
    </row>
    <row r="157" spans="1:20" ht="15" customHeight="1" x14ac:dyDescent="0.2">
      <c r="A157" s="295"/>
      <c r="B157" s="286"/>
      <c r="C157" s="294"/>
      <c r="D157" s="1120" t="s">
        <v>106</v>
      </c>
      <c r="E157" s="565" t="s">
        <v>2</v>
      </c>
      <c r="F157" s="556"/>
      <c r="G157" s="575"/>
      <c r="H157" s="576"/>
      <c r="I157" s="580"/>
      <c r="J157" s="524"/>
      <c r="K157" s="197"/>
      <c r="L157" s="254"/>
      <c r="M157" s="255"/>
    </row>
    <row r="158" spans="1:20" ht="15" customHeight="1" x14ac:dyDescent="0.2">
      <c r="A158" s="295"/>
      <c r="B158" s="286"/>
      <c r="C158" s="294"/>
      <c r="D158" s="1121"/>
      <c r="E158" s="542"/>
      <c r="F158" s="556"/>
      <c r="G158" s="575"/>
      <c r="H158" s="576"/>
      <c r="I158" s="580"/>
      <c r="J158" s="525"/>
      <c r="K158" s="419"/>
      <c r="L158" s="176"/>
      <c r="M158" s="171"/>
    </row>
    <row r="159" spans="1:20" ht="27.75" customHeight="1" x14ac:dyDescent="0.2">
      <c r="A159" s="295"/>
      <c r="B159" s="286"/>
      <c r="C159" s="294"/>
      <c r="D159" s="967" t="s">
        <v>107</v>
      </c>
      <c r="E159" s="565" t="s">
        <v>163</v>
      </c>
      <c r="F159" s="592" t="s">
        <v>274</v>
      </c>
      <c r="G159" s="575">
        <f>113.7+35</f>
        <v>148.69999999999999</v>
      </c>
      <c r="H159" s="576"/>
      <c r="I159" s="580"/>
      <c r="J159" s="638" t="s">
        <v>66</v>
      </c>
      <c r="K159" s="610">
        <v>100</v>
      </c>
      <c r="L159" s="189"/>
      <c r="M159" s="180"/>
    </row>
    <row r="160" spans="1:20" ht="14.45" customHeight="1" x14ac:dyDescent="0.2">
      <c r="A160" s="295"/>
      <c r="B160" s="286"/>
      <c r="C160" s="293"/>
      <c r="D160" s="968"/>
      <c r="E160" s="542" t="s">
        <v>2</v>
      </c>
      <c r="F160" s="592" t="s">
        <v>278</v>
      </c>
      <c r="G160" s="575">
        <v>118.6</v>
      </c>
      <c r="H160" s="576"/>
      <c r="I160" s="580"/>
      <c r="J160" s="633" t="s">
        <v>77</v>
      </c>
      <c r="K160" s="614">
        <v>100</v>
      </c>
      <c r="L160" s="191"/>
      <c r="M160" s="186"/>
    </row>
    <row r="161" spans="1:13" ht="14.45" customHeight="1" x14ac:dyDescent="0.2">
      <c r="A161" s="295"/>
      <c r="B161" s="286"/>
      <c r="C161" s="293"/>
      <c r="D161" s="969"/>
      <c r="E161" s="506"/>
      <c r="F161" s="592" t="s">
        <v>277</v>
      </c>
      <c r="G161" s="575">
        <f>285.8-17.9-118.6</f>
        <v>149.30000000000004</v>
      </c>
      <c r="H161" s="576"/>
      <c r="I161" s="580"/>
      <c r="J161" s="638"/>
      <c r="K161" s="111"/>
      <c r="L161" s="124"/>
      <c r="M161" s="103"/>
    </row>
    <row r="162" spans="1:13" ht="33" customHeight="1" x14ac:dyDescent="0.2">
      <c r="A162" s="295"/>
      <c r="B162" s="286"/>
      <c r="C162" s="349"/>
      <c r="D162" s="967" t="s">
        <v>204</v>
      </c>
      <c r="E162" s="699" t="s">
        <v>2</v>
      </c>
      <c r="F162" s="591" t="s">
        <v>276</v>
      </c>
      <c r="G162" s="561"/>
      <c r="H162" s="552"/>
      <c r="I162" s="584">
        <v>676.1</v>
      </c>
      <c r="J162" s="639" t="s">
        <v>205</v>
      </c>
      <c r="K162" s="609"/>
      <c r="L162" s="188"/>
      <c r="M162" s="179">
        <v>30</v>
      </c>
    </row>
    <row r="163" spans="1:13" ht="13.5" customHeight="1" thickBot="1" x14ac:dyDescent="0.25">
      <c r="A163" s="320"/>
      <c r="B163" s="321"/>
      <c r="C163" s="322"/>
      <c r="D163" s="971"/>
      <c r="E163" s="989" t="s">
        <v>40</v>
      </c>
      <c r="F163" s="991"/>
      <c r="G163" s="354">
        <f>SUM(G107:G116)</f>
        <v>10751</v>
      </c>
      <c r="H163" s="355">
        <f>SUM(H107:H116)</f>
        <v>8844.6999999999989</v>
      </c>
      <c r="I163" s="571">
        <f>SUM(I107:I116)</f>
        <v>6881.1</v>
      </c>
      <c r="J163" s="640"/>
      <c r="K163" s="212"/>
      <c r="L163" s="539"/>
      <c r="M163" s="114"/>
    </row>
    <row r="164" spans="1:13" ht="29.25" customHeight="1" x14ac:dyDescent="0.2">
      <c r="A164" s="312" t="s">
        <v>15</v>
      </c>
      <c r="B164" s="313" t="s">
        <v>12</v>
      </c>
      <c r="C164" s="284" t="s">
        <v>17</v>
      </c>
      <c r="D164" s="503" t="s">
        <v>67</v>
      </c>
      <c r="E164" s="300"/>
      <c r="F164" s="6" t="s">
        <v>13</v>
      </c>
      <c r="G164" s="48">
        <v>231.5</v>
      </c>
      <c r="H164" s="273">
        <v>409.4</v>
      </c>
      <c r="I164" s="274">
        <v>434.2</v>
      </c>
      <c r="J164" s="541"/>
      <c r="K164" s="169"/>
      <c r="L164" s="175"/>
      <c r="M164" s="170"/>
    </row>
    <row r="165" spans="1:13" ht="21" customHeight="1" x14ac:dyDescent="0.2">
      <c r="A165" s="295"/>
      <c r="B165" s="286"/>
      <c r="C165" s="287"/>
      <c r="D165" s="967" t="s">
        <v>143</v>
      </c>
      <c r="E165" s="228"/>
      <c r="F165" s="556" t="s">
        <v>150</v>
      </c>
      <c r="G165" s="561">
        <v>104</v>
      </c>
      <c r="H165" s="552">
        <f>131+24</f>
        <v>155</v>
      </c>
      <c r="I165" s="584">
        <v>158.80000000000001</v>
      </c>
      <c r="J165" s="524" t="s">
        <v>79</v>
      </c>
      <c r="K165" s="67">
        <v>10</v>
      </c>
      <c r="L165" s="119">
        <v>13</v>
      </c>
      <c r="M165" s="113">
        <v>15</v>
      </c>
    </row>
    <row r="166" spans="1:13" ht="21" customHeight="1" x14ac:dyDescent="0.2">
      <c r="A166" s="295"/>
      <c r="B166" s="286"/>
      <c r="C166" s="287"/>
      <c r="D166" s="969"/>
      <c r="E166" s="228"/>
      <c r="F166" s="556"/>
      <c r="G166" s="559"/>
      <c r="H166" s="548"/>
      <c r="I166" s="582"/>
      <c r="J166" s="129"/>
      <c r="K166" s="3"/>
      <c r="L166" s="123"/>
      <c r="M166" s="194"/>
    </row>
    <row r="167" spans="1:13" ht="30" customHeight="1" x14ac:dyDescent="0.2">
      <c r="A167" s="295"/>
      <c r="B167" s="286"/>
      <c r="C167" s="346"/>
      <c r="D167" s="483" t="s">
        <v>144</v>
      </c>
      <c r="E167" s="226"/>
      <c r="F167" s="556" t="s">
        <v>150</v>
      </c>
      <c r="G167" s="561">
        <v>127.5</v>
      </c>
      <c r="H167" s="552">
        <v>190</v>
      </c>
      <c r="I167" s="584">
        <v>230</v>
      </c>
      <c r="J167" s="525" t="s">
        <v>79</v>
      </c>
      <c r="K167" s="131">
        <v>13</v>
      </c>
      <c r="L167" s="480">
        <v>21</v>
      </c>
      <c r="M167" s="173">
        <v>23</v>
      </c>
    </row>
    <row r="168" spans="1:13" s="341" customFormat="1" ht="27" customHeight="1" x14ac:dyDescent="0.2">
      <c r="A168" s="488"/>
      <c r="B168" s="356"/>
      <c r="C168" s="357"/>
      <c r="D168" s="49" t="s">
        <v>153</v>
      </c>
      <c r="E168" s="219"/>
      <c r="F168" s="556" t="s">
        <v>150</v>
      </c>
      <c r="G168" s="561"/>
      <c r="H168" s="552">
        <v>19</v>
      </c>
      <c r="I168" s="584">
        <v>15</v>
      </c>
      <c r="J168" s="524" t="s">
        <v>79</v>
      </c>
      <c r="K168" s="132"/>
      <c r="L168" s="178">
        <v>5</v>
      </c>
      <c r="M168" s="174">
        <v>3</v>
      </c>
    </row>
    <row r="169" spans="1:13" s="341" customFormat="1" ht="30" customHeight="1" x14ac:dyDescent="0.2">
      <c r="A169" s="488"/>
      <c r="B169" s="356"/>
      <c r="C169" s="357"/>
      <c r="D169" s="49" t="s">
        <v>206</v>
      </c>
      <c r="E169" s="219"/>
      <c r="F169" s="556" t="s">
        <v>150</v>
      </c>
      <c r="G169" s="561"/>
      <c r="H169" s="552">
        <v>20</v>
      </c>
      <c r="I169" s="584"/>
      <c r="J169" s="125" t="s">
        <v>207</v>
      </c>
      <c r="K169" s="132"/>
      <c r="L169" s="480">
        <v>1</v>
      </c>
      <c r="M169" s="442"/>
    </row>
    <row r="170" spans="1:13" s="341" customFormat="1" ht="46.15" customHeight="1" x14ac:dyDescent="0.2">
      <c r="A170" s="488"/>
      <c r="B170" s="356"/>
      <c r="C170" s="357"/>
      <c r="D170" s="967" t="s">
        <v>237</v>
      </c>
      <c r="E170" s="219"/>
      <c r="F170" s="626" t="s">
        <v>150</v>
      </c>
      <c r="G170" s="628"/>
      <c r="H170" s="629">
        <v>25.4</v>
      </c>
      <c r="I170" s="627">
        <v>30.4</v>
      </c>
      <c r="J170" s="1163" t="s">
        <v>208</v>
      </c>
      <c r="K170" s="130"/>
      <c r="L170" s="177">
        <v>1</v>
      </c>
      <c r="M170" s="173">
        <v>1</v>
      </c>
    </row>
    <row r="171" spans="1:13" ht="15" customHeight="1" thickBot="1" x14ac:dyDescent="0.25">
      <c r="A171" s="295"/>
      <c r="B171" s="286"/>
      <c r="C171" s="293"/>
      <c r="D171" s="971"/>
      <c r="E171" s="989" t="s">
        <v>40</v>
      </c>
      <c r="F171" s="990"/>
      <c r="G171" s="420">
        <f>SUM(G164)</f>
        <v>231.5</v>
      </c>
      <c r="H171" s="149">
        <f t="shared" ref="H171:I171" si="6">SUM(H164)</f>
        <v>409.4</v>
      </c>
      <c r="I171" s="624">
        <f t="shared" si="6"/>
        <v>434.2</v>
      </c>
      <c r="J171" s="1164"/>
      <c r="K171" s="15"/>
      <c r="L171" s="497"/>
      <c r="M171" s="114"/>
    </row>
    <row r="172" spans="1:13" ht="15.75" customHeight="1" thickBot="1" x14ac:dyDescent="0.25">
      <c r="A172" s="330" t="s">
        <v>15</v>
      </c>
      <c r="B172" s="331" t="s">
        <v>12</v>
      </c>
      <c r="C172" s="1029" t="s">
        <v>18</v>
      </c>
      <c r="D172" s="1030"/>
      <c r="E172" s="1030"/>
      <c r="F172" s="1030"/>
      <c r="G172" s="332">
        <f>+G171+G163+G106</f>
        <v>11275.1</v>
      </c>
      <c r="H172" s="333">
        <f>+H171+H163+H106</f>
        <v>9325.7999999999993</v>
      </c>
      <c r="I172" s="334">
        <f>+I171+I163+I106</f>
        <v>7387</v>
      </c>
      <c r="J172" s="523"/>
      <c r="K172" s="1190"/>
      <c r="L172" s="1190"/>
      <c r="M172" s="1191"/>
    </row>
    <row r="173" spans="1:13" ht="17.25" customHeight="1" thickBot="1" x14ac:dyDescent="0.25">
      <c r="A173" s="295" t="s">
        <v>15</v>
      </c>
      <c r="B173" s="331" t="s">
        <v>15</v>
      </c>
      <c r="C173" s="1036" t="s">
        <v>52</v>
      </c>
      <c r="D173" s="1037"/>
      <c r="E173" s="1037"/>
      <c r="F173" s="1037"/>
      <c r="G173" s="1192"/>
      <c r="H173" s="1192"/>
      <c r="I173" s="1192"/>
      <c r="J173" s="1037"/>
      <c r="K173" s="1037"/>
      <c r="L173" s="1037"/>
      <c r="M173" s="1038"/>
    </row>
    <row r="174" spans="1:13" ht="16.149999999999999" customHeight="1" x14ac:dyDescent="0.2">
      <c r="A174" s="312" t="s">
        <v>15</v>
      </c>
      <c r="B174" s="313" t="s">
        <v>15</v>
      </c>
      <c r="C174" s="359" t="s">
        <v>12</v>
      </c>
      <c r="D174" s="503" t="s">
        <v>60</v>
      </c>
      <c r="E174" s="360"/>
      <c r="F174" s="536" t="s">
        <v>13</v>
      </c>
      <c r="G174" s="48">
        <v>60.9</v>
      </c>
      <c r="H174" s="273"/>
      <c r="I174" s="625"/>
      <c r="J174" s="485"/>
      <c r="K174" s="305"/>
      <c r="L174" s="175"/>
      <c r="M174" s="170"/>
    </row>
    <row r="175" spans="1:13" ht="16.899999999999999" customHeight="1" x14ac:dyDescent="0.2">
      <c r="A175" s="295"/>
      <c r="B175" s="286"/>
      <c r="C175" s="287"/>
      <c r="D175" s="967" t="s">
        <v>264</v>
      </c>
      <c r="E175" s="253"/>
      <c r="F175" s="642" t="s">
        <v>150</v>
      </c>
      <c r="G175" s="559">
        <v>12.4</v>
      </c>
      <c r="H175" s="157"/>
      <c r="I175" s="201"/>
      <c r="J175" s="475" t="s">
        <v>89</v>
      </c>
      <c r="K175" s="197"/>
      <c r="L175" s="254"/>
      <c r="M175" s="255"/>
    </row>
    <row r="176" spans="1:13" ht="31.15" customHeight="1" x14ac:dyDescent="0.2">
      <c r="A176" s="295"/>
      <c r="B176" s="286"/>
      <c r="C176" s="287"/>
      <c r="D176" s="969"/>
      <c r="E176" s="205"/>
      <c r="F176" s="642"/>
      <c r="G176" s="573"/>
      <c r="H176" s="157"/>
      <c r="I176" s="201"/>
      <c r="J176" s="444" t="s">
        <v>238</v>
      </c>
      <c r="K176" s="197">
        <v>100</v>
      </c>
      <c r="L176" s="254"/>
      <c r="M176" s="255"/>
    </row>
    <row r="177" spans="1:13" ht="15.6" customHeight="1" x14ac:dyDescent="0.2">
      <c r="A177" s="295"/>
      <c r="B177" s="286"/>
      <c r="C177" s="287"/>
      <c r="D177" s="967" t="s">
        <v>209</v>
      </c>
      <c r="E177" s="205"/>
      <c r="F177" s="643" t="s">
        <v>150</v>
      </c>
      <c r="G177" s="573">
        <v>28</v>
      </c>
      <c r="H177" s="157"/>
      <c r="I177" s="13"/>
      <c r="J177" s="44" t="s">
        <v>79</v>
      </c>
      <c r="K177" s="8">
        <v>7</v>
      </c>
      <c r="L177" s="178"/>
      <c r="M177" s="498"/>
    </row>
    <row r="178" spans="1:13" ht="15.6" customHeight="1" x14ac:dyDescent="0.2">
      <c r="A178" s="295"/>
      <c r="B178" s="286"/>
      <c r="C178" s="287"/>
      <c r="D178" s="969"/>
      <c r="E178" s="253"/>
      <c r="F178" s="643"/>
      <c r="G178" s="573"/>
      <c r="H178" s="157"/>
      <c r="I178" s="201"/>
      <c r="J178" s="12" t="s">
        <v>210</v>
      </c>
      <c r="K178" s="109">
        <v>284</v>
      </c>
      <c r="L178" s="177"/>
      <c r="M178" s="171"/>
    </row>
    <row r="179" spans="1:13" s="341" customFormat="1" ht="15.6" customHeight="1" x14ac:dyDescent="0.2">
      <c r="A179" s="488"/>
      <c r="B179" s="356"/>
      <c r="C179" s="361"/>
      <c r="D179" s="967" t="s">
        <v>63</v>
      </c>
      <c r="E179" s="226"/>
      <c r="F179" s="643" t="s">
        <v>150</v>
      </c>
      <c r="G179" s="641">
        <v>20.5</v>
      </c>
      <c r="H179" s="257"/>
      <c r="I179" s="258"/>
      <c r="J179" s="125" t="s">
        <v>79</v>
      </c>
      <c r="K179" s="8">
        <v>4</v>
      </c>
      <c r="L179" s="259"/>
      <c r="M179" s="260"/>
    </row>
    <row r="180" spans="1:13" s="341" customFormat="1" ht="15.6" customHeight="1" x14ac:dyDescent="0.2">
      <c r="A180" s="488"/>
      <c r="B180" s="356"/>
      <c r="C180" s="361"/>
      <c r="D180" s="968"/>
      <c r="E180" s="226"/>
      <c r="F180" s="644"/>
      <c r="G180" s="256"/>
      <c r="H180" s="257"/>
      <c r="I180" s="258"/>
      <c r="J180" s="68" t="s">
        <v>49</v>
      </c>
      <c r="K180" s="261">
        <v>8</v>
      </c>
      <c r="L180" s="177"/>
      <c r="M180" s="262"/>
    </row>
    <row r="181" spans="1:13" s="341" customFormat="1" ht="15.6" customHeight="1" thickBot="1" x14ac:dyDescent="0.25">
      <c r="A181" s="488"/>
      <c r="B181" s="356"/>
      <c r="C181" s="361"/>
      <c r="D181" s="486"/>
      <c r="E181" s="226"/>
      <c r="F181" s="46" t="s">
        <v>14</v>
      </c>
      <c r="G181" s="41">
        <f>SUM(G175:G180)</f>
        <v>60.9</v>
      </c>
      <c r="H181" s="149">
        <f>SUM(H175:H180)</f>
        <v>0</v>
      </c>
      <c r="I181" s="147">
        <f>SUM(I175:I180)</f>
        <v>0</v>
      </c>
      <c r="J181" s="68"/>
      <c r="K181" s="261"/>
      <c r="L181" s="481"/>
      <c r="M181" s="173"/>
    </row>
    <row r="182" spans="1:13" s="341" customFormat="1" ht="19.899999999999999" customHeight="1" x14ac:dyDescent="0.2">
      <c r="A182" s="502" t="s">
        <v>15</v>
      </c>
      <c r="B182" s="362" t="s">
        <v>15</v>
      </c>
      <c r="C182" s="363" t="s">
        <v>15</v>
      </c>
      <c r="D182" s="994" t="s">
        <v>263</v>
      </c>
      <c r="E182" s="365" t="s">
        <v>2</v>
      </c>
      <c r="F182" s="8" t="s">
        <v>13</v>
      </c>
      <c r="G182" s="58">
        <v>163</v>
      </c>
      <c r="H182" s="151">
        <v>177.3</v>
      </c>
      <c r="I182" s="150">
        <v>139</v>
      </c>
      <c r="J182" s="651"/>
      <c r="K182" s="366"/>
      <c r="L182" s="367"/>
      <c r="M182" s="368"/>
    </row>
    <row r="183" spans="1:13" s="341" customFormat="1" ht="23.45" customHeight="1" x14ac:dyDescent="0.2">
      <c r="A183" s="531"/>
      <c r="B183" s="356"/>
      <c r="C183" s="361"/>
      <c r="D183" s="1177"/>
      <c r="E183" s="530"/>
      <c r="F183" s="109" t="s">
        <v>70</v>
      </c>
      <c r="G183" s="59">
        <v>7.4</v>
      </c>
      <c r="H183" s="243"/>
      <c r="I183" s="369"/>
      <c r="J183" s="652"/>
      <c r="K183" s="645"/>
      <c r="L183" s="646"/>
      <c r="M183" s="647"/>
    </row>
    <row r="184" spans="1:13" s="341" customFormat="1" ht="16.149999999999999" customHeight="1" x14ac:dyDescent="0.2">
      <c r="A184" s="488"/>
      <c r="B184" s="356"/>
      <c r="C184" s="361"/>
      <c r="D184" s="492" t="s">
        <v>125</v>
      </c>
      <c r="E184" s="507"/>
      <c r="F184" s="648" t="s">
        <v>150</v>
      </c>
      <c r="G184" s="641">
        <v>5</v>
      </c>
      <c r="H184" s="649">
        <v>55</v>
      </c>
      <c r="I184" s="650">
        <v>35</v>
      </c>
      <c r="J184" s="195" t="s">
        <v>84</v>
      </c>
      <c r="K184" s="370">
        <v>1</v>
      </c>
      <c r="L184" s="178">
        <v>11</v>
      </c>
      <c r="M184" s="174">
        <v>7</v>
      </c>
    </row>
    <row r="185" spans="1:13" s="341" customFormat="1" ht="16.899999999999999" customHeight="1" x14ac:dyDescent="0.2">
      <c r="A185" s="488"/>
      <c r="B185" s="356"/>
      <c r="C185" s="361"/>
      <c r="D185" s="967" t="s">
        <v>124</v>
      </c>
      <c r="E185" s="985" t="s">
        <v>163</v>
      </c>
      <c r="F185" s="556" t="s">
        <v>150</v>
      </c>
      <c r="G185" s="641">
        <v>158</v>
      </c>
      <c r="H185" s="649">
        <v>122.3</v>
      </c>
      <c r="I185" s="650"/>
      <c r="J185" s="195" t="s">
        <v>79</v>
      </c>
      <c r="K185" s="261">
        <v>10</v>
      </c>
      <c r="L185" s="480">
        <v>10</v>
      </c>
      <c r="M185" s="173"/>
    </row>
    <row r="186" spans="1:13" s="341" customFormat="1" ht="16.899999999999999" customHeight="1" x14ac:dyDescent="0.2">
      <c r="A186" s="488"/>
      <c r="B186" s="356"/>
      <c r="C186" s="361"/>
      <c r="D186" s="968"/>
      <c r="E186" s="1154"/>
      <c r="F186" s="556" t="s">
        <v>274</v>
      </c>
      <c r="G186" s="561">
        <v>7.4</v>
      </c>
      <c r="H186" s="552"/>
      <c r="I186" s="553"/>
      <c r="J186" s="195" t="s">
        <v>159</v>
      </c>
      <c r="K186" s="370">
        <v>5</v>
      </c>
      <c r="L186" s="178">
        <v>55</v>
      </c>
      <c r="M186" s="174">
        <v>35</v>
      </c>
    </row>
    <row r="187" spans="1:13" s="341" customFormat="1" ht="30" customHeight="1" x14ac:dyDescent="0.2">
      <c r="A187" s="488"/>
      <c r="B187" s="356"/>
      <c r="C187" s="361"/>
      <c r="D187" s="967" t="s">
        <v>211</v>
      </c>
      <c r="E187" s="372"/>
      <c r="F187" s="556" t="s">
        <v>150</v>
      </c>
      <c r="G187" s="561"/>
      <c r="H187" s="552"/>
      <c r="I187" s="584">
        <v>104</v>
      </c>
      <c r="J187" s="1194" t="s">
        <v>79</v>
      </c>
      <c r="K187" s="1196"/>
      <c r="L187" s="1188"/>
      <c r="M187" s="351">
        <v>52</v>
      </c>
    </row>
    <row r="188" spans="1:13" s="341" customFormat="1" ht="15.75" customHeight="1" thickBot="1" x14ac:dyDescent="0.25">
      <c r="A188" s="489"/>
      <c r="B188" s="373"/>
      <c r="C188" s="374"/>
      <c r="D188" s="971"/>
      <c r="E188" s="375"/>
      <c r="F188" s="9" t="s">
        <v>14</v>
      </c>
      <c r="G188" s="70">
        <f>SUM(G182:G183)</f>
        <v>170.4</v>
      </c>
      <c r="H188" s="156">
        <f t="shared" ref="H188:I188" si="7">SUM(H182:H183)</f>
        <v>177.3</v>
      </c>
      <c r="I188" s="152">
        <f t="shared" si="7"/>
        <v>139</v>
      </c>
      <c r="J188" s="1195"/>
      <c r="K188" s="1197"/>
      <c r="L188" s="1189"/>
      <c r="M188" s="272"/>
    </row>
    <row r="189" spans="1:13" ht="15.75" customHeight="1" thickBot="1" x14ac:dyDescent="0.25">
      <c r="A189" s="330" t="s">
        <v>15</v>
      </c>
      <c r="B189" s="321" t="s">
        <v>15</v>
      </c>
      <c r="C189" s="1141" t="s">
        <v>18</v>
      </c>
      <c r="D189" s="1142"/>
      <c r="E189" s="1142"/>
      <c r="F189" s="1142"/>
      <c r="G189" s="376">
        <f>G181+G188</f>
        <v>231.3</v>
      </c>
      <c r="H189" s="377">
        <f t="shared" ref="H189:I189" si="8">H181+H188</f>
        <v>177.3</v>
      </c>
      <c r="I189" s="378">
        <f t="shared" si="8"/>
        <v>139</v>
      </c>
      <c r="J189" s="379"/>
      <c r="K189" s="473"/>
      <c r="L189" s="380"/>
      <c r="M189" s="474"/>
    </row>
    <row r="190" spans="1:13" ht="15.75" customHeight="1" thickBot="1" x14ac:dyDescent="0.25">
      <c r="A190" s="330" t="s">
        <v>15</v>
      </c>
      <c r="B190" s="381" t="s">
        <v>17</v>
      </c>
      <c r="C190" s="1036" t="s">
        <v>28</v>
      </c>
      <c r="D190" s="1037"/>
      <c r="E190" s="1037"/>
      <c r="F190" s="1037"/>
      <c r="G190" s="1037"/>
      <c r="H190" s="1037"/>
      <c r="I190" s="1037"/>
      <c r="J190" s="1037"/>
      <c r="K190" s="1037"/>
      <c r="L190" s="1037"/>
      <c r="M190" s="1038"/>
    </row>
    <row r="191" spans="1:13" ht="15.6" customHeight="1" x14ac:dyDescent="0.2">
      <c r="A191" s="312" t="s">
        <v>15</v>
      </c>
      <c r="B191" s="313" t="s">
        <v>17</v>
      </c>
      <c r="C191" s="284" t="s">
        <v>12</v>
      </c>
      <c r="D191" s="1137" t="s">
        <v>29</v>
      </c>
      <c r="E191" s="360"/>
      <c r="F191" s="4" t="s">
        <v>13</v>
      </c>
      <c r="G191" s="62">
        <v>1810.9</v>
      </c>
      <c r="H191" s="155">
        <v>1797</v>
      </c>
      <c r="I191" s="663">
        <v>1797.1</v>
      </c>
      <c r="J191" s="661"/>
      <c r="K191" s="305"/>
      <c r="L191" s="175"/>
      <c r="M191" s="170"/>
    </row>
    <row r="192" spans="1:13" ht="17.45" customHeight="1" x14ac:dyDescent="0.2">
      <c r="A192" s="295"/>
      <c r="B192" s="286"/>
      <c r="C192" s="294"/>
      <c r="D192" s="1138"/>
      <c r="E192" s="253"/>
      <c r="F192" s="7" t="s">
        <v>70</v>
      </c>
      <c r="G192" s="665">
        <v>108.7</v>
      </c>
      <c r="H192" s="666"/>
      <c r="I192" s="667"/>
      <c r="J192" s="200"/>
      <c r="K192" s="419"/>
      <c r="L192" s="176"/>
      <c r="M192" s="171"/>
    </row>
    <row r="193" spans="1:13" ht="16.899999999999999" customHeight="1" x14ac:dyDescent="0.2">
      <c r="A193" s="295"/>
      <c r="B193" s="286"/>
      <c r="C193" s="294"/>
      <c r="D193" s="534"/>
      <c r="E193" s="253"/>
      <c r="F193" s="261" t="s">
        <v>16</v>
      </c>
      <c r="G193" s="653">
        <v>2.6</v>
      </c>
      <c r="H193" s="654">
        <v>2.6</v>
      </c>
      <c r="I193" s="664">
        <v>2.6</v>
      </c>
      <c r="J193" s="200"/>
      <c r="K193" s="419"/>
      <c r="L193" s="176"/>
      <c r="M193" s="171"/>
    </row>
    <row r="194" spans="1:13" ht="29.45" customHeight="1" x14ac:dyDescent="0.2">
      <c r="A194" s="295"/>
      <c r="B194" s="286"/>
      <c r="C194" s="382"/>
      <c r="D194" s="1139" t="s">
        <v>293</v>
      </c>
      <c r="E194" s="253"/>
      <c r="F194" s="655" t="s">
        <v>150</v>
      </c>
      <c r="G194" s="559">
        <v>500</v>
      </c>
      <c r="H194" s="552">
        <v>500</v>
      </c>
      <c r="I194" s="553">
        <v>500</v>
      </c>
      <c r="J194" s="1163" t="s">
        <v>108</v>
      </c>
      <c r="K194" s="67">
        <v>22</v>
      </c>
      <c r="L194" s="177">
        <v>21</v>
      </c>
      <c r="M194" s="172">
        <v>21</v>
      </c>
    </row>
    <row r="195" spans="1:13" ht="26.45" customHeight="1" x14ac:dyDescent="0.2">
      <c r="A195" s="295"/>
      <c r="B195" s="286"/>
      <c r="C195" s="382"/>
      <c r="D195" s="1140"/>
      <c r="E195" s="253"/>
      <c r="F195" s="655" t="s">
        <v>274</v>
      </c>
      <c r="G195" s="561">
        <v>7.2</v>
      </c>
      <c r="H195" s="552"/>
      <c r="I195" s="553"/>
      <c r="J195" s="1198"/>
      <c r="K195" s="261"/>
      <c r="L195" s="480"/>
      <c r="M195" s="173"/>
    </row>
    <row r="196" spans="1:13" ht="45" customHeight="1" x14ac:dyDescent="0.2">
      <c r="A196" s="295"/>
      <c r="B196" s="286"/>
      <c r="C196" s="382"/>
      <c r="D196" s="1140"/>
      <c r="E196" s="253"/>
      <c r="F196" s="556" t="s">
        <v>150</v>
      </c>
      <c r="G196" s="561">
        <v>72</v>
      </c>
      <c r="H196" s="552"/>
      <c r="I196" s="553"/>
      <c r="J196" s="524" t="s">
        <v>259</v>
      </c>
      <c r="K196" s="67">
        <v>1</v>
      </c>
      <c r="L196" s="177"/>
      <c r="M196" s="172"/>
    </row>
    <row r="197" spans="1:13" ht="47.45" customHeight="1" x14ac:dyDescent="0.2">
      <c r="A197" s="295"/>
      <c r="B197" s="286"/>
      <c r="C197" s="382"/>
      <c r="D197" s="1193"/>
      <c r="E197" s="253"/>
      <c r="F197" s="655"/>
      <c r="G197" s="561"/>
      <c r="H197" s="552"/>
      <c r="I197" s="553"/>
      <c r="J197" s="454"/>
      <c r="K197" s="261"/>
      <c r="L197" s="480"/>
      <c r="M197" s="173"/>
    </row>
    <row r="198" spans="1:13" s="383" customFormat="1" ht="15.75" customHeight="1" x14ac:dyDescent="0.2">
      <c r="A198" s="295"/>
      <c r="B198" s="286"/>
      <c r="C198" s="382"/>
      <c r="D198" s="1139" t="s">
        <v>62</v>
      </c>
      <c r="E198" s="253"/>
      <c r="F198" s="655" t="s">
        <v>150</v>
      </c>
      <c r="G198" s="561">
        <v>36.700000000000003</v>
      </c>
      <c r="H198" s="552">
        <v>36.700000000000003</v>
      </c>
      <c r="I198" s="553">
        <v>36.700000000000003</v>
      </c>
      <c r="J198" s="621" t="s">
        <v>79</v>
      </c>
      <c r="K198" s="67">
        <v>93</v>
      </c>
      <c r="L198" s="177">
        <v>93</v>
      </c>
      <c r="M198" s="172">
        <v>93</v>
      </c>
    </row>
    <row r="199" spans="1:13" s="383" customFormat="1" ht="15.75" customHeight="1" x14ac:dyDescent="0.2">
      <c r="A199" s="295"/>
      <c r="B199" s="286"/>
      <c r="C199" s="382"/>
      <c r="D199" s="1193"/>
      <c r="E199" s="253"/>
      <c r="F199" s="655"/>
      <c r="G199" s="561"/>
      <c r="H199" s="552"/>
      <c r="I199" s="553"/>
      <c r="J199" s="659"/>
      <c r="K199" s="479"/>
      <c r="L199" s="263"/>
      <c r="M199" s="264"/>
    </row>
    <row r="200" spans="1:13" ht="28.5" customHeight="1" x14ac:dyDescent="0.2">
      <c r="A200" s="295"/>
      <c r="B200" s="286"/>
      <c r="C200" s="382"/>
      <c r="D200" s="65" t="s">
        <v>33</v>
      </c>
      <c r="E200" s="253"/>
      <c r="F200" s="655" t="s">
        <v>150</v>
      </c>
      <c r="G200" s="561">
        <v>90.2</v>
      </c>
      <c r="H200" s="552">
        <v>90.2</v>
      </c>
      <c r="I200" s="553">
        <v>90.2</v>
      </c>
      <c r="J200" s="659" t="s">
        <v>109</v>
      </c>
      <c r="K200" s="479">
        <v>30</v>
      </c>
      <c r="L200" s="263">
        <v>30</v>
      </c>
      <c r="M200" s="264">
        <v>30</v>
      </c>
    </row>
    <row r="201" spans="1:13" ht="29.25" customHeight="1" x14ac:dyDescent="0.2">
      <c r="A201" s="295"/>
      <c r="B201" s="286"/>
      <c r="C201" s="382"/>
      <c r="D201" s="65" t="s">
        <v>35</v>
      </c>
      <c r="E201" s="253"/>
      <c r="F201" s="655" t="s">
        <v>150</v>
      </c>
      <c r="G201" s="561">
        <v>42</v>
      </c>
      <c r="H201" s="552">
        <v>40</v>
      </c>
      <c r="I201" s="553">
        <v>40</v>
      </c>
      <c r="J201" s="659" t="s">
        <v>110</v>
      </c>
      <c r="K201" s="479">
        <v>3</v>
      </c>
      <c r="L201" s="178">
        <v>3</v>
      </c>
      <c r="M201" s="264">
        <v>3</v>
      </c>
    </row>
    <row r="202" spans="1:13" ht="18" customHeight="1" x14ac:dyDescent="0.2">
      <c r="A202" s="295"/>
      <c r="B202" s="286"/>
      <c r="C202" s="382"/>
      <c r="D202" s="64" t="s">
        <v>32</v>
      </c>
      <c r="E202" s="253"/>
      <c r="F202" s="655" t="s">
        <v>150</v>
      </c>
      <c r="G202" s="561">
        <v>17.5</v>
      </c>
      <c r="H202" s="552">
        <v>17.5</v>
      </c>
      <c r="I202" s="553">
        <v>17.5</v>
      </c>
      <c r="J202" s="227" t="s">
        <v>36</v>
      </c>
      <c r="K202" s="457">
        <v>38</v>
      </c>
      <c r="L202" s="265">
        <f>+K202</f>
        <v>38</v>
      </c>
      <c r="M202" s="266">
        <v>38</v>
      </c>
    </row>
    <row r="203" spans="1:13" ht="18" customHeight="1" x14ac:dyDescent="0.2">
      <c r="A203" s="295"/>
      <c r="B203" s="286"/>
      <c r="C203" s="294"/>
      <c r="D203" s="476" t="s">
        <v>34</v>
      </c>
      <c r="E203" s="253"/>
      <c r="F203" s="655" t="s">
        <v>150</v>
      </c>
      <c r="G203" s="561">
        <v>282.5</v>
      </c>
      <c r="H203" s="552">
        <v>282.60000000000002</v>
      </c>
      <c r="I203" s="553">
        <v>282.7</v>
      </c>
      <c r="J203" s="1199" t="s">
        <v>111</v>
      </c>
      <c r="K203" s="261">
        <v>101</v>
      </c>
      <c r="L203" s="480">
        <v>101</v>
      </c>
      <c r="M203" s="173">
        <v>101</v>
      </c>
    </row>
    <row r="204" spans="1:13" ht="13.15" customHeight="1" x14ac:dyDescent="0.2">
      <c r="A204" s="295"/>
      <c r="B204" s="286"/>
      <c r="C204" s="294"/>
      <c r="D204" s="477"/>
      <c r="E204" s="253"/>
      <c r="F204" s="662" t="s">
        <v>272</v>
      </c>
      <c r="G204" s="561">
        <v>2.6</v>
      </c>
      <c r="H204" s="552">
        <v>2.6</v>
      </c>
      <c r="I204" s="553">
        <v>2.6</v>
      </c>
      <c r="J204" s="1200"/>
      <c r="K204" s="261"/>
      <c r="L204" s="480"/>
      <c r="M204" s="173"/>
    </row>
    <row r="205" spans="1:13" ht="27" customHeight="1" x14ac:dyDescent="0.2">
      <c r="A205" s="295"/>
      <c r="B205" s="286"/>
      <c r="C205" s="382"/>
      <c r="D205" s="493" t="s">
        <v>39</v>
      </c>
      <c r="E205" s="299"/>
      <c r="F205" s="662" t="s">
        <v>150</v>
      </c>
      <c r="G205" s="561">
        <v>207</v>
      </c>
      <c r="H205" s="552">
        <v>200</v>
      </c>
      <c r="I205" s="553">
        <v>200</v>
      </c>
      <c r="J205" s="623" t="s">
        <v>79</v>
      </c>
      <c r="K205" s="478">
        <v>8</v>
      </c>
      <c r="L205" s="178">
        <v>8</v>
      </c>
      <c r="M205" s="174">
        <v>8</v>
      </c>
    </row>
    <row r="206" spans="1:13" ht="27" customHeight="1" x14ac:dyDescent="0.2">
      <c r="A206" s="295"/>
      <c r="B206" s="286"/>
      <c r="C206" s="382"/>
      <c r="D206" s="96" t="s">
        <v>174</v>
      </c>
      <c r="E206" s="299"/>
      <c r="F206" s="662" t="s">
        <v>150</v>
      </c>
      <c r="G206" s="561">
        <f>300-50</f>
        <v>250</v>
      </c>
      <c r="H206" s="552">
        <f>300-50</f>
        <v>250</v>
      </c>
      <c r="I206" s="553">
        <f>300-50</f>
        <v>250</v>
      </c>
      <c r="J206" s="623" t="s">
        <v>79</v>
      </c>
      <c r="K206" s="438">
        <f>10-1</f>
        <v>9</v>
      </c>
      <c r="L206" s="439">
        <f t="shared" ref="L206:M206" si="9">10-1</f>
        <v>9</v>
      </c>
      <c r="M206" s="440">
        <f t="shared" si="9"/>
        <v>9</v>
      </c>
    </row>
    <row r="207" spans="1:13" ht="18" customHeight="1" x14ac:dyDescent="0.2">
      <c r="A207" s="295"/>
      <c r="B207" s="286"/>
      <c r="C207" s="382"/>
      <c r="D207" s="484" t="s">
        <v>56</v>
      </c>
      <c r="E207" s="656"/>
      <c r="F207" s="662" t="s">
        <v>150</v>
      </c>
      <c r="G207" s="561">
        <v>200</v>
      </c>
      <c r="H207" s="552">
        <v>200</v>
      </c>
      <c r="I207" s="553">
        <v>200</v>
      </c>
      <c r="J207" s="623" t="s">
        <v>79</v>
      </c>
      <c r="K207" s="479">
        <v>8</v>
      </c>
      <c r="L207" s="178">
        <v>8</v>
      </c>
      <c r="M207" s="264">
        <v>8</v>
      </c>
    </row>
    <row r="208" spans="1:13" ht="27.75" customHeight="1" x14ac:dyDescent="0.2">
      <c r="A208" s="295"/>
      <c r="B208" s="286"/>
      <c r="C208" s="294"/>
      <c r="D208" s="967" t="s">
        <v>260</v>
      </c>
      <c r="E208" s="1201"/>
      <c r="F208" s="655" t="s">
        <v>150</v>
      </c>
      <c r="G208" s="561">
        <v>53</v>
      </c>
      <c r="H208" s="552">
        <v>140</v>
      </c>
      <c r="I208" s="553">
        <v>140</v>
      </c>
      <c r="J208" s="622" t="s">
        <v>113</v>
      </c>
      <c r="K208" s="479">
        <v>2</v>
      </c>
      <c r="L208" s="178">
        <v>2</v>
      </c>
      <c r="M208" s="264">
        <v>2</v>
      </c>
    </row>
    <row r="209" spans="1:14" ht="27.75" customHeight="1" x14ac:dyDescent="0.2">
      <c r="A209" s="295"/>
      <c r="B209" s="286"/>
      <c r="C209" s="294"/>
      <c r="D209" s="969"/>
      <c r="E209" s="1202"/>
      <c r="F209" s="655" t="s">
        <v>274</v>
      </c>
      <c r="G209" s="561">
        <v>100.8</v>
      </c>
      <c r="H209" s="552"/>
      <c r="I209" s="553"/>
      <c r="J209" s="227" t="s">
        <v>117</v>
      </c>
      <c r="K209" s="67">
        <v>3</v>
      </c>
      <c r="L209" s="178">
        <v>3</v>
      </c>
      <c r="M209" s="172">
        <v>3</v>
      </c>
    </row>
    <row r="210" spans="1:14" ht="28.5" customHeight="1" x14ac:dyDescent="0.2">
      <c r="A210" s="295"/>
      <c r="B210" s="286"/>
      <c r="C210" s="294"/>
      <c r="D210" s="49" t="s">
        <v>95</v>
      </c>
      <c r="E210" s="657"/>
      <c r="F210" s="556" t="s">
        <v>150</v>
      </c>
      <c r="G210" s="561">
        <f>80-40</f>
        <v>40</v>
      </c>
      <c r="H210" s="552">
        <v>40</v>
      </c>
      <c r="I210" s="553">
        <v>40</v>
      </c>
      <c r="J210" s="621" t="s">
        <v>79</v>
      </c>
      <c r="K210" s="67">
        <v>33</v>
      </c>
      <c r="L210" s="177">
        <v>33</v>
      </c>
      <c r="M210" s="172">
        <v>33</v>
      </c>
    </row>
    <row r="211" spans="1:14" ht="32.25" customHeight="1" x14ac:dyDescent="0.2">
      <c r="A211" s="295"/>
      <c r="B211" s="286"/>
      <c r="C211" s="294"/>
      <c r="D211" s="387" t="s">
        <v>250</v>
      </c>
      <c r="E211" s="658"/>
      <c r="F211" s="556" t="s">
        <v>150</v>
      </c>
      <c r="G211" s="561">
        <v>20</v>
      </c>
      <c r="H211" s="552"/>
      <c r="I211" s="553"/>
      <c r="J211" s="317" t="s">
        <v>79</v>
      </c>
      <c r="K211" s="478">
        <v>1</v>
      </c>
      <c r="L211" s="178"/>
      <c r="M211" s="172"/>
    </row>
    <row r="212" spans="1:14" ht="16.899999999999999" customHeight="1" x14ac:dyDescent="0.2">
      <c r="A212" s="295"/>
      <c r="B212" s="286"/>
      <c r="C212" s="294"/>
      <c r="D212" s="387" t="s">
        <v>248</v>
      </c>
      <c r="E212" s="668"/>
      <c r="F212" s="556" t="s">
        <v>274</v>
      </c>
      <c r="G212" s="561">
        <v>0.7</v>
      </c>
      <c r="H212" s="552"/>
      <c r="I212" s="553"/>
      <c r="J212" s="195" t="s">
        <v>249</v>
      </c>
      <c r="K212" s="67">
        <v>1</v>
      </c>
      <c r="L212" s="177"/>
      <c r="M212" s="172"/>
    </row>
    <row r="213" spans="1:14" ht="18.600000000000001" customHeight="1" thickBot="1" x14ac:dyDescent="0.25">
      <c r="A213" s="320"/>
      <c r="B213" s="321"/>
      <c r="C213" s="322"/>
      <c r="D213" s="669"/>
      <c r="E213" s="660"/>
      <c r="F213" s="9" t="s">
        <v>14</v>
      </c>
      <c r="G213" s="41">
        <f>SUM(G191:G193)</f>
        <v>1922.2</v>
      </c>
      <c r="H213" s="149">
        <f t="shared" ref="H213:I213" si="10">SUM(H191:H193)</f>
        <v>1799.6</v>
      </c>
      <c r="I213" s="154">
        <f t="shared" si="10"/>
        <v>1799.6999999999998</v>
      </c>
      <c r="J213" s="670"/>
      <c r="K213" s="671"/>
      <c r="L213" s="672"/>
      <c r="M213" s="673"/>
    </row>
    <row r="214" spans="1:14" s="341" customFormat="1" ht="15.75" customHeight="1" x14ac:dyDescent="0.2">
      <c r="A214" s="1073" t="s">
        <v>15</v>
      </c>
      <c r="B214" s="1132" t="s">
        <v>17</v>
      </c>
      <c r="C214" s="361" t="s">
        <v>15</v>
      </c>
      <c r="D214" s="981" t="s">
        <v>158</v>
      </c>
      <c r="E214" s="1143"/>
      <c r="F214" s="69" t="s">
        <v>13</v>
      </c>
      <c r="G214" s="133">
        <v>31.3</v>
      </c>
      <c r="H214" s="268">
        <v>31.3</v>
      </c>
      <c r="I214" s="269">
        <v>31.3</v>
      </c>
      <c r="J214" s="1157" t="s">
        <v>140</v>
      </c>
      <c r="K214" s="674">
        <v>300</v>
      </c>
      <c r="L214" s="270">
        <v>300</v>
      </c>
      <c r="M214" s="271">
        <v>300</v>
      </c>
    </row>
    <row r="215" spans="1:14" s="341" customFormat="1" ht="16.5" customHeight="1" thickBot="1" x14ac:dyDescent="0.25">
      <c r="A215" s="1074"/>
      <c r="B215" s="1133"/>
      <c r="C215" s="389"/>
      <c r="D215" s="971"/>
      <c r="E215" s="1144"/>
      <c r="F215" s="9" t="s">
        <v>14</v>
      </c>
      <c r="G215" s="70">
        <f t="shared" ref="G215:I215" si="11">SUM(G214:G214)</f>
        <v>31.3</v>
      </c>
      <c r="H215" s="156">
        <f t="shared" si="11"/>
        <v>31.3</v>
      </c>
      <c r="I215" s="152">
        <f t="shared" si="11"/>
        <v>31.3</v>
      </c>
      <c r="J215" s="1091"/>
      <c r="K215" s="675"/>
      <c r="L215" s="526"/>
      <c r="M215" s="272"/>
    </row>
    <row r="216" spans="1:14" ht="19.5" customHeight="1" x14ac:dyDescent="0.2">
      <c r="A216" s="312" t="s">
        <v>15</v>
      </c>
      <c r="B216" s="313" t="s">
        <v>17</v>
      </c>
      <c r="C216" s="359" t="s">
        <v>17</v>
      </c>
      <c r="D216" s="981" t="s">
        <v>94</v>
      </c>
      <c r="E216" s="1088"/>
      <c r="F216" s="6" t="s">
        <v>13</v>
      </c>
      <c r="G216" s="42">
        <v>30</v>
      </c>
      <c r="H216" s="142">
        <v>30</v>
      </c>
      <c r="I216" s="153">
        <v>30</v>
      </c>
      <c r="J216" s="93" t="s">
        <v>114</v>
      </c>
      <c r="K216" s="543">
        <v>3</v>
      </c>
      <c r="L216" s="538">
        <v>3</v>
      </c>
      <c r="M216" s="192">
        <v>3</v>
      </c>
    </row>
    <row r="217" spans="1:14" ht="19.5" customHeight="1" x14ac:dyDescent="0.2">
      <c r="A217" s="295"/>
      <c r="B217" s="286"/>
      <c r="C217" s="301"/>
      <c r="D217" s="968"/>
      <c r="E217" s="1089"/>
      <c r="F217" s="8" t="s">
        <v>70</v>
      </c>
      <c r="G217" s="11">
        <v>15.9</v>
      </c>
      <c r="H217" s="141"/>
      <c r="I217" s="136"/>
      <c r="J217" s="95"/>
      <c r="K217" s="111"/>
      <c r="L217" s="176"/>
      <c r="M217" s="171"/>
    </row>
    <row r="218" spans="1:14" ht="15" customHeight="1" thickBot="1" x14ac:dyDescent="0.25">
      <c r="A218" s="320"/>
      <c r="B218" s="321"/>
      <c r="C218" s="390"/>
      <c r="D218" s="486"/>
      <c r="E218" s="1090"/>
      <c r="F218" s="9" t="s">
        <v>14</v>
      </c>
      <c r="G218" s="41">
        <f>SUM(G216:G217)</f>
        <v>45.9</v>
      </c>
      <c r="H218" s="149">
        <f t="shared" ref="H218:I218" si="12">+H216</f>
        <v>30</v>
      </c>
      <c r="I218" s="147">
        <f t="shared" si="12"/>
        <v>30</v>
      </c>
      <c r="J218" s="106"/>
      <c r="K218" s="671"/>
      <c r="L218" s="672"/>
      <c r="M218" s="673"/>
    </row>
    <row r="219" spans="1:14" ht="17.45" customHeight="1" x14ac:dyDescent="0.2">
      <c r="A219" s="312" t="s">
        <v>15</v>
      </c>
      <c r="B219" s="313" t="s">
        <v>17</v>
      </c>
      <c r="C219" s="108" t="s">
        <v>19</v>
      </c>
      <c r="D219" s="994" t="s">
        <v>64</v>
      </c>
      <c r="E219" s="391"/>
      <c r="F219" s="677" t="s">
        <v>13</v>
      </c>
      <c r="G219" s="153">
        <v>83.9</v>
      </c>
      <c r="H219" s="142">
        <v>69</v>
      </c>
      <c r="I219" s="153">
        <v>69</v>
      </c>
      <c r="J219" s="541"/>
      <c r="K219" s="169"/>
      <c r="L219" s="175"/>
      <c r="M219" s="170"/>
    </row>
    <row r="220" spans="1:14" ht="17.45" customHeight="1" x14ac:dyDescent="0.2">
      <c r="A220" s="295"/>
      <c r="B220" s="286"/>
      <c r="C220" s="382"/>
      <c r="D220" s="1177"/>
      <c r="E220" s="205"/>
      <c r="F220" s="71" t="s">
        <v>3</v>
      </c>
      <c r="G220" s="134">
        <v>94</v>
      </c>
      <c r="H220" s="208">
        <v>200</v>
      </c>
      <c r="I220" s="209">
        <v>200</v>
      </c>
      <c r="J220" s="525"/>
      <c r="K220" s="540"/>
      <c r="L220" s="176"/>
      <c r="M220" s="171"/>
    </row>
    <row r="221" spans="1:14" s="22" customFormat="1" ht="31.15" customHeight="1" x14ac:dyDescent="0.2">
      <c r="A221" s="295"/>
      <c r="B221" s="286"/>
      <c r="C221" s="349"/>
      <c r="D221" s="1145" t="s">
        <v>61</v>
      </c>
      <c r="E221" s="392"/>
      <c r="F221" s="678" t="s">
        <v>150</v>
      </c>
      <c r="G221" s="584">
        <v>11.5</v>
      </c>
      <c r="H221" s="649">
        <v>11.5</v>
      </c>
      <c r="I221" s="676">
        <v>11.5</v>
      </c>
      <c r="J221" s="634" t="s">
        <v>115</v>
      </c>
      <c r="K221" s="132">
        <v>79</v>
      </c>
      <c r="L221" s="178">
        <v>79</v>
      </c>
      <c r="M221" s="172">
        <v>79</v>
      </c>
    </row>
    <row r="222" spans="1:14" s="22" customFormat="1" ht="43.9" customHeight="1" x14ac:dyDescent="0.2">
      <c r="A222" s="295"/>
      <c r="B222" s="286"/>
      <c r="C222" s="349"/>
      <c r="D222" s="1152"/>
      <c r="E222" s="393"/>
      <c r="F222" s="678" t="s">
        <v>150</v>
      </c>
      <c r="G222" s="676">
        <v>36</v>
      </c>
      <c r="H222" s="552"/>
      <c r="I222" s="584"/>
      <c r="J222" s="634" t="s">
        <v>225</v>
      </c>
      <c r="K222" s="132">
        <v>20</v>
      </c>
      <c r="L222" s="178"/>
      <c r="M222" s="172"/>
    </row>
    <row r="223" spans="1:14" s="22" customFormat="1" ht="31.5" customHeight="1" x14ac:dyDescent="0.2">
      <c r="A223" s="295"/>
      <c r="B223" s="289"/>
      <c r="C223" s="349"/>
      <c r="D223" s="1145" t="s">
        <v>261</v>
      </c>
      <c r="E223" s="1158" t="s">
        <v>2</v>
      </c>
      <c r="F223" s="678" t="s">
        <v>150</v>
      </c>
      <c r="G223" s="584">
        <v>7.8</v>
      </c>
      <c r="H223" s="552">
        <v>57.5</v>
      </c>
      <c r="I223" s="584">
        <v>57.5</v>
      </c>
      <c r="J223" s="679" t="s">
        <v>116</v>
      </c>
      <c r="K223" s="16"/>
      <c r="L223" s="178">
        <v>5</v>
      </c>
      <c r="M223" s="174">
        <v>5</v>
      </c>
      <c r="N223" s="470"/>
    </row>
    <row r="224" spans="1:14" s="22" customFormat="1" ht="15" customHeight="1" x14ac:dyDescent="0.2">
      <c r="A224" s="295"/>
      <c r="B224" s="289"/>
      <c r="C224" s="349"/>
      <c r="D224" s="1146"/>
      <c r="E224" s="1089"/>
      <c r="F224" s="678"/>
      <c r="G224" s="584"/>
      <c r="H224" s="552"/>
      <c r="I224" s="584"/>
      <c r="J224" s="528" t="s">
        <v>179</v>
      </c>
      <c r="K224" s="87">
        <v>1</v>
      </c>
      <c r="L224" s="480">
        <v>1</v>
      </c>
      <c r="M224" s="275"/>
      <c r="N224" s="470"/>
    </row>
    <row r="225" spans="1:14" ht="41.25" customHeight="1" x14ac:dyDescent="0.2">
      <c r="A225" s="295"/>
      <c r="B225" s="289"/>
      <c r="C225" s="349"/>
      <c r="D225" s="1146"/>
      <c r="E225" s="1089"/>
      <c r="F225" s="678" t="s">
        <v>276</v>
      </c>
      <c r="G225" s="584"/>
      <c r="H225" s="552">
        <v>200</v>
      </c>
      <c r="I225" s="584">
        <v>200</v>
      </c>
      <c r="J225" s="680" t="s">
        <v>141</v>
      </c>
      <c r="K225" s="16"/>
      <c r="L225" s="267">
        <v>5</v>
      </c>
      <c r="M225" s="174">
        <v>5</v>
      </c>
      <c r="N225" s="470"/>
    </row>
    <row r="226" spans="1:14" ht="15.6" customHeight="1" x14ac:dyDescent="0.2">
      <c r="A226" s="295"/>
      <c r="B226" s="289"/>
      <c r="C226" s="349"/>
      <c r="D226" s="1146"/>
      <c r="E226" s="393"/>
      <c r="F226" s="678" t="s">
        <v>150</v>
      </c>
      <c r="G226" s="584">
        <v>28.6</v>
      </c>
      <c r="H226" s="552"/>
      <c r="I226" s="584"/>
      <c r="J226" s="1180" t="s">
        <v>141</v>
      </c>
      <c r="K226" s="130">
        <v>3</v>
      </c>
      <c r="L226" s="177"/>
      <c r="M226" s="172"/>
      <c r="N226" s="470"/>
    </row>
    <row r="227" spans="1:14" ht="15.6" customHeight="1" x14ac:dyDescent="0.2">
      <c r="A227" s="295"/>
      <c r="B227" s="289"/>
      <c r="C227" s="349"/>
      <c r="D227" s="491"/>
      <c r="E227" s="393"/>
      <c r="F227" s="678" t="s">
        <v>276</v>
      </c>
      <c r="G227" s="584">
        <v>94</v>
      </c>
      <c r="H227" s="552"/>
      <c r="I227" s="584"/>
      <c r="J227" s="1181"/>
      <c r="K227" s="131"/>
      <c r="L227" s="480"/>
      <c r="M227" s="173"/>
      <c r="N227" s="470"/>
    </row>
    <row r="228" spans="1:14" ht="13.9" customHeight="1" thickBot="1" x14ac:dyDescent="0.25">
      <c r="A228" s="295"/>
      <c r="B228" s="286"/>
      <c r="C228" s="348"/>
      <c r="D228" s="491"/>
      <c r="E228" s="393"/>
      <c r="F228" s="681" t="s">
        <v>14</v>
      </c>
      <c r="G228" s="147">
        <f>SUM(G219:G220)</f>
        <v>177.9</v>
      </c>
      <c r="H228" s="149">
        <f>SUM(H221:H227)</f>
        <v>269</v>
      </c>
      <c r="I228" s="154">
        <f>SUM(I221:I227)</f>
        <v>269</v>
      </c>
      <c r="J228" s="1205"/>
      <c r="K228" s="87"/>
      <c r="L228" s="124"/>
      <c r="M228" s="103"/>
      <c r="N228" s="470"/>
    </row>
    <row r="229" spans="1:14" ht="16.149999999999999" customHeight="1" x14ac:dyDescent="0.2">
      <c r="A229" s="312" t="s">
        <v>15</v>
      </c>
      <c r="B229" s="313" t="s">
        <v>17</v>
      </c>
      <c r="C229" s="394" t="s">
        <v>20</v>
      </c>
      <c r="D229" s="435" t="s">
        <v>252</v>
      </c>
      <c r="E229" s="395"/>
      <c r="F229" s="437" t="s">
        <v>13</v>
      </c>
      <c r="G229" s="682">
        <v>2051.8000000000002</v>
      </c>
      <c r="H229" s="443">
        <v>2482.4</v>
      </c>
      <c r="I229" s="683">
        <v>2482.4</v>
      </c>
      <c r="J229" s="95" t="s">
        <v>79</v>
      </c>
      <c r="K229" s="6">
        <v>92</v>
      </c>
      <c r="L229" s="538">
        <v>92</v>
      </c>
      <c r="M229" s="192">
        <v>92</v>
      </c>
    </row>
    <row r="230" spans="1:14" ht="16.149999999999999" customHeight="1" x14ac:dyDescent="0.2">
      <c r="A230" s="295"/>
      <c r="B230" s="286"/>
      <c r="C230" s="287"/>
      <c r="D230" s="535" t="s">
        <v>253</v>
      </c>
      <c r="E230" s="396"/>
      <c r="F230" s="7" t="s">
        <v>70</v>
      </c>
      <c r="G230" s="687">
        <v>315.10000000000002</v>
      </c>
      <c r="H230" s="688"/>
      <c r="I230" s="689"/>
      <c r="J230" s="95"/>
      <c r="K230" s="111"/>
      <c r="L230" s="124"/>
      <c r="M230" s="103"/>
    </row>
    <row r="231" spans="1:14" ht="16.149999999999999" customHeight="1" x14ac:dyDescent="0.2">
      <c r="A231" s="295"/>
      <c r="B231" s="286"/>
      <c r="C231" s="287"/>
      <c r="D231" s="535" t="s">
        <v>254</v>
      </c>
      <c r="E231" s="396"/>
      <c r="F231" s="109" t="s">
        <v>16</v>
      </c>
      <c r="G231" s="684">
        <v>7</v>
      </c>
      <c r="H231" s="685">
        <v>7</v>
      </c>
      <c r="I231" s="686">
        <v>7</v>
      </c>
      <c r="J231" s="95"/>
      <c r="K231" s="111"/>
      <c r="L231" s="124"/>
      <c r="M231" s="103"/>
    </row>
    <row r="232" spans="1:14" ht="15" customHeight="1" thickBot="1" x14ac:dyDescent="0.25">
      <c r="A232" s="295"/>
      <c r="B232" s="286"/>
      <c r="C232" s="348"/>
      <c r="D232" s="486"/>
      <c r="E232" s="393"/>
      <c r="F232" s="72" t="s">
        <v>14</v>
      </c>
      <c r="G232" s="41">
        <f>SUM(G229:G231)</f>
        <v>2373.9</v>
      </c>
      <c r="H232" s="149">
        <f>SUM(H229:H231)</f>
        <v>2489.4</v>
      </c>
      <c r="I232" s="154">
        <f>SUM(I229:I231)</f>
        <v>2489.4</v>
      </c>
      <c r="J232" s="107"/>
      <c r="K232" s="212"/>
      <c r="L232" s="539"/>
      <c r="M232" s="114"/>
    </row>
    <row r="233" spans="1:14" ht="14.25" customHeight="1" thickBot="1" x14ac:dyDescent="0.25">
      <c r="A233" s="397" t="s">
        <v>15</v>
      </c>
      <c r="B233" s="398" t="s">
        <v>17</v>
      </c>
      <c r="C233" s="1029" t="s">
        <v>18</v>
      </c>
      <c r="D233" s="1030"/>
      <c r="E233" s="1030"/>
      <c r="F233" s="1030"/>
      <c r="G233" s="332">
        <f>G215+G218+G228+G213+G232</f>
        <v>4551.2000000000007</v>
      </c>
      <c r="H233" s="333">
        <f>H215+H218+H228+H213+H232</f>
        <v>4619.3</v>
      </c>
      <c r="I233" s="334">
        <f>I215+I218+I228+I213+I232</f>
        <v>4619.3999999999996</v>
      </c>
      <c r="J233" s="358"/>
      <c r="K233" s="473"/>
      <c r="L233" s="473"/>
      <c r="M233" s="474"/>
    </row>
    <row r="234" spans="1:14" s="79" customFormat="1" ht="14.25" customHeight="1" thickBot="1" x14ac:dyDescent="0.25">
      <c r="A234" s="397" t="s">
        <v>15</v>
      </c>
      <c r="B234" s="1031" t="s">
        <v>5</v>
      </c>
      <c r="C234" s="1032"/>
      <c r="D234" s="1032"/>
      <c r="E234" s="1032"/>
      <c r="F234" s="1032"/>
      <c r="G234" s="399">
        <f>G233+G189+G172</f>
        <v>16057.600000000002</v>
      </c>
      <c r="H234" s="400">
        <f>H233+H189+H172</f>
        <v>14122.4</v>
      </c>
      <c r="I234" s="690">
        <f>I233+I189+I172</f>
        <v>12145.4</v>
      </c>
      <c r="J234" s="401"/>
      <c r="K234" s="338"/>
      <c r="L234" s="338"/>
      <c r="M234" s="339"/>
    </row>
    <row r="235" spans="1:14" s="79" customFormat="1" ht="14.25" customHeight="1" thickBot="1" x14ac:dyDescent="0.25">
      <c r="A235" s="402" t="s">
        <v>4</v>
      </c>
      <c r="B235" s="1126" t="s">
        <v>6</v>
      </c>
      <c r="C235" s="1127"/>
      <c r="D235" s="1127"/>
      <c r="E235" s="1127"/>
      <c r="F235" s="1127"/>
      <c r="G235" s="403">
        <f>G234+G100</f>
        <v>118316.89999999998</v>
      </c>
      <c r="H235" s="404">
        <f>H234+H100</f>
        <v>117888.99999999999</v>
      </c>
      <c r="I235" s="691">
        <f>I234+I100</f>
        <v>117277.59999999998</v>
      </c>
      <c r="J235" s="405"/>
      <c r="K235" s="406"/>
      <c r="L235" s="406"/>
      <c r="M235" s="407"/>
    </row>
    <row r="236" spans="1:14" s="79" customFormat="1" ht="23.25" customHeight="1" thickBot="1" x14ac:dyDescent="0.25">
      <c r="A236" s="1204" t="s">
        <v>0</v>
      </c>
      <c r="B236" s="1204"/>
      <c r="C236" s="1204"/>
      <c r="D236" s="1204"/>
      <c r="E236" s="1204"/>
      <c r="F236" s="1204"/>
      <c r="G236" s="1204"/>
      <c r="H236" s="1204"/>
      <c r="I236" s="1204"/>
      <c r="J236" s="408"/>
      <c r="K236" s="408"/>
      <c r="L236" s="408"/>
      <c r="M236" s="408"/>
    </row>
    <row r="237" spans="1:14" s="79" customFormat="1" ht="58.5" customHeight="1" thickBot="1" x14ac:dyDescent="0.25">
      <c r="A237" s="1048" t="s">
        <v>1</v>
      </c>
      <c r="B237" s="1049"/>
      <c r="C237" s="1049"/>
      <c r="D237" s="1049"/>
      <c r="E237" s="1049"/>
      <c r="F237" s="1050"/>
      <c r="G237" s="158" t="s">
        <v>196</v>
      </c>
      <c r="H237" s="166" t="s">
        <v>197</v>
      </c>
      <c r="I237" s="162" t="s">
        <v>198</v>
      </c>
      <c r="J237" s="57"/>
      <c r="K237" s="18"/>
      <c r="L237" s="18"/>
      <c r="M237" s="18"/>
    </row>
    <row r="238" spans="1:14" s="79" customFormat="1" ht="13.5" customHeight="1" x14ac:dyDescent="0.2">
      <c r="A238" s="1051" t="s">
        <v>22</v>
      </c>
      <c r="B238" s="1052"/>
      <c r="C238" s="1052"/>
      <c r="D238" s="1052"/>
      <c r="E238" s="1052"/>
      <c r="F238" s="1052"/>
      <c r="G238" s="409">
        <f>+G239+G246+G247+G248+G249</f>
        <v>117923</v>
      </c>
      <c r="H238" s="410">
        <f>+H239+H246+H247+H248+H249</f>
        <v>116899.2</v>
      </c>
      <c r="I238" s="411">
        <f>+I239+I246+I247+I248+I249</f>
        <v>114444.5</v>
      </c>
      <c r="J238" s="57"/>
      <c r="K238" s="18"/>
      <c r="L238" s="18"/>
      <c r="M238" s="18"/>
    </row>
    <row r="239" spans="1:14" s="79" customFormat="1" ht="13.5" customHeight="1" x14ac:dyDescent="0.2">
      <c r="A239" s="1053" t="s">
        <v>147</v>
      </c>
      <c r="B239" s="1054"/>
      <c r="C239" s="1054"/>
      <c r="D239" s="1054"/>
      <c r="E239" s="1054"/>
      <c r="F239" s="1054"/>
      <c r="G239" s="412">
        <f>SUM(G240:G245)</f>
        <v>112436.3</v>
      </c>
      <c r="H239" s="413">
        <f>SUM(H240:H245)</f>
        <v>116899.2</v>
      </c>
      <c r="I239" s="414">
        <f>SUM(I240:I245)</f>
        <v>114444.5</v>
      </c>
      <c r="J239" s="57"/>
      <c r="K239" s="18"/>
      <c r="L239" s="18"/>
      <c r="M239" s="18"/>
      <c r="N239" s="20"/>
    </row>
    <row r="240" spans="1:14" s="79" customFormat="1" ht="14.25" customHeight="1" x14ac:dyDescent="0.2">
      <c r="A240" s="1055" t="s">
        <v>245</v>
      </c>
      <c r="B240" s="1056"/>
      <c r="C240" s="1056"/>
      <c r="D240" s="1056"/>
      <c r="E240" s="1056"/>
      <c r="F240" s="1056"/>
      <c r="G240" s="5">
        <f>SUMIF(F14:F231,"sb",G14:G231)</f>
        <v>46083.100000000006</v>
      </c>
      <c r="H240" s="148">
        <f>SUMIF(F14:F231,"sb",H14:H231)</f>
        <v>55211.4</v>
      </c>
      <c r="I240" s="163">
        <f>SUMIF(F14:F231,"sb",I14:I231)</f>
        <v>52987.899999999994</v>
      </c>
      <c r="J240" s="13"/>
      <c r="K240" s="18"/>
      <c r="L240" s="18"/>
      <c r="M240" s="18"/>
    </row>
    <row r="241" spans="1:13" s="79" customFormat="1" ht="15.6" customHeight="1" x14ac:dyDescent="0.2">
      <c r="A241" s="1062" t="s">
        <v>267</v>
      </c>
      <c r="B241" s="1063"/>
      <c r="C241" s="1063"/>
      <c r="D241" s="1063"/>
      <c r="E241" s="1063"/>
      <c r="F241" s="1064"/>
      <c r="G241" s="5">
        <f>SUMIF(F21:F231,"sb(K)",G21:G231)</f>
        <v>2702.5</v>
      </c>
      <c r="H241" s="148">
        <f>SUMIF(F21:F231,"sb(K)",H21:H231)</f>
        <v>0</v>
      </c>
      <c r="I241" s="163">
        <f>SUMIF(F21:F231,"sb(K)",I21:I231)</f>
        <v>0</v>
      </c>
      <c r="J241" s="13"/>
      <c r="K241" s="18"/>
      <c r="L241" s="18"/>
      <c r="M241" s="18"/>
    </row>
    <row r="242" spans="1:13" s="79" customFormat="1" ht="15.75" customHeight="1" x14ac:dyDescent="0.2">
      <c r="A242" s="1055" t="s">
        <v>246</v>
      </c>
      <c r="B242" s="1056"/>
      <c r="C242" s="1056"/>
      <c r="D242" s="1056"/>
      <c r="E242" s="1056"/>
      <c r="F242" s="1056"/>
      <c r="G242" s="5">
        <f>SUMIF(F14:F231,"sb(sp)",G14:G231)</f>
        <v>5239.8999999999996</v>
      </c>
      <c r="H242" s="148">
        <f>SUMIF(F14:F227,"sb(sp)",H14:H227)</f>
        <v>6559</v>
      </c>
      <c r="I242" s="163">
        <f>SUMIF(F14:F227,"sb(sp)",I14:I227)</f>
        <v>6580.5</v>
      </c>
      <c r="J242" s="21"/>
      <c r="K242" s="18"/>
      <c r="L242" s="18"/>
      <c r="M242" s="18"/>
    </row>
    <row r="243" spans="1:13" s="79" customFormat="1" ht="15.75" customHeight="1" x14ac:dyDescent="0.2">
      <c r="A243" s="1055" t="s">
        <v>236</v>
      </c>
      <c r="B243" s="1056"/>
      <c r="C243" s="1056"/>
      <c r="D243" s="1056"/>
      <c r="E243" s="1056"/>
      <c r="F243" s="1061"/>
      <c r="G243" s="5">
        <f>SUMIF(F14:F231,"sb(p)",G14:G231)</f>
        <v>1778.7</v>
      </c>
      <c r="H243" s="148">
        <f>SUMIF(F14:F231,"sb(p)",H14:H231)</f>
        <v>0</v>
      </c>
      <c r="I243" s="163">
        <f>SUMIF(F14:F231,"sb(p)",I14:I231)</f>
        <v>0</v>
      </c>
      <c r="J243" s="21"/>
      <c r="K243" s="18"/>
      <c r="L243" s="18"/>
      <c r="M243" s="18"/>
    </row>
    <row r="244" spans="1:13" s="79" customFormat="1" ht="15.75" customHeight="1" x14ac:dyDescent="0.2">
      <c r="A244" s="1042" t="s">
        <v>247</v>
      </c>
      <c r="B244" s="1043"/>
      <c r="C244" s="1043"/>
      <c r="D244" s="1043"/>
      <c r="E244" s="1043"/>
      <c r="F244" s="1043"/>
      <c r="G244" s="5">
        <f>SUMIF(F14:F231,"sb(vb)",G14:G231)</f>
        <v>55576.1</v>
      </c>
      <c r="H244" s="148">
        <f>SUMIF(F14:F231,"sb(vb)",H14:H231)</f>
        <v>54865.1</v>
      </c>
      <c r="I244" s="163">
        <f>SUMIF(F14:F231,"sb(vb)",I14:I231)</f>
        <v>54876.1</v>
      </c>
      <c r="J244" s="21"/>
      <c r="K244" s="18"/>
      <c r="L244" s="18"/>
      <c r="M244" s="18"/>
    </row>
    <row r="245" spans="1:13" ht="27.75" customHeight="1" x14ac:dyDescent="0.2">
      <c r="A245" s="1044" t="s">
        <v>145</v>
      </c>
      <c r="B245" s="1045"/>
      <c r="C245" s="1045"/>
      <c r="D245" s="1045"/>
      <c r="E245" s="1045"/>
      <c r="F245" s="1045"/>
      <c r="G245" s="5">
        <f>SUMIF(F14:F231,"sb(es)",G14:G231)</f>
        <v>1056</v>
      </c>
      <c r="H245" s="148">
        <f>SUMIF(F14:F228,"sb(es)",H14:H228)</f>
        <v>263.7</v>
      </c>
      <c r="I245" s="163">
        <f>SUMIF(F14:F228,"sb(es)",I14:I228)</f>
        <v>0</v>
      </c>
      <c r="J245" s="21"/>
      <c r="K245" s="18"/>
      <c r="L245" s="18"/>
      <c r="M245" s="18"/>
    </row>
    <row r="246" spans="1:13" ht="15.75" customHeight="1" x14ac:dyDescent="0.2">
      <c r="A246" s="1203" t="s">
        <v>71</v>
      </c>
      <c r="B246" s="1046"/>
      <c r="C246" s="1046"/>
      <c r="D246" s="1046"/>
      <c r="E246" s="1046"/>
      <c r="F246" s="1047"/>
      <c r="G246" s="159">
        <f>SUMIF(F14:F231,"sb(l)",G14:G231)</f>
        <v>4451.8999999999996</v>
      </c>
      <c r="H246" s="167">
        <f>SUMIF(F14:F231,"sb(l)",H14:H231)</f>
        <v>0</v>
      </c>
      <c r="I246" s="164">
        <f>SUMIF(F14:F231,"sb(l)",I14:I231)</f>
        <v>0</v>
      </c>
      <c r="J246" s="21"/>
      <c r="K246" s="18"/>
      <c r="L246" s="18"/>
      <c r="M246" s="18"/>
    </row>
    <row r="247" spans="1:13" ht="29.45" customHeight="1" x14ac:dyDescent="0.2">
      <c r="A247" s="1203" t="s">
        <v>146</v>
      </c>
      <c r="B247" s="1046"/>
      <c r="C247" s="1046"/>
      <c r="D247" s="1046"/>
      <c r="E247" s="1046"/>
      <c r="F247" s="1047"/>
      <c r="G247" s="159">
        <f>SUMIF(F14:F231,"sb(esl)",G14:G231)</f>
        <v>645</v>
      </c>
      <c r="H247" s="167">
        <f>SUMIF(F21:F228,"sb(esl)",H21:H228)</f>
        <v>0</v>
      </c>
      <c r="I247" s="164">
        <f>SUMIF(F21:F228,"sb(esl)",I21:I228)</f>
        <v>0</v>
      </c>
      <c r="J247" s="21"/>
      <c r="K247" s="18"/>
      <c r="L247" s="18"/>
      <c r="M247" s="18"/>
    </row>
    <row r="248" spans="1:13" ht="16.5" customHeight="1" x14ac:dyDescent="0.2">
      <c r="A248" s="1203" t="s">
        <v>50</v>
      </c>
      <c r="B248" s="1046"/>
      <c r="C248" s="1046"/>
      <c r="D248" s="1046"/>
      <c r="E248" s="1046"/>
      <c r="F248" s="1047"/>
      <c r="G248" s="159">
        <f>SUMIF(F14:F231,"sb(spl)",G14:G231)</f>
        <v>388.8</v>
      </c>
      <c r="H248" s="167">
        <f>SUMIF(F14:F232,"sb(spl)",H14:H233)</f>
        <v>0</v>
      </c>
      <c r="I248" s="164">
        <f>SUMIF(F14:F232,"sb(spl)",I14:I233)</f>
        <v>0</v>
      </c>
      <c r="J248" s="21"/>
      <c r="K248" s="18"/>
      <c r="L248" s="18"/>
      <c r="M248" s="18"/>
    </row>
    <row r="249" spans="1:13" ht="16.5" customHeight="1" x14ac:dyDescent="0.2">
      <c r="A249" s="1203" t="s">
        <v>152</v>
      </c>
      <c r="B249" s="1046"/>
      <c r="C249" s="1046"/>
      <c r="D249" s="1046"/>
      <c r="E249" s="1046"/>
      <c r="F249" s="1047"/>
      <c r="G249" s="159">
        <f>SUMIF(F21:F231,"sb(vbl)",G21:G231)</f>
        <v>1</v>
      </c>
      <c r="H249" s="167">
        <f>SUMIF(G21:G234,"sb(vbl)",H21:H234)</f>
        <v>0</v>
      </c>
      <c r="I249" s="164">
        <f>SUMIF(F21:F234,"sb(vbl)",I21:I234)</f>
        <v>0</v>
      </c>
      <c r="J249" s="21"/>
      <c r="K249" s="18"/>
      <c r="L249" s="18"/>
      <c r="M249" s="18"/>
    </row>
    <row r="250" spans="1:13" ht="17.25" customHeight="1" x14ac:dyDescent="0.2">
      <c r="A250" s="1057" t="s">
        <v>23</v>
      </c>
      <c r="B250" s="1058"/>
      <c r="C250" s="1058"/>
      <c r="D250" s="1058"/>
      <c r="E250" s="1058"/>
      <c r="F250" s="1058"/>
      <c r="G250" s="432">
        <f>SUM(G251:G252)</f>
        <v>393.9</v>
      </c>
      <c r="H250" s="433">
        <f>SUM(H251:H252)</f>
        <v>989.8</v>
      </c>
      <c r="I250" s="434">
        <f>SUM(I251:I252)</f>
        <v>2833.1</v>
      </c>
      <c r="J250" s="57"/>
      <c r="K250" s="18"/>
      <c r="L250" s="18"/>
      <c r="M250" s="18"/>
    </row>
    <row r="251" spans="1:13" ht="15" customHeight="1" x14ac:dyDescent="0.2">
      <c r="A251" s="1059" t="s">
        <v>73</v>
      </c>
      <c r="B251" s="1060"/>
      <c r="C251" s="1060"/>
      <c r="D251" s="1060"/>
      <c r="E251" s="1060"/>
      <c r="F251" s="1060"/>
      <c r="G251" s="160">
        <f>SUMIF(F14:F231,"lrvb",G14:G231)</f>
        <v>304</v>
      </c>
      <c r="H251" s="168">
        <f>SUMIF(F14:F227,"lrvb",H14:H227)</f>
        <v>989.8</v>
      </c>
      <c r="I251" s="165">
        <f>SUMIF(F14:F227,"lrvb",I14:I227)</f>
        <v>2833.1</v>
      </c>
      <c r="J251" s="21"/>
      <c r="K251" s="18"/>
      <c r="L251" s="18"/>
      <c r="M251" s="18"/>
    </row>
    <row r="252" spans="1:13" ht="15" customHeight="1" x14ac:dyDescent="0.2">
      <c r="A252" s="1055" t="s">
        <v>226</v>
      </c>
      <c r="B252" s="1056"/>
      <c r="C252" s="1056"/>
      <c r="D252" s="1056"/>
      <c r="E252" s="1056"/>
      <c r="F252" s="1061"/>
      <c r="G252" s="161">
        <f>SUMIF(F22:F232,"kt",G22:G232)</f>
        <v>89.9</v>
      </c>
      <c r="H252" s="198"/>
      <c r="I252" s="199"/>
      <c r="J252" s="21"/>
      <c r="K252" s="18"/>
      <c r="L252" s="18"/>
      <c r="M252" s="18"/>
    </row>
    <row r="253" spans="1:13" ht="16.5" customHeight="1" thickBot="1" x14ac:dyDescent="0.25">
      <c r="A253" s="1005" t="s">
        <v>24</v>
      </c>
      <c r="B253" s="991"/>
      <c r="C253" s="991"/>
      <c r="D253" s="991"/>
      <c r="E253" s="991"/>
      <c r="F253" s="991"/>
      <c r="G253" s="41">
        <f>G250+G238</f>
        <v>118316.9</v>
      </c>
      <c r="H253" s="149">
        <f>H250+H238</f>
        <v>117889</v>
      </c>
      <c r="I253" s="154">
        <f>I250+I238</f>
        <v>117277.6</v>
      </c>
      <c r="J253" s="57"/>
    </row>
    <row r="254" spans="1:13" ht="22.5" customHeight="1" x14ac:dyDescent="0.2">
      <c r="A254" s="1041" t="s">
        <v>119</v>
      </c>
      <c r="B254" s="1041"/>
      <c r="C254" s="1041"/>
      <c r="D254" s="1041"/>
      <c r="E254" s="1041"/>
      <c r="F254" s="1041"/>
      <c r="G254" s="1041"/>
      <c r="H254" s="1041"/>
      <c r="I254" s="1041"/>
      <c r="J254" s="1041"/>
      <c r="K254" s="1041"/>
      <c r="L254" s="1041"/>
      <c r="M254" s="1041"/>
    </row>
    <row r="255" spans="1:13" x14ac:dyDescent="0.2">
      <c r="D255" s="20"/>
      <c r="E255" s="415"/>
      <c r="F255" s="87"/>
      <c r="G255" s="692">
        <f>+G253-G235</f>
        <v>0</v>
      </c>
      <c r="H255" s="692">
        <f>+H253-H235</f>
        <v>0</v>
      </c>
      <c r="I255" s="692">
        <f>+I253-I235</f>
        <v>0</v>
      </c>
      <c r="J255" s="693"/>
    </row>
    <row r="256" spans="1:13" x14ac:dyDescent="0.2">
      <c r="D256" s="20"/>
      <c r="E256" s="415"/>
      <c r="F256" s="61"/>
      <c r="G256" s="80"/>
      <c r="H256" s="80"/>
      <c r="I256" s="80"/>
      <c r="J256" s="98"/>
    </row>
    <row r="257" spans="1:13" x14ac:dyDescent="0.2">
      <c r="D257" s="20"/>
      <c r="E257" s="415"/>
      <c r="F257" s="499"/>
      <c r="G257" s="78"/>
      <c r="H257" s="78"/>
      <c r="I257" s="78"/>
    </row>
    <row r="258" spans="1:13" x14ac:dyDescent="0.2">
      <c r="D258" s="20"/>
      <c r="E258" s="415"/>
      <c r="F258" s="499"/>
      <c r="G258" s="78"/>
      <c r="H258" s="78"/>
      <c r="I258" s="78"/>
      <c r="K258" s="20"/>
      <c r="L258" s="20"/>
      <c r="M258" s="20"/>
    </row>
    <row r="259" spans="1:13" x14ac:dyDescent="0.2">
      <c r="D259" s="20"/>
      <c r="E259" s="415"/>
      <c r="F259" s="499"/>
      <c r="G259" s="78"/>
      <c r="H259" s="78"/>
      <c r="I259" s="78"/>
      <c r="K259" s="20"/>
      <c r="L259" s="20"/>
      <c r="M259" s="20"/>
    </row>
    <row r="260" spans="1:13" x14ac:dyDescent="0.2">
      <c r="D260" s="20"/>
      <c r="E260" s="415"/>
      <c r="F260" s="499"/>
      <c r="G260" s="78"/>
      <c r="H260" s="78"/>
      <c r="I260" s="78"/>
      <c r="K260" s="20"/>
      <c r="L260" s="20"/>
      <c r="M260" s="20"/>
    </row>
    <row r="261" spans="1:13" x14ac:dyDescent="0.2">
      <c r="D261" s="20"/>
      <c r="E261" s="415"/>
      <c r="F261" s="499"/>
      <c r="G261" s="78"/>
      <c r="H261" s="78"/>
      <c r="I261" s="78"/>
      <c r="K261" s="20"/>
      <c r="L261" s="20"/>
      <c r="M261" s="20"/>
    </row>
    <row r="262" spans="1:13" x14ac:dyDescent="0.2">
      <c r="D262" s="20"/>
      <c r="E262" s="415"/>
      <c r="F262" s="499"/>
      <c r="G262" s="78"/>
      <c r="H262" s="78"/>
      <c r="I262" s="78"/>
      <c r="K262" s="20"/>
      <c r="L262" s="20"/>
      <c r="M262" s="20"/>
    </row>
    <row r="263" spans="1:13" x14ac:dyDescent="0.2">
      <c r="A263" s="416"/>
      <c r="B263" s="416"/>
      <c r="C263" s="416"/>
      <c r="D263" s="20"/>
      <c r="E263" s="415"/>
      <c r="F263" s="499"/>
      <c r="G263" s="78"/>
      <c r="H263" s="78"/>
      <c r="I263" s="78"/>
      <c r="J263" s="20"/>
      <c r="K263" s="20"/>
      <c r="L263" s="20"/>
      <c r="M263" s="20"/>
    </row>
    <row r="264" spans="1:13" x14ac:dyDescent="0.2">
      <c r="A264" s="416"/>
      <c r="B264" s="416"/>
      <c r="C264" s="416"/>
      <c r="D264" s="20"/>
      <c r="E264" s="415"/>
      <c r="F264" s="499"/>
      <c r="G264" s="78"/>
      <c r="H264" s="78"/>
      <c r="I264" s="78"/>
      <c r="J264" s="20"/>
      <c r="K264" s="20"/>
      <c r="L264" s="20"/>
      <c r="M264" s="20"/>
    </row>
    <row r="265" spans="1:13" x14ac:dyDescent="0.2">
      <c r="A265" s="416"/>
      <c r="B265" s="416"/>
      <c r="C265" s="416"/>
      <c r="D265" s="20"/>
      <c r="E265" s="415"/>
      <c r="F265" s="499"/>
      <c r="G265" s="78"/>
      <c r="H265" s="78"/>
      <c r="I265" s="78"/>
      <c r="J265" s="20"/>
      <c r="K265" s="20"/>
      <c r="L265" s="20"/>
      <c r="M265" s="20"/>
    </row>
    <row r="266" spans="1:13" x14ac:dyDescent="0.2">
      <c r="A266" s="416"/>
      <c r="B266" s="416"/>
      <c r="C266" s="416"/>
      <c r="D266" s="20"/>
      <c r="E266" s="415"/>
      <c r="F266" s="499"/>
      <c r="G266" s="78"/>
      <c r="H266" s="78"/>
      <c r="I266" s="78"/>
      <c r="J266" s="20"/>
      <c r="K266" s="20"/>
      <c r="L266" s="20"/>
      <c r="M266" s="20"/>
    </row>
    <row r="267" spans="1:13" x14ac:dyDescent="0.2">
      <c r="A267" s="416"/>
      <c r="B267" s="416"/>
      <c r="C267" s="416"/>
      <c r="D267" s="20"/>
      <c r="E267" s="415"/>
      <c r="F267" s="499"/>
      <c r="G267" s="78"/>
      <c r="H267" s="78"/>
      <c r="I267" s="78"/>
      <c r="J267" s="20"/>
      <c r="K267" s="20"/>
      <c r="L267" s="20"/>
      <c r="M267" s="20"/>
    </row>
    <row r="268" spans="1:13" x14ac:dyDescent="0.2">
      <c r="A268" s="416"/>
      <c r="B268" s="416"/>
      <c r="C268" s="416"/>
      <c r="D268" s="20"/>
      <c r="E268" s="415"/>
      <c r="F268" s="499"/>
      <c r="G268" s="78"/>
      <c r="H268" s="78"/>
      <c r="I268" s="78"/>
      <c r="J268" s="20"/>
      <c r="K268" s="20"/>
      <c r="L268" s="20"/>
      <c r="M268" s="20"/>
    </row>
    <row r="269" spans="1:13" x14ac:dyDescent="0.2">
      <c r="A269" s="416"/>
      <c r="B269" s="416"/>
      <c r="C269" s="416"/>
      <c r="D269" s="20"/>
      <c r="E269" s="415"/>
      <c r="F269" s="499"/>
      <c r="G269" s="78"/>
      <c r="H269" s="78"/>
      <c r="I269" s="78"/>
      <c r="J269" s="20"/>
      <c r="K269" s="20"/>
      <c r="L269" s="20"/>
      <c r="M269" s="20"/>
    </row>
    <row r="270" spans="1:13" x14ac:dyDescent="0.2">
      <c r="A270" s="416"/>
      <c r="B270" s="416"/>
      <c r="C270" s="416"/>
      <c r="D270" s="20"/>
      <c r="E270" s="415"/>
      <c r="F270" s="499"/>
      <c r="G270" s="78"/>
      <c r="H270" s="78"/>
      <c r="I270" s="78"/>
      <c r="J270" s="20"/>
      <c r="K270" s="20"/>
      <c r="L270" s="20"/>
      <c r="M270" s="20"/>
    </row>
    <row r="271" spans="1:13" x14ac:dyDescent="0.2">
      <c r="A271" s="416"/>
      <c r="B271" s="416"/>
      <c r="C271" s="416"/>
      <c r="D271" s="20"/>
      <c r="E271" s="415"/>
      <c r="F271" s="499"/>
      <c r="G271" s="78"/>
      <c r="H271" s="78"/>
      <c r="I271" s="78"/>
      <c r="J271" s="20"/>
      <c r="K271" s="20"/>
      <c r="L271" s="20"/>
      <c r="M271" s="20"/>
    </row>
    <row r="272" spans="1:13" x14ac:dyDescent="0.2">
      <c r="A272" s="416"/>
      <c r="B272" s="416"/>
      <c r="C272" s="416"/>
      <c r="D272" s="20"/>
      <c r="E272" s="415"/>
      <c r="F272" s="499"/>
      <c r="G272" s="78"/>
      <c r="H272" s="78"/>
      <c r="I272" s="78"/>
      <c r="J272" s="20"/>
      <c r="K272" s="20"/>
      <c r="L272" s="20"/>
      <c r="M272" s="20"/>
    </row>
    <row r="273" spans="1:13" x14ac:dyDescent="0.2">
      <c r="A273" s="416"/>
      <c r="B273" s="416"/>
      <c r="C273" s="416"/>
      <c r="D273" s="20"/>
      <c r="E273" s="415"/>
      <c r="F273" s="499"/>
      <c r="G273" s="78"/>
      <c r="H273" s="78"/>
      <c r="I273" s="78"/>
      <c r="J273" s="20"/>
      <c r="K273" s="20"/>
      <c r="L273" s="20"/>
      <c r="M273" s="20"/>
    </row>
    <row r="274" spans="1:13" x14ac:dyDescent="0.2">
      <c r="A274" s="416"/>
      <c r="B274" s="416"/>
      <c r="C274" s="416"/>
      <c r="D274" s="20"/>
      <c r="E274" s="415"/>
      <c r="F274" s="499"/>
      <c r="G274" s="78"/>
      <c r="H274" s="78"/>
      <c r="I274" s="78"/>
      <c r="J274" s="20"/>
      <c r="K274" s="20"/>
      <c r="L274" s="20"/>
      <c r="M274" s="20"/>
    </row>
    <row r="275" spans="1:13" x14ac:dyDescent="0.2">
      <c r="A275" s="416"/>
      <c r="B275" s="416"/>
      <c r="C275" s="416"/>
      <c r="D275" s="20"/>
      <c r="E275" s="415"/>
      <c r="F275" s="499"/>
      <c r="G275" s="78"/>
      <c r="H275" s="78"/>
      <c r="I275" s="78"/>
      <c r="J275" s="20"/>
      <c r="K275" s="20"/>
      <c r="L275" s="20"/>
      <c r="M275" s="20"/>
    </row>
  </sheetData>
  <mergeCells count="152">
    <mergeCell ref="A252:F252"/>
    <mergeCell ref="A253:F253"/>
    <mergeCell ref="A254:M254"/>
    <mergeCell ref="I1:M1"/>
    <mergeCell ref="A246:F246"/>
    <mergeCell ref="A247:F247"/>
    <mergeCell ref="A248:F248"/>
    <mergeCell ref="A249:F249"/>
    <mergeCell ref="A250:F250"/>
    <mergeCell ref="A251:F251"/>
    <mergeCell ref="A241:F241"/>
    <mergeCell ref="A242:F242"/>
    <mergeCell ref="A243:F243"/>
    <mergeCell ref="A244:F244"/>
    <mergeCell ref="A245:F245"/>
    <mergeCell ref="A236:I236"/>
    <mergeCell ref="A237:F237"/>
    <mergeCell ref="A238:F238"/>
    <mergeCell ref="A239:F239"/>
    <mergeCell ref="A240:F240"/>
    <mergeCell ref="J226:J228"/>
    <mergeCell ref="C233:F233"/>
    <mergeCell ref="B234:F234"/>
    <mergeCell ref="B235:F235"/>
    <mergeCell ref="D216:D217"/>
    <mergeCell ref="D221:D222"/>
    <mergeCell ref="D223:D226"/>
    <mergeCell ref="D198:D199"/>
    <mergeCell ref="J203:J204"/>
    <mergeCell ref="D208:D209"/>
    <mergeCell ref="E208:E209"/>
    <mergeCell ref="A214:A215"/>
    <mergeCell ref="B214:B215"/>
    <mergeCell ref="D214:D215"/>
    <mergeCell ref="E214:E215"/>
    <mergeCell ref="J214:J215"/>
    <mergeCell ref="D219:D220"/>
    <mergeCell ref="E216:E218"/>
    <mergeCell ref="E223:E225"/>
    <mergeCell ref="D191:D192"/>
    <mergeCell ref="D194:D197"/>
    <mergeCell ref="J187:J188"/>
    <mergeCell ref="K187:K188"/>
    <mergeCell ref="D170:D171"/>
    <mergeCell ref="J170:J171"/>
    <mergeCell ref="E171:F171"/>
    <mergeCell ref="D157:D158"/>
    <mergeCell ref="D162:D163"/>
    <mergeCell ref="D159:D161"/>
    <mergeCell ref="J194:J195"/>
    <mergeCell ref="D182:D183"/>
    <mergeCell ref="L187:L188"/>
    <mergeCell ref="C189:F189"/>
    <mergeCell ref="C190:M190"/>
    <mergeCell ref="D185:D186"/>
    <mergeCell ref="E185:E186"/>
    <mergeCell ref="D187:D188"/>
    <mergeCell ref="C172:F172"/>
    <mergeCell ref="K172:M172"/>
    <mergeCell ref="C173:M173"/>
    <mergeCell ref="D175:D176"/>
    <mergeCell ref="D177:D178"/>
    <mergeCell ref="D179:D180"/>
    <mergeCell ref="D150:D151"/>
    <mergeCell ref="N154:T155"/>
    <mergeCell ref="D141:D142"/>
    <mergeCell ref="D143:D144"/>
    <mergeCell ref="D145:D148"/>
    <mergeCell ref="E163:F163"/>
    <mergeCell ref="D165:D166"/>
    <mergeCell ref="D136:D138"/>
    <mergeCell ref="N136:R136"/>
    <mergeCell ref="J137:J138"/>
    <mergeCell ref="D139:D140"/>
    <mergeCell ref="J139:J140"/>
    <mergeCell ref="D154:D156"/>
    <mergeCell ref="J154:J155"/>
    <mergeCell ref="D129:D133"/>
    <mergeCell ref="J129:J130"/>
    <mergeCell ref="J131:J132"/>
    <mergeCell ref="D134:D135"/>
    <mergeCell ref="D121:D122"/>
    <mergeCell ref="D123:D125"/>
    <mergeCell ref="J123:J125"/>
    <mergeCell ref="D126:D128"/>
    <mergeCell ref="D118:D120"/>
    <mergeCell ref="J118:J119"/>
    <mergeCell ref="B100:F100"/>
    <mergeCell ref="B101:M101"/>
    <mergeCell ref="C102:M102"/>
    <mergeCell ref="A103:A106"/>
    <mergeCell ref="B103:B106"/>
    <mergeCell ref="C103:C106"/>
    <mergeCell ref="D103:D106"/>
    <mergeCell ref="E103:E106"/>
    <mergeCell ref="D107:D116"/>
    <mergeCell ref="D95:D96"/>
    <mergeCell ref="J95:J96"/>
    <mergeCell ref="D97:D98"/>
    <mergeCell ref="C99:F99"/>
    <mergeCell ref="D91:D92"/>
    <mergeCell ref="D93:D94"/>
    <mergeCell ref="J93:J94"/>
    <mergeCell ref="E84:F84"/>
    <mergeCell ref="D88:D90"/>
    <mergeCell ref="J89:J90"/>
    <mergeCell ref="D74:D75"/>
    <mergeCell ref="E74:E75"/>
    <mergeCell ref="E82:E83"/>
    <mergeCell ref="D53:D55"/>
    <mergeCell ref="D57:D59"/>
    <mergeCell ref="D60:D62"/>
    <mergeCell ref="D66:D67"/>
    <mergeCell ref="D72:D73"/>
    <mergeCell ref="D47:D48"/>
    <mergeCell ref="J47:J48"/>
    <mergeCell ref="K47:K48"/>
    <mergeCell ref="L47:L48"/>
    <mergeCell ref="G7:G9"/>
    <mergeCell ref="M47:M48"/>
    <mergeCell ref="D49:D52"/>
    <mergeCell ref="J51:J52"/>
    <mergeCell ref="D26:D28"/>
    <mergeCell ref="D29:D32"/>
    <mergeCell ref="D34:D35"/>
    <mergeCell ref="D36:D40"/>
    <mergeCell ref="D41:D43"/>
    <mergeCell ref="D45:D46"/>
    <mergeCell ref="A3:M3"/>
    <mergeCell ref="A4:M4"/>
    <mergeCell ref="A5:M5"/>
    <mergeCell ref="J6:M6"/>
    <mergeCell ref="A7:A9"/>
    <mergeCell ref="B7:B9"/>
    <mergeCell ref="C7:C9"/>
    <mergeCell ref="D14:D15"/>
    <mergeCell ref="D82:D84"/>
    <mergeCell ref="J83:J84"/>
    <mergeCell ref="D63:D64"/>
    <mergeCell ref="A11:M11"/>
    <mergeCell ref="B12:M12"/>
    <mergeCell ref="C13:M13"/>
    <mergeCell ref="D21:D24"/>
    <mergeCell ref="H7:H9"/>
    <mergeCell ref="I7:I9"/>
    <mergeCell ref="J7:M7"/>
    <mergeCell ref="J8:J9"/>
    <mergeCell ref="K8:M8"/>
    <mergeCell ref="A10:M10"/>
    <mergeCell ref="D7:D9"/>
    <mergeCell ref="E7:E9"/>
    <mergeCell ref="F7:F9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6" orientation="portrait" r:id="rId1"/>
  <rowBreaks count="4" manualBreakCount="4">
    <brk id="48" max="12" man="1"/>
    <brk id="81" max="12" man="1"/>
    <brk id="128" max="12" man="1"/>
    <brk id="215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10 programa MVP</vt:lpstr>
      <vt:lpstr>10 programa</vt:lpstr>
      <vt:lpstr>'10 programa'!Print_Area</vt:lpstr>
      <vt:lpstr>'10 programa MVP'!Print_Area</vt:lpstr>
      <vt:lpstr>'10 programa'!Print_Titles</vt:lpstr>
      <vt:lpstr>'10 programa MVP'!Print_Titles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Asta Česnauskienė</cp:lastModifiedBy>
  <cp:lastPrinted>2021-10-01T09:37:26Z</cp:lastPrinted>
  <dcterms:created xsi:type="dcterms:W3CDTF">2006-05-12T05:50:12Z</dcterms:created>
  <dcterms:modified xsi:type="dcterms:W3CDTF">2021-12-02T11:15:36Z</dcterms:modified>
</cp:coreProperties>
</file>