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1-2023 SVP keitimas\2021-2023 SVP (lapkričio keitimas)\"/>
    </mc:Choice>
  </mc:AlternateContent>
  <bookViews>
    <workbookView xWindow="-120" yWindow="-120" windowWidth="20610" windowHeight="7740" firstSheet="1" activeTab="1"/>
  </bookViews>
  <sheets>
    <sheet name="Aiškinamoji lentelė" sheetId="13" state="hidden" r:id="rId1"/>
    <sheet name="11 programa" sheetId="18" r:id="rId2"/>
    <sheet name="Lyginamasis variantas" sheetId="19" state="hidden" r:id="rId3"/>
  </sheets>
  <definedNames>
    <definedName name="_xlnm.Print_Area" localSheetId="1">'11 programa'!$A$1:$O$168</definedName>
    <definedName name="_xlnm.Print_Area" localSheetId="0">'Aiškinamoji lentelė'!$A$1:$S$186</definedName>
    <definedName name="_xlnm.Print_Area" localSheetId="2">'Lyginamasis variantas'!$A$1:$Z$169</definedName>
    <definedName name="_xlnm.Print_Titles" localSheetId="1">'11 programa'!$7:$9</definedName>
    <definedName name="_xlnm.Print_Titles" localSheetId="0">'Aiškinamoji lentelė'!$6:$8</definedName>
  </definedNames>
  <calcPr calcId="162913"/>
</workbook>
</file>

<file path=xl/calcChain.xml><?xml version="1.0" encoding="utf-8"?>
<calcChain xmlns="http://schemas.openxmlformats.org/spreadsheetml/2006/main">
  <c r="N122" i="19" l="1"/>
  <c r="I117" i="18" l="1"/>
  <c r="I116" i="18"/>
  <c r="J109" i="18"/>
  <c r="I109" i="18"/>
  <c r="I92" i="18"/>
  <c r="I91" i="18"/>
  <c r="I86" i="18"/>
  <c r="I81" i="18"/>
  <c r="I42" i="18"/>
  <c r="I30" i="18"/>
  <c r="I20" i="18"/>
  <c r="J47" i="19" l="1"/>
  <c r="J30" i="19"/>
  <c r="J20" i="19"/>
  <c r="J66" i="19" l="1"/>
  <c r="J14" i="19"/>
  <c r="M114" i="19" l="1"/>
  <c r="N114" i="19" s="1"/>
  <c r="J114" i="19"/>
  <c r="J134" i="19"/>
  <c r="N123" i="19"/>
  <c r="J123" i="19"/>
  <c r="J122" i="19"/>
  <c r="J86" i="19"/>
  <c r="K86" i="19" s="1"/>
  <c r="J81" i="19"/>
  <c r="J42" i="19" l="1"/>
  <c r="K20" i="19"/>
  <c r="J97" i="19" l="1"/>
  <c r="J96" i="19"/>
  <c r="I144" i="19" l="1"/>
  <c r="I134" i="19"/>
  <c r="K134" i="19" s="1"/>
  <c r="I124" i="19"/>
  <c r="I123" i="19"/>
  <c r="K123" i="19" s="1"/>
  <c r="I122" i="19"/>
  <c r="K122" i="19" s="1"/>
  <c r="I114" i="19"/>
  <c r="K114" i="19" s="1"/>
  <c r="I102" i="19"/>
  <c r="I80" i="19"/>
  <c r="I68" i="19"/>
  <c r="I63" i="19"/>
  <c r="I42" i="19"/>
  <c r="K42" i="19" s="1"/>
  <c r="I40" i="19"/>
  <c r="I38" i="19"/>
  <c r="I37" i="19"/>
  <c r="I33" i="19"/>
  <c r="I30" i="19"/>
  <c r="K30" i="19" s="1"/>
  <c r="I137" i="18" l="1"/>
  <c r="J144" i="19"/>
  <c r="N79" i="19" l="1"/>
  <c r="N113" i="19"/>
  <c r="N148" i="19"/>
  <c r="N145" i="19"/>
  <c r="N141" i="19"/>
  <c r="N72" i="19"/>
  <c r="N70" i="19"/>
  <c r="N67" i="19"/>
  <c r="N65" i="19"/>
  <c r="N62" i="19"/>
  <c r="N49" i="19"/>
  <c r="M33" i="19"/>
  <c r="L33" i="19"/>
  <c r="N75" i="19" l="1"/>
  <c r="N142" i="19"/>
  <c r="I68" i="18"/>
  <c r="I63" i="18"/>
  <c r="I40" i="18"/>
  <c r="I38" i="18"/>
  <c r="I37" i="18"/>
  <c r="I35" i="18"/>
  <c r="J68" i="19" l="1"/>
  <c r="J63" i="19"/>
  <c r="J40" i="19"/>
  <c r="J38" i="19"/>
  <c r="J37" i="19"/>
  <c r="J33" i="19"/>
  <c r="I97" i="19" l="1"/>
  <c r="K97" i="19" s="1"/>
  <c r="I163" i="19" l="1"/>
  <c r="I81" i="19"/>
  <c r="K81" i="19" s="1"/>
  <c r="I147" i="19"/>
  <c r="I140" i="19"/>
  <c r="I119" i="19"/>
  <c r="I116" i="19"/>
  <c r="I115" i="19"/>
  <c r="I141" i="19" s="1"/>
  <c r="O108" i="19"/>
  <c r="O107" i="19"/>
  <c r="I103" i="19"/>
  <c r="I88" i="19"/>
  <c r="O80" i="19"/>
  <c r="I66" i="19"/>
  <c r="I55" i="19"/>
  <c r="I53" i="19"/>
  <c r="I50" i="19"/>
  <c r="K80" i="18" l="1"/>
  <c r="P80" i="19" l="1"/>
  <c r="N149" i="19" l="1"/>
  <c r="N150" i="19" s="1"/>
  <c r="N151" i="19" s="1"/>
  <c r="K141" i="18" l="1"/>
  <c r="J141" i="18"/>
  <c r="I139" i="18"/>
  <c r="I141" i="18" s="1"/>
  <c r="I110" i="18"/>
  <c r="I148" i="19" l="1"/>
  <c r="K148" i="19" l="1"/>
  <c r="J146" i="19"/>
  <c r="J148" i="19" s="1"/>
  <c r="J115" i="19"/>
  <c r="J141" i="19" s="1"/>
  <c r="Q148" i="19" l="1"/>
  <c r="Q145" i="19"/>
  <c r="Q141" i="19"/>
  <c r="Q72" i="19"/>
  <c r="Q70" i="19"/>
  <c r="Q67" i="19"/>
  <c r="Q65" i="19"/>
  <c r="Q62" i="19"/>
  <c r="Q49" i="19"/>
  <c r="Q25" i="19"/>
  <c r="Q22" i="19"/>
  <c r="Q19" i="19"/>
  <c r="Q16" i="19"/>
  <c r="Q149" i="19" l="1"/>
  <c r="Q26" i="19"/>
  <c r="Q75" i="19"/>
  <c r="Q113" i="19"/>
  <c r="Q142" i="19" s="1"/>
  <c r="Q150" i="19" s="1"/>
  <c r="Q151" i="19" s="1"/>
  <c r="I134" i="18" l="1"/>
  <c r="K166" i="19"/>
  <c r="K167" i="19"/>
  <c r="I66" i="18"/>
  <c r="I50" i="18"/>
  <c r="I55" i="18"/>
  <c r="I53" i="18"/>
  <c r="K74" i="19"/>
  <c r="K72" i="19"/>
  <c r="K145" i="19"/>
  <c r="K149" i="19" s="1"/>
  <c r="K49" i="19"/>
  <c r="K25" i="19"/>
  <c r="K22" i="19"/>
  <c r="K19" i="19"/>
  <c r="K16" i="19"/>
  <c r="K26" i="19" l="1"/>
  <c r="K141" i="19"/>
  <c r="K70" i="19"/>
  <c r="K67" i="19"/>
  <c r="K65" i="19"/>
  <c r="J50" i="19"/>
  <c r="K62" i="19" s="1"/>
  <c r="J55" i="19"/>
  <c r="J53" i="19"/>
  <c r="K75" i="19" l="1"/>
  <c r="I156" i="18"/>
  <c r="I90" i="18"/>
  <c r="I96" i="19"/>
  <c r="K96" i="19" s="1"/>
  <c r="J90" i="19"/>
  <c r="I90" i="19"/>
  <c r="J95" i="19"/>
  <c r="I95" i="19"/>
  <c r="K163" i="19" l="1"/>
  <c r="J163" i="19"/>
  <c r="I160" i="18"/>
  <c r="J160" i="18"/>
  <c r="K160" i="18"/>
  <c r="Q167" i="19"/>
  <c r="P167" i="19"/>
  <c r="O167" i="19"/>
  <c r="N167" i="19"/>
  <c r="M167" i="19"/>
  <c r="L167" i="19"/>
  <c r="J167" i="19"/>
  <c r="I167" i="19"/>
  <c r="K165" i="19" l="1"/>
  <c r="Q166" i="19" l="1"/>
  <c r="Q165" i="19" s="1"/>
  <c r="Q164" i="19"/>
  <c r="Q163" i="19"/>
  <c r="Q162" i="19"/>
  <c r="Q161" i="19"/>
  <c r="Q160" i="19"/>
  <c r="Q159" i="19"/>
  <c r="Q158" i="19"/>
  <c r="Q157" i="19"/>
  <c r="Q156" i="19"/>
  <c r="P166" i="19"/>
  <c r="P165" i="19" s="1"/>
  <c r="P164" i="19"/>
  <c r="P162" i="19"/>
  <c r="P160" i="19"/>
  <c r="P156" i="19"/>
  <c r="N166" i="19"/>
  <c r="N165" i="19" s="1"/>
  <c r="N164" i="19"/>
  <c r="N163" i="19"/>
  <c r="N162" i="19"/>
  <c r="N161" i="19"/>
  <c r="N160" i="19"/>
  <c r="N159" i="19"/>
  <c r="N158" i="19"/>
  <c r="N157" i="19"/>
  <c r="N156" i="19"/>
  <c r="M164" i="19"/>
  <c r="M162" i="19"/>
  <c r="M160" i="19"/>
  <c r="K164" i="19"/>
  <c r="K162" i="19"/>
  <c r="K161" i="19"/>
  <c r="K160" i="19"/>
  <c r="K159" i="19"/>
  <c r="K158" i="19"/>
  <c r="K157" i="19"/>
  <c r="K156" i="19"/>
  <c r="J164" i="19"/>
  <c r="J162" i="19"/>
  <c r="J161" i="19"/>
  <c r="J160" i="19"/>
  <c r="J159" i="19"/>
  <c r="J157" i="19"/>
  <c r="Q155" i="19" l="1"/>
  <c r="Q154" i="19" s="1"/>
  <c r="Q168" i="19" s="1"/>
  <c r="N155" i="19"/>
  <c r="N154" i="19" s="1"/>
  <c r="N168" i="19" s="1"/>
  <c r="K155" i="19"/>
  <c r="K154" i="19" s="1"/>
  <c r="K168" i="19" s="1"/>
  <c r="P148" i="19" l="1"/>
  <c r="P145" i="19"/>
  <c r="M148" i="19"/>
  <c r="M145" i="19"/>
  <c r="J145" i="19"/>
  <c r="J149" i="19" s="1"/>
  <c r="P141" i="19"/>
  <c r="P109" i="19"/>
  <c r="P86" i="19"/>
  <c r="P159" i="19" s="1"/>
  <c r="P85" i="19"/>
  <c r="P161" i="19" s="1"/>
  <c r="P84" i="19"/>
  <c r="P157" i="19" s="1"/>
  <c r="P82" i="19"/>
  <c r="P158" i="19" s="1"/>
  <c r="P81" i="19"/>
  <c r="M141" i="19"/>
  <c r="M87" i="19"/>
  <c r="M166" i="19" s="1"/>
  <c r="M165" i="19" s="1"/>
  <c r="M86" i="19"/>
  <c r="M159" i="19" s="1"/>
  <c r="M85" i="19"/>
  <c r="M161" i="19" s="1"/>
  <c r="M84" i="19"/>
  <c r="M157" i="19" s="1"/>
  <c r="M82" i="19"/>
  <c r="M158" i="19" s="1"/>
  <c r="M81" i="19"/>
  <c r="M163" i="19" s="1"/>
  <c r="M77" i="19"/>
  <c r="M79" i="19" s="1"/>
  <c r="J118" i="19"/>
  <c r="J166" i="19"/>
  <c r="J165" i="19" s="1"/>
  <c r="J82" i="19"/>
  <c r="J158" i="19" s="1"/>
  <c r="P72" i="19"/>
  <c r="P70" i="19"/>
  <c r="P67" i="19"/>
  <c r="P65" i="19"/>
  <c r="P62" i="19"/>
  <c r="P49" i="19"/>
  <c r="P47" i="19"/>
  <c r="M72" i="19"/>
  <c r="M70" i="19"/>
  <c r="M67" i="19"/>
  <c r="M65" i="19"/>
  <c r="M62" i="19"/>
  <c r="M57" i="19"/>
  <c r="M49" i="19"/>
  <c r="M47" i="19"/>
  <c r="J74" i="19"/>
  <c r="J72" i="19"/>
  <c r="J70" i="19"/>
  <c r="J67" i="19"/>
  <c r="J65" i="19"/>
  <c r="J62" i="19"/>
  <c r="J49" i="19"/>
  <c r="P25" i="19"/>
  <c r="P22" i="19"/>
  <c r="P19" i="19"/>
  <c r="P16" i="19"/>
  <c r="M25" i="19"/>
  <c r="M22" i="19"/>
  <c r="M19" i="19"/>
  <c r="M16" i="19"/>
  <c r="J25" i="19"/>
  <c r="J22" i="19"/>
  <c r="J19" i="19"/>
  <c r="J16" i="19"/>
  <c r="M149" i="19" l="1"/>
  <c r="M26" i="19"/>
  <c r="J26" i="19"/>
  <c r="P26" i="19"/>
  <c r="P75" i="19"/>
  <c r="M75" i="19"/>
  <c r="P149" i="19"/>
  <c r="J75" i="19"/>
  <c r="J113" i="19"/>
  <c r="J142" i="19" s="1"/>
  <c r="M113" i="19"/>
  <c r="M142" i="19" s="1"/>
  <c r="P113" i="19"/>
  <c r="P142" i="19" s="1"/>
  <c r="P155" i="19"/>
  <c r="J156" i="19"/>
  <c r="J155" i="19" s="1"/>
  <c r="J154" i="19" s="1"/>
  <c r="J168" i="19" s="1"/>
  <c r="M156" i="19"/>
  <c r="M155" i="19" s="1"/>
  <c r="M154" i="19" s="1"/>
  <c r="M168" i="19" s="1"/>
  <c r="P163" i="19"/>
  <c r="O166" i="19"/>
  <c r="O165" i="19" s="1"/>
  <c r="O164" i="19"/>
  <c r="L164" i="19"/>
  <c r="I164" i="19"/>
  <c r="O162" i="19"/>
  <c r="L162" i="19"/>
  <c r="I162" i="19"/>
  <c r="I161" i="19"/>
  <c r="O160" i="19"/>
  <c r="L160" i="19"/>
  <c r="I160" i="19"/>
  <c r="I159" i="19"/>
  <c r="I157" i="19"/>
  <c r="O156" i="19"/>
  <c r="O148" i="19"/>
  <c r="L148" i="19"/>
  <c r="O145" i="19"/>
  <c r="L145" i="19"/>
  <c r="I145" i="19"/>
  <c r="O141" i="19"/>
  <c r="L141" i="19"/>
  <c r="I118" i="19"/>
  <c r="O109" i="19"/>
  <c r="L87" i="19"/>
  <c r="L166" i="19" s="1"/>
  <c r="L165" i="19" s="1"/>
  <c r="I166" i="19"/>
  <c r="I165" i="19" s="1"/>
  <c r="O86" i="19"/>
  <c r="O159" i="19" s="1"/>
  <c r="L86" i="19"/>
  <c r="L159" i="19" s="1"/>
  <c r="O85" i="19"/>
  <c r="O161" i="19" s="1"/>
  <c r="L85" i="19"/>
  <c r="L161" i="19" s="1"/>
  <c r="O84" i="19"/>
  <c r="O157" i="19" s="1"/>
  <c r="L84" i="19"/>
  <c r="L157" i="19" s="1"/>
  <c r="O82" i="19"/>
  <c r="O158" i="19" s="1"/>
  <c r="L82" i="19"/>
  <c r="L158" i="19" s="1"/>
  <c r="I82" i="19"/>
  <c r="I158" i="19" s="1"/>
  <c r="O81" i="19"/>
  <c r="L81" i="19"/>
  <c r="L163" i="19" s="1"/>
  <c r="L77" i="19"/>
  <c r="L79" i="19" s="1"/>
  <c r="I74" i="19"/>
  <c r="O72" i="19"/>
  <c r="L72" i="19"/>
  <c r="I72" i="19"/>
  <c r="O70" i="19"/>
  <c r="L70" i="19"/>
  <c r="I70" i="19"/>
  <c r="O67" i="19"/>
  <c r="L67" i="19"/>
  <c r="I67" i="19"/>
  <c r="O65" i="19"/>
  <c r="L65" i="19"/>
  <c r="I65" i="19"/>
  <c r="O62" i="19"/>
  <c r="L62" i="19"/>
  <c r="I62" i="19"/>
  <c r="L57" i="19"/>
  <c r="O49" i="19"/>
  <c r="L49" i="19"/>
  <c r="I49" i="19"/>
  <c r="W48" i="19"/>
  <c r="U48" i="19"/>
  <c r="S48" i="19"/>
  <c r="O47" i="19"/>
  <c r="L47" i="19"/>
  <c r="I47" i="19"/>
  <c r="O25" i="19"/>
  <c r="L25" i="19"/>
  <c r="I25" i="19"/>
  <c r="O22" i="19"/>
  <c r="L22" i="19"/>
  <c r="I22" i="19"/>
  <c r="O19" i="19"/>
  <c r="L19" i="19"/>
  <c r="I19" i="19"/>
  <c r="O16" i="19"/>
  <c r="L16" i="19"/>
  <c r="I14" i="19"/>
  <c r="M150" i="19" l="1"/>
  <c r="M151" i="19" s="1"/>
  <c r="P150" i="19"/>
  <c r="P151" i="19" s="1"/>
  <c r="J150" i="19"/>
  <c r="J151" i="19" s="1"/>
  <c r="O113" i="19"/>
  <c r="O142" i="19" s="1"/>
  <c r="L113" i="19"/>
  <c r="L142" i="19" s="1"/>
  <c r="I113" i="19"/>
  <c r="P154" i="19"/>
  <c r="P168" i="19" s="1"/>
  <c r="O149" i="19"/>
  <c r="L75" i="19"/>
  <c r="L149" i="19"/>
  <c r="O26" i="19"/>
  <c r="I149" i="19"/>
  <c r="I156" i="19"/>
  <c r="I155" i="19" s="1"/>
  <c r="I154" i="19" s="1"/>
  <c r="I168" i="19" s="1"/>
  <c r="L26" i="19"/>
  <c r="I75" i="19"/>
  <c r="O75" i="19"/>
  <c r="O155" i="19"/>
  <c r="I16" i="19"/>
  <c r="I26" i="19" s="1"/>
  <c r="O163" i="19"/>
  <c r="L156" i="19"/>
  <c r="L155" i="19" s="1"/>
  <c r="L154" i="19" s="1"/>
  <c r="L168" i="19" s="1"/>
  <c r="K113" i="19" l="1"/>
  <c r="K142" i="19" s="1"/>
  <c r="K150" i="19" s="1"/>
  <c r="K151" i="19" s="1"/>
  <c r="I142" i="19"/>
  <c r="I150" i="19" s="1"/>
  <c r="I151" i="19" s="1"/>
  <c r="I170" i="19" s="1"/>
  <c r="O150" i="19"/>
  <c r="O151" i="19" s="1"/>
  <c r="L150" i="19"/>
  <c r="L151" i="19" s="1"/>
  <c r="L170" i="19" s="1"/>
  <c r="O154" i="19"/>
  <c r="O168" i="19" s="1"/>
  <c r="I82" i="18"/>
  <c r="M119" i="13"/>
  <c r="I49" i="18"/>
  <c r="O170" i="19" l="1"/>
  <c r="J134" i="18"/>
  <c r="K134" i="18"/>
  <c r="I87" i="18"/>
  <c r="J87" i="18"/>
  <c r="K86" i="18"/>
  <c r="J86" i="18"/>
  <c r="K85" i="18"/>
  <c r="J85" i="18"/>
  <c r="K84" i="18"/>
  <c r="J84" i="18"/>
  <c r="K82" i="18"/>
  <c r="J82" i="18"/>
  <c r="K81" i="18"/>
  <c r="J81" i="18"/>
  <c r="J80" i="18"/>
  <c r="I65" i="18"/>
  <c r="J62" i="18"/>
  <c r="K62" i="18"/>
  <c r="I62" i="18"/>
  <c r="J49" i="18"/>
  <c r="K49" i="18"/>
  <c r="J108" i="18" l="1"/>
  <c r="K108" i="18"/>
  <c r="K135" i="18" s="1"/>
  <c r="I108" i="18"/>
  <c r="I135" i="18" s="1"/>
  <c r="K104" i="18"/>
  <c r="J159" i="18" l="1"/>
  <c r="J158" i="18" s="1"/>
  <c r="I159" i="18"/>
  <c r="I158" i="18" s="1"/>
  <c r="K157" i="18"/>
  <c r="J157" i="18"/>
  <c r="I157" i="18"/>
  <c r="K156" i="18"/>
  <c r="J156" i="18"/>
  <c r="K155" i="18"/>
  <c r="J155" i="18"/>
  <c r="K154" i="18"/>
  <c r="J154" i="18"/>
  <c r="I154" i="18"/>
  <c r="K153" i="18"/>
  <c r="J153" i="18"/>
  <c r="I153" i="18"/>
  <c r="K152" i="18"/>
  <c r="J152" i="18"/>
  <c r="I152" i="18"/>
  <c r="K151" i="18"/>
  <c r="J151" i="18"/>
  <c r="I151" i="18"/>
  <c r="K150" i="18"/>
  <c r="J150" i="18"/>
  <c r="K138" i="18"/>
  <c r="J138" i="18"/>
  <c r="I138" i="18"/>
  <c r="I142" i="18" s="1"/>
  <c r="I113" i="18"/>
  <c r="I150" i="18"/>
  <c r="I155" i="18"/>
  <c r="J77" i="18"/>
  <c r="J79" i="18" s="1"/>
  <c r="J135" i="18" s="1"/>
  <c r="I74" i="18"/>
  <c r="K72" i="18"/>
  <c r="J72" i="18"/>
  <c r="I72" i="18"/>
  <c r="K70" i="18"/>
  <c r="J70" i="18"/>
  <c r="I70" i="18"/>
  <c r="K67" i="18"/>
  <c r="J67" i="18"/>
  <c r="I67" i="18"/>
  <c r="K65" i="18"/>
  <c r="J65" i="18"/>
  <c r="J57" i="18"/>
  <c r="O48" i="18"/>
  <c r="N48" i="18"/>
  <c r="M48" i="18"/>
  <c r="K47" i="18"/>
  <c r="K149" i="18" s="1"/>
  <c r="J47" i="18"/>
  <c r="I47" i="18"/>
  <c r="J35" i="18"/>
  <c r="K25" i="18"/>
  <c r="J25" i="18"/>
  <c r="I25" i="18"/>
  <c r="K22" i="18"/>
  <c r="J22" i="18"/>
  <c r="I22" i="18"/>
  <c r="K19" i="18"/>
  <c r="J19" i="18"/>
  <c r="I19" i="18"/>
  <c r="K16" i="18"/>
  <c r="J16" i="18"/>
  <c r="I14" i="18"/>
  <c r="I149" i="18" s="1"/>
  <c r="K148" i="18" l="1"/>
  <c r="K147" i="18" s="1"/>
  <c r="K26" i="18"/>
  <c r="K75" i="18"/>
  <c r="I148" i="18"/>
  <c r="J142" i="18"/>
  <c r="I16" i="18"/>
  <c r="I26" i="18" s="1"/>
  <c r="J26" i="18"/>
  <c r="J149" i="18"/>
  <c r="J148" i="18" s="1"/>
  <c r="J147" i="18" s="1"/>
  <c r="J161" i="18" s="1"/>
  <c r="K142" i="18"/>
  <c r="K159" i="18"/>
  <c r="K158" i="18" s="1"/>
  <c r="I75" i="18"/>
  <c r="J75" i="18"/>
  <c r="M118" i="13"/>
  <c r="I143" i="18" l="1"/>
  <c r="I144" i="18" s="1"/>
  <c r="I147" i="18"/>
  <c r="I161" i="18" s="1"/>
  <c r="K161" i="18"/>
  <c r="K143" i="18"/>
  <c r="K144" i="18" s="1"/>
  <c r="J143" i="18"/>
  <c r="J144" i="18" s="1"/>
  <c r="J163" i="18" s="1"/>
  <c r="L103" i="13"/>
  <c r="L99" i="13"/>
  <c r="L98" i="13"/>
  <c r="L96" i="13"/>
  <c r="L118" i="13" l="1"/>
  <c r="K163" i="18"/>
  <c r="I163" i="18"/>
  <c r="N110" i="13"/>
  <c r="N118" i="13" s="1"/>
  <c r="L13" i="13" l="1"/>
  <c r="L56" i="13" l="1"/>
  <c r="L58" i="13" l="1"/>
  <c r="M143" i="13"/>
  <c r="M90" i="13" l="1"/>
  <c r="M92" i="13" l="1"/>
  <c r="L84" i="13" l="1"/>
  <c r="M66" i="13"/>
  <c r="S57" i="13"/>
  <c r="R57" i="13"/>
  <c r="Q57" i="13"/>
  <c r="N56" i="13"/>
  <c r="M56" i="13"/>
  <c r="Q45" i="13"/>
  <c r="N58" i="13" l="1"/>
  <c r="L80" i="13"/>
  <c r="N82" i="13" l="1"/>
  <c r="M82" i="13"/>
  <c r="L82" i="13"/>
  <c r="M30" i="13" l="1"/>
  <c r="M58" i="13" l="1"/>
  <c r="L16" i="13"/>
  <c r="L121" i="13" l="1"/>
  <c r="L137" i="13" l="1"/>
  <c r="L119" i="13"/>
  <c r="L167" i="13"/>
  <c r="L143" i="13"/>
  <c r="N143" i="13"/>
  <c r="K143" i="13"/>
  <c r="M16" i="13" l="1"/>
  <c r="N16" i="13"/>
  <c r="M137" i="13"/>
  <c r="N137" i="13"/>
  <c r="K137" i="13"/>
  <c r="L168" i="13"/>
  <c r="M80" i="13" l="1"/>
  <c r="N80" i="13"/>
  <c r="K80" i="13"/>
  <c r="N25" i="13" l="1"/>
  <c r="M25" i="13"/>
  <c r="L25" i="13"/>
  <c r="K25" i="13"/>
  <c r="L22" i="13" l="1"/>
  <c r="M22" i="13"/>
  <c r="N22" i="13"/>
  <c r="L19" i="13"/>
  <c r="M19" i="13"/>
  <c r="N19" i="13"/>
  <c r="N178" i="13"/>
  <c r="N177" i="13"/>
  <c r="N175" i="13"/>
  <c r="N174" i="13"/>
  <c r="N173" i="13"/>
  <c r="N172" i="13"/>
  <c r="N171" i="13"/>
  <c r="N170" i="13"/>
  <c r="N169" i="13"/>
  <c r="N168" i="13"/>
  <c r="N167" i="13"/>
  <c r="M178" i="13"/>
  <c r="M177" i="13"/>
  <c r="M175" i="13"/>
  <c r="M174" i="13"/>
  <c r="M173" i="13"/>
  <c r="M172" i="13"/>
  <c r="M171" i="13"/>
  <c r="M170" i="13"/>
  <c r="M169" i="13"/>
  <c r="M168" i="13"/>
  <c r="M167" i="13"/>
  <c r="L178" i="13"/>
  <c r="L177" i="13"/>
  <c r="L175" i="13"/>
  <c r="L174" i="13"/>
  <c r="L173" i="13"/>
  <c r="L172" i="13"/>
  <c r="L171" i="13"/>
  <c r="L170" i="13"/>
  <c r="L169" i="13"/>
  <c r="K175" i="13"/>
  <c r="K178" i="13"/>
  <c r="K177" i="13"/>
  <c r="K174" i="13"/>
  <c r="K173" i="13"/>
  <c r="K172" i="13"/>
  <c r="K170" i="13"/>
  <c r="K169" i="13"/>
  <c r="K168" i="13"/>
  <c r="L158" i="13"/>
  <c r="M158" i="13"/>
  <c r="N158" i="13"/>
  <c r="L156" i="13"/>
  <c r="M156" i="13"/>
  <c r="N156" i="13"/>
  <c r="L146" i="13"/>
  <c r="M146" i="13"/>
  <c r="N146" i="13"/>
  <c r="L151" i="13"/>
  <c r="M151" i="13"/>
  <c r="N151" i="13"/>
  <c r="L149" i="13"/>
  <c r="M149" i="13"/>
  <c r="N149" i="13"/>
  <c r="L89" i="13"/>
  <c r="M89" i="13"/>
  <c r="N89" i="13"/>
  <c r="L76" i="13"/>
  <c r="M76" i="13"/>
  <c r="N76" i="13"/>
  <c r="L74" i="13"/>
  <c r="M74" i="13"/>
  <c r="N74" i="13"/>
  <c r="L71" i="13"/>
  <c r="M71" i="13"/>
  <c r="N71" i="13"/>
  <c r="K158" i="13"/>
  <c r="K155" i="13"/>
  <c r="K156" i="13" s="1"/>
  <c r="K146" i="13"/>
  <c r="K151" i="13"/>
  <c r="K149" i="13"/>
  <c r="K104" i="13"/>
  <c r="K118" i="13" s="1"/>
  <c r="K89" i="13"/>
  <c r="K76" i="13"/>
  <c r="K74" i="13"/>
  <c r="K62" i="13"/>
  <c r="K65" i="13"/>
  <c r="K64" i="13"/>
  <c r="K63" i="13"/>
  <c r="K61" i="13"/>
  <c r="K56" i="13"/>
  <c r="K46" i="13"/>
  <c r="K43" i="13"/>
  <c r="K40" i="13"/>
  <c r="K36" i="13"/>
  <c r="K30" i="13"/>
  <c r="K28" i="13"/>
  <c r="K171" i="13" s="1"/>
  <c r="K22" i="13"/>
  <c r="K19" i="13"/>
  <c r="K13" i="13"/>
  <c r="N85" i="13" l="1"/>
  <c r="M85" i="13"/>
  <c r="L85" i="13"/>
  <c r="N152" i="13"/>
  <c r="N153" i="13" s="1"/>
  <c r="K152" i="13"/>
  <c r="K153" i="13" s="1"/>
  <c r="L152" i="13"/>
  <c r="L153" i="13" s="1"/>
  <c r="M152" i="13"/>
  <c r="M153" i="13" s="1"/>
  <c r="K167" i="13"/>
  <c r="K166" i="13" s="1"/>
  <c r="K165" i="13" s="1"/>
  <c r="K16" i="13"/>
  <c r="K26" i="13" s="1"/>
  <c r="L26" i="13"/>
  <c r="N26" i="13"/>
  <c r="M26" i="13"/>
  <c r="M159" i="13"/>
  <c r="L159" i="13"/>
  <c r="N159" i="13"/>
  <c r="N176" i="13"/>
  <c r="N166" i="13"/>
  <c r="N165" i="13" s="1"/>
  <c r="M176" i="13"/>
  <c r="M166" i="13"/>
  <c r="M165" i="13" s="1"/>
  <c r="L176" i="13"/>
  <c r="L166" i="13"/>
  <c r="L165" i="13" s="1"/>
  <c r="K176" i="13"/>
  <c r="K71" i="13"/>
  <c r="K58" i="13"/>
  <c r="K159" i="13"/>
  <c r="K85" i="13" l="1"/>
  <c r="K160" i="13" s="1"/>
  <c r="K161" i="13" s="1"/>
  <c r="L160" i="13"/>
  <c r="L161" i="13" s="1"/>
  <c r="N160" i="13"/>
  <c r="N161" i="13" s="1"/>
  <c r="M179" i="13"/>
  <c r="M160" i="13"/>
  <c r="M161" i="13" s="1"/>
  <c r="N179" i="13"/>
  <c r="L179" i="13"/>
  <c r="K179" i="13"/>
  <c r="K181" i="13" l="1"/>
  <c r="M181" i="13"/>
  <c r="L181" i="13"/>
  <c r="N181" i="13"/>
</calcChain>
</file>

<file path=xl/comments1.xml><?xml version="1.0" encoding="utf-8"?>
<comments xmlns="http://schemas.openxmlformats.org/spreadsheetml/2006/main">
  <authors>
    <author>Snieguole Kacerauskaite</author>
    <author>Skaiste Kliaubiene</author>
    <author>Indrė Butenienė</author>
  </authors>
  <commentList>
    <comment ref="F77" authorId="0"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F96" authorId="0"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 ref="K104" authorId="0" shapeId="0">
      <text>
        <r>
          <rPr>
            <b/>
            <sz val="9"/>
            <color indexed="81"/>
            <rFont val="Tahoma"/>
            <family val="2"/>
            <charset val="186"/>
          </rPr>
          <t>Snieguole Kacerauskaite:</t>
        </r>
        <r>
          <rPr>
            <sz val="9"/>
            <color indexed="81"/>
            <rFont val="Tahoma"/>
            <family val="2"/>
            <charset val="186"/>
          </rPr>
          <t xml:space="preserve">
Iš projekto rezervo lėšų bus perkami 2 mobilūs krepšinio stovai</t>
        </r>
      </text>
    </comment>
    <comment ref="O121" authorId="1" shapeId="0">
      <text>
        <r>
          <rPr>
            <b/>
            <sz val="9"/>
            <color indexed="81"/>
            <rFont val="Tahoma"/>
            <family val="2"/>
            <charset val="186"/>
          </rPr>
          <t>Skaiste Kliaubiene:</t>
        </r>
        <r>
          <rPr>
            <sz val="9"/>
            <color indexed="81"/>
            <rFont val="Tahoma"/>
            <family val="2"/>
            <charset val="186"/>
          </rPr>
          <t xml:space="preserve">
Pajūris, Mašiotas, Verdenė, Versmė, Centrinis stadionas.</t>
        </r>
      </text>
    </comment>
    <comment ref="O122" authorId="1" shapeId="0">
      <text>
        <r>
          <rPr>
            <b/>
            <sz val="9"/>
            <color indexed="81"/>
            <rFont val="Tahoma"/>
            <family val="2"/>
            <charset val="186"/>
          </rPr>
          <t>Skaiste Kliaubiene:</t>
        </r>
        <r>
          <rPr>
            <sz val="9"/>
            <color indexed="81"/>
            <rFont val="Tahoma"/>
            <family val="2"/>
            <charset val="186"/>
          </rPr>
          <t xml:space="preserve">
Verdenė, Versmė.</t>
        </r>
      </text>
    </comment>
    <comment ref="O125" authorId="1" shapeId="0">
      <text>
        <r>
          <rPr>
            <b/>
            <sz val="9"/>
            <color indexed="81"/>
            <rFont val="Tahoma"/>
            <family val="2"/>
            <charset val="186"/>
          </rPr>
          <t>Skaiste Kliaubiene</t>
        </r>
        <r>
          <rPr>
            <sz val="9"/>
            <color indexed="81"/>
            <rFont val="Tahoma"/>
            <family val="2"/>
            <charset val="186"/>
          </rPr>
          <t>,
Mašiotas, Verdenė, Versmė.</t>
        </r>
      </text>
    </comment>
    <comment ref="J150" authorId="2" shapeId="0">
      <text>
        <r>
          <rPr>
            <sz val="9"/>
            <color indexed="81"/>
            <rFont val="Tahoma"/>
            <family val="2"/>
            <charset val="186"/>
          </rPr>
          <t>AB "Klaipėdos nafta" lėšos</t>
        </r>
      </text>
    </comment>
  </commentList>
</comments>
</file>

<file path=xl/comments2.xml><?xml version="1.0" encoding="utf-8"?>
<comments xmlns="http://schemas.openxmlformats.org/spreadsheetml/2006/main">
  <authors>
    <author>Snieguole Kacerauskaite</author>
  </authors>
  <commentList>
    <comment ref="E68" authorId="0"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E90" authorId="0"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List>
</comments>
</file>

<file path=xl/comments3.xml><?xml version="1.0" encoding="utf-8"?>
<comments xmlns="http://schemas.openxmlformats.org/spreadsheetml/2006/main">
  <authors>
    <author>Snieguole Kacerauskaite</author>
  </authors>
  <commentList>
    <comment ref="E68" authorId="0"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E90" authorId="0"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List>
</comments>
</file>

<file path=xl/sharedStrings.xml><?xml version="1.0" encoding="utf-8"?>
<sst xmlns="http://schemas.openxmlformats.org/spreadsheetml/2006/main" count="1216" uniqueCount="272">
  <si>
    <t>KŪNO KULTŪROS IR SPORTO PLĖTROS PROGRAMOS NR. 11</t>
  </si>
  <si>
    <t xml:space="preserve"> TIKSLŲ, UŽDAVINIŲ, PRIEMONIŲ, PRIEMONIŲ IŠLAIDŲ IR PRODUKTO KRITERIJŲ SUVESTINĖ</t>
  </si>
  <si>
    <t>Programos tikslo kodas</t>
  </si>
  <si>
    <t>Uždavinio kodas</t>
  </si>
  <si>
    <t>Priemonės kodas</t>
  </si>
  <si>
    <t>Pavadinimas</t>
  </si>
  <si>
    <t>Priemonės požymis</t>
  </si>
  <si>
    <t>Asignavimų valdytojo kodas</t>
  </si>
  <si>
    <t>Finansavimo šaltinis</t>
  </si>
  <si>
    <t>Produkto vertinimo kriterijus</t>
  </si>
  <si>
    <t>Planas</t>
  </si>
  <si>
    <t>Strateginis tikslas 03. Užtikrinti gyventojams aukštą švietimo, kultūros, socialinių, sporto ir sveikatos apsaugos paslaugų kokybę ir prieinamumą</t>
  </si>
  <si>
    <t>11 Kūno kultūros ir sporto plėtros programa</t>
  </si>
  <si>
    <t>01</t>
  </si>
  <si>
    <t>Sudaryti sąlygas ugdyti sveiką ir fiziškai aktyvią miesto bendruomenę, profesionaliai atrinkti ir ugdyti talentingus olimpinės pamainos sportininkus</t>
  </si>
  <si>
    <t>Pritraukti didesnį dalyvių skaičių, užtikrinant sporto renginių organizavimo kokybę</t>
  </si>
  <si>
    <t>2</t>
  </si>
  <si>
    <t>SB</t>
  </si>
  <si>
    <t>Iš viso:</t>
  </si>
  <si>
    <t>02</t>
  </si>
  <si>
    <t>Suorganizuota pagerbimo ir viešinimo renginių, skaičius</t>
  </si>
  <si>
    <t>03</t>
  </si>
  <si>
    <t>Iš viso uždaviniui:</t>
  </si>
  <si>
    <t>Sudaryti sąlygas sportuoti visų amžiaus grupių miestiečiams, įgyvendinant sveikos gyvensenos ir fizinio aktyvumo programas</t>
  </si>
  <si>
    <t>Sąlygų ugdytis biudžetinėse sporto įstaigose sudarymas:</t>
  </si>
  <si>
    <t>SB(SP)</t>
  </si>
  <si>
    <t>BĮ Klaipėdos „Viesulo“ sporto centre</t>
  </si>
  <si>
    <t>BĮ Klaipėdos „Gintaro“ sporto centre</t>
  </si>
  <si>
    <t>BĮ Klaipėdos Vlado Knašiaus krepšinio mokykloje</t>
  </si>
  <si>
    <t>BĮ Klaipėdos futbolo sporto mokykloje</t>
  </si>
  <si>
    <t xml:space="preserve">buriavimo, irklavimo, baidarių ir kanojų irklavimo sporto šakų </t>
  </si>
  <si>
    <t>04</t>
  </si>
  <si>
    <t>I</t>
  </si>
  <si>
    <t>SB(VB)</t>
  </si>
  <si>
    <t>Įgyvendintas projektas, proc.</t>
  </si>
  <si>
    <t>LRVB</t>
  </si>
  <si>
    <t>Atlikta modernizavimo darbų, proc.</t>
  </si>
  <si>
    <t>Iš viso priemonei:</t>
  </si>
  <si>
    <t>Tinkamai reprezentuoti miestą šalies ir tarptautiniuose sporto renginiuose</t>
  </si>
  <si>
    <t>Skirta stipendijų sportininkams, skaičius</t>
  </si>
  <si>
    <t>Iš viso tikslui:</t>
  </si>
  <si>
    <t>11</t>
  </si>
  <si>
    <t>Iš viso programai:</t>
  </si>
  <si>
    <t>Finansavimo šaltinių suvestinė</t>
  </si>
  <si>
    <t>Finansavimo šaltiniai</t>
  </si>
  <si>
    <t>SAVIVALDYBĖS LĖŠOS</t>
  </si>
  <si>
    <t>KITOS LĖŠOS</t>
  </si>
  <si>
    <r>
      <t xml:space="preserve">Valstybės biudžeto lėšos </t>
    </r>
    <r>
      <rPr>
        <b/>
        <sz val="10"/>
        <rFont val="Times New Roman"/>
        <family val="1"/>
        <charset val="186"/>
      </rPr>
      <t>LRVB</t>
    </r>
  </si>
  <si>
    <t>SB(SPL)</t>
  </si>
  <si>
    <t>05</t>
  </si>
  <si>
    <t>Miestą reprezentuojančių komandų, miestą garsinančių individualių sporto šakų sportininkų ir trenerių pagerbimas</t>
  </si>
  <si>
    <t>BĮ Klaipėdos miesto sporto bazių valdymo centre</t>
  </si>
  <si>
    <t>BĮ Klaipėdos miesto sporto bazių valdymo centro pastatų patalpų ir įrenginių atnaujinimo darbai</t>
  </si>
  <si>
    <t>BĮ Klaipėdos miesto lengvosios atletikos mokykloje</t>
  </si>
  <si>
    <r>
      <t xml:space="preserve">Pajamų imokų likutis </t>
    </r>
    <r>
      <rPr>
        <b/>
        <sz val="10"/>
        <rFont val="Times New Roman"/>
        <family val="1"/>
        <charset val="186"/>
      </rPr>
      <t>SB(SPL)</t>
    </r>
  </si>
  <si>
    <t>SB(L)</t>
  </si>
  <si>
    <r>
      <t xml:space="preserve">Apyvartos lėšų likutis </t>
    </r>
    <r>
      <rPr>
        <b/>
        <sz val="10"/>
        <rFont val="Times New Roman"/>
        <family val="1"/>
        <charset val="186"/>
      </rPr>
      <t>SB(L)</t>
    </r>
  </si>
  <si>
    <t>SB(ES)</t>
  </si>
  <si>
    <t xml:space="preserve"> - I etapas</t>
  </si>
  <si>
    <t xml:space="preserve">Futbolo mokyklos ir baseino pastatų konversija: </t>
  </si>
  <si>
    <t>Neatlygintinai suteikta sporto bazių sporto renginiams, val.</t>
  </si>
  <si>
    <t>Klaipėdos miesto savivaldybės jachtos „Lietuva“ kapitalinis remontas</t>
  </si>
  <si>
    <t>Atlikta remonto darbų, proc.</t>
  </si>
  <si>
    <t>Suorganizuota renginių, skaičius</t>
  </si>
  <si>
    <t>Asmenų, lankančių sporto organizacijas, skaičius</t>
  </si>
  <si>
    <t>Komandų, dalyvaujančių aukščiausioje lygoje, skaičius</t>
  </si>
  <si>
    <t>Sporto bazių paslaugų teikimas sporto renginiams vykdyti</t>
  </si>
  <si>
    <t>Suteikta paslaugų, valandų skaičius</t>
  </si>
  <si>
    <t>Apskaitos kodas</t>
  </si>
  <si>
    <t>Paslaugų miesto bendruomenei teikimas Klaipėdos miesto daugiafunkciame sveikatingumo centre</t>
  </si>
  <si>
    <t>________________________________________</t>
  </si>
  <si>
    <t>BĮ Klaipėdos miesto lengvosios atletikos mokyklos maniežo dangos atnaujinimo darbai</t>
  </si>
  <si>
    <t>Atlikti maniežo dangos pakeitimo darbai, 2250 m², proc.</t>
  </si>
  <si>
    <t>06</t>
  </si>
  <si>
    <t>07</t>
  </si>
  <si>
    <t>Neatlygintinai suteiktų sporto bazių paslaugų kompensavimas</t>
  </si>
  <si>
    <t>Fizinių ir juridinių asmenų, neatlygintinai gaunančių sporto bazių paslaugas, skaičius</t>
  </si>
  <si>
    <t>Sporto salių bendrojo lavinimo mokyklose poreikis, val</t>
  </si>
  <si>
    <t>Sporto salių bendrojo lavinimo mokyklose poreikis, val. sk.</t>
  </si>
  <si>
    <t>Klaipėdos miesto antrųjų klasių mokinių mokymas plaukti</t>
  </si>
  <si>
    <t>Apmokyta plaukti vaikų, skaičius</t>
  </si>
  <si>
    <t>Įvertinta paraiškų, skaičius</t>
  </si>
  <si>
    <t>Klaipėdos miesto sporto bazių infrastruktūros plėtros poreikio galimybių studijos parengimas</t>
  </si>
  <si>
    <t xml:space="preserve">Reprezentacinių Klaipėdos miesto sporto komandų dalinis finansavimas  </t>
  </si>
  <si>
    <t xml:space="preserve">Stipendijų mokėjimas perspektyviems Klaipėdos miesto sportininkams   </t>
  </si>
  <si>
    <t>Vidutinis sportininkų, dalyvavusių programose, skaičius, tūkst.</t>
  </si>
  <si>
    <t>SB(P)</t>
  </si>
  <si>
    <r>
      <t xml:space="preserve">Savivaldybės paskolų lėšos </t>
    </r>
    <r>
      <rPr>
        <b/>
        <sz val="10"/>
        <rFont val="Times New Roman"/>
        <family val="1"/>
        <charset val="186"/>
      </rPr>
      <t>SB(P)</t>
    </r>
  </si>
  <si>
    <t>Asmenų, lankančių įstaigą, skaičius</t>
  </si>
  <si>
    <t>Miesto bendruomenei aktualių sporto renginių, švenčių organizavimas</t>
  </si>
  <si>
    <t>Sportinės veiklos projektų dalinis finansavimas:</t>
  </si>
  <si>
    <t>Finansuota projektų, iš viso:</t>
  </si>
  <si>
    <t>Atnaujinta patalpų ir įrenginių, objektų skaičius</t>
  </si>
  <si>
    <t>Valdoma sporto bazių, skaičius</t>
  </si>
  <si>
    <t>Suteikta bazių paslauga, įstaigų skaičius</t>
  </si>
  <si>
    <t>Finansuota federacijų veikla, skaičius</t>
  </si>
  <si>
    <t>Įsigyta prekių ar reprezentacinių leidinių, vnt.</t>
  </si>
  <si>
    <t>Įsigyta sportinių dviračių, vnt.</t>
  </si>
  <si>
    <t>Įsigyta varžybinės įrangos, vnt.</t>
  </si>
  <si>
    <t>Parengta galimybių studija, vnt.</t>
  </si>
  <si>
    <r>
      <t xml:space="preserve">Europos Sąjungos paramos lėšos, kurios įtrauktos į Savivaldybės biudžetą </t>
    </r>
    <r>
      <rPr>
        <b/>
        <sz val="10"/>
        <rFont val="Times New Roman"/>
        <family val="1"/>
        <charset val="186"/>
      </rPr>
      <t>SB(ES)</t>
    </r>
  </si>
  <si>
    <r>
      <t>Valstybės biudžeto specialiosios tikslinės dotacijos lėšos</t>
    </r>
    <r>
      <rPr>
        <b/>
        <sz val="10"/>
        <rFont val="Times New Roman"/>
        <family val="1"/>
        <charset val="186"/>
      </rPr>
      <t xml:space="preserve"> SB(VB)</t>
    </r>
  </si>
  <si>
    <t>Vidutinis sportuojančių neįgalių vaikų, skaičius</t>
  </si>
  <si>
    <t xml:space="preserve">tūkst. Eur </t>
  </si>
  <si>
    <t>Atnaujinti riedutininkų rampa Poilsio parke, proc.</t>
  </si>
  <si>
    <t>Vykdytojas</t>
  </si>
  <si>
    <t xml:space="preserve">Lankančiųjų neįgaliųjų sporto organizacijas, skaičius </t>
  </si>
  <si>
    <t>Vykdytų veiklų, pagal sporto šakas, skaičius</t>
  </si>
  <si>
    <t>Įsigyta modulinė pakyla, vnt.</t>
  </si>
  <si>
    <t>Motyvuojančios sporto sistemos (fizinio aktyvumo ir aukšto sportinio meistriškumo) modelio įgyvendinimas</t>
  </si>
  <si>
    <t>Sporto bazių paslaugų sporto renginiams vykdyti, poreikis, val.</t>
  </si>
  <si>
    <t>Prestižinių, tarptautinių ir nacionalinių sporto renginių pritraukimas ir organizavimas</t>
  </si>
  <si>
    <r>
      <t xml:space="preserve">Irklavimo bazės </t>
    </r>
    <r>
      <rPr>
        <sz val="10"/>
        <rFont val="Times New Roman"/>
        <family val="1"/>
        <charset val="186"/>
      </rPr>
      <t xml:space="preserve">(Gluosnių skg. 8) modernizavimas </t>
    </r>
  </si>
  <si>
    <r>
      <t xml:space="preserve">Savivaldybės biudžeto lėšos </t>
    </r>
    <r>
      <rPr>
        <b/>
        <sz val="10"/>
        <rFont val="Times New Roman"/>
        <family val="1"/>
        <charset val="186"/>
      </rPr>
      <t>SB</t>
    </r>
  </si>
  <si>
    <r>
      <t xml:space="preserve">Pajamų įmokos už paslaugas </t>
    </r>
    <r>
      <rPr>
        <b/>
        <sz val="10"/>
        <rFont val="Times New Roman"/>
        <family val="1"/>
        <charset val="186"/>
      </rPr>
      <t>SB(SP)</t>
    </r>
  </si>
  <si>
    <t>Įsigyta talpa vandeniui kaupti su įranga, vnt.</t>
  </si>
  <si>
    <t>Įsigyta konteinerių, vnt.</t>
  </si>
  <si>
    <t xml:space="preserve"> - II etapas</t>
  </si>
  <si>
    <t>P1</t>
  </si>
  <si>
    <t>Senjorų ir neįgaliųjų užsiėmimų Klaipėdos baseine sk.</t>
  </si>
  <si>
    <t>Sukurtas priemonių planas</t>
  </si>
  <si>
    <t>sporto projektų vertinimo paslaugų pirkimas</t>
  </si>
  <si>
    <t>Sveikatos apsaugos skyrius</t>
  </si>
  <si>
    <t>Turto skyrius</t>
  </si>
  <si>
    <t>Įsigytas surenkamas grindų parketas, vnt.</t>
  </si>
  <si>
    <t>Atnaujinta grindų danga (Taikos pr. 61A), proc.</t>
  </si>
  <si>
    <t>Klaipėdos  daugiafunkcio sveikatingumo centro statyba</t>
  </si>
  <si>
    <t>Grąžintos lėšos pagal CPVA ataskaitą, proc.</t>
  </si>
  <si>
    <t>SB(VBL)</t>
  </si>
  <si>
    <t>SB(ESL)</t>
  </si>
  <si>
    <r>
      <t xml:space="preserve">Europos Sąjungos finansinės paramos lėšų likučio metų pradžioje lėšos </t>
    </r>
    <r>
      <rPr>
        <b/>
        <sz val="10"/>
        <rFont val="Times New Roman"/>
        <family val="1"/>
        <charset val="186"/>
      </rPr>
      <t>SB(ESL)</t>
    </r>
  </si>
  <si>
    <r>
      <t xml:space="preserve">Valstybės biudžeto tikslinės dotacijos lėšų likutis </t>
    </r>
    <r>
      <rPr>
        <b/>
        <sz val="10"/>
        <rFont val="Times New Roman"/>
        <family val="1"/>
        <charset val="186"/>
      </rPr>
      <t>SB(VBL)</t>
    </r>
  </si>
  <si>
    <t>Savivaldybės biudžetas, iš jo:</t>
  </si>
  <si>
    <t>Įrengti naujas ir modernizuoti esamas sporto bazes, užtikrinti įstaigų ūkinį aptarnavimą</t>
  </si>
  <si>
    <t>Komunalinių paslaugų (šildymo, vandens, nuotekų) įsigijimas</t>
  </si>
  <si>
    <t>Kt</t>
  </si>
  <si>
    <r>
      <t xml:space="preserve">Kiti finansavimo šaltiniai </t>
    </r>
    <r>
      <rPr>
        <b/>
        <sz val="10"/>
        <rFont val="Times New Roman"/>
        <family val="1"/>
        <charset val="186"/>
      </rPr>
      <t>Kt</t>
    </r>
  </si>
  <si>
    <t xml:space="preserve">Įrengtos stoginės virš žiūrovų tribūnų centriniame stadione, vnt. </t>
  </si>
  <si>
    <t>Centrinio stadiono infrastruktūros atnaujinimas</t>
  </si>
  <si>
    <t xml:space="preserve">Sporto infrastruktūros objektų modernizavimas ir plėtra:
</t>
  </si>
  <si>
    <t>Sporto skyrius</t>
  </si>
  <si>
    <t>Informacinių technologijų skyrius</t>
  </si>
  <si>
    <t>Turto valdymo skyrius</t>
  </si>
  <si>
    <t>Statinių administravimo skyrius</t>
  </si>
  <si>
    <t xml:space="preserve">Sporto skyrius - priemonės vykdytojas, </t>
  </si>
  <si>
    <t>Planavimo ir analizės skyrius -programos sąmatų tvirtinimas</t>
  </si>
  <si>
    <t>Projektų skyrius</t>
  </si>
  <si>
    <t xml:space="preserve">Sporto infrastruktūros objektų einamasis remontas, techninis ir ūkinis aptarnavimas:                                 </t>
  </si>
  <si>
    <t xml:space="preserve">Naujos sporto salės statyba </t>
  </si>
  <si>
    <t>Parengtas investicinis projektas, vnt.</t>
  </si>
  <si>
    <t>Atsinaujinančių energijos išteklių  panaudojimas sporto įstaigų pastatuose (Lengvosios atletikos mokykloje)</t>
  </si>
  <si>
    <t>Įstaigų, kuriose įrengtos saulės (fotovoltinės) elektrinės, skaičius</t>
  </si>
  <si>
    <t xml:space="preserve">2020–2023 M. KLAIPĖDOS MIESTO SAVIVALDYBĖS  </t>
  </si>
  <si>
    <t>2021 m. asignavimų projektas</t>
  </si>
  <si>
    <t>2020 m. asignavimų planas*</t>
  </si>
  <si>
    <t>2021-ieji metai</t>
  </si>
  <si>
    <t>2023-ieji metai</t>
  </si>
  <si>
    <t>2020-ieji metai*</t>
  </si>
  <si>
    <t>2022 m. asignavimų projektas</t>
  </si>
  <si>
    <t>2023 m. asignavimų projektas</t>
  </si>
  <si>
    <t>Suorganizuotas pasaulio salės futbolo čempionatas, vnt.</t>
  </si>
  <si>
    <t>Įgyvendinta  krepšinio turnyro „Karaliaus Mindaugo taurė 2021“ programa, vnt.</t>
  </si>
  <si>
    <t>Įsigytas mikroautobusas (9 vietų), vnt.</t>
  </si>
  <si>
    <t>Įsigytas mikroautobusas (19 vietų), vnt.</t>
  </si>
  <si>
    <t>Įsigytas automobilis renginių aptarnavimui</t>
  </si>
  <si>
    <t>Įsigyta sportinės įrangos, vnt.</t>
  </si>
  <si>
    <t xml:space="preserve">Klaipėdos sunkiosios atletikos centro statyba </t>
  </si>
  <si>
    <t>Atlikta statybos darbų, proc.</t>
  </si>
  <si>
    <t>Atlikti langų remonto darbai (Dariaus ir Girėno g. 10), proc.</t>
  </si>
  <si>
    <t>BĮ Klaipėdos „Gintaro“ sporto centro pastato patalpų atnaujinimo darbai</t>
  </si>
  <si>
    <t>Atlikti akustinės sistemos remonto darbai (434 kv. m), proc.</t>
  </si>
  <si>
    <t>Atliktas baseino langų keitimas ir apdaila, proc.</t>
  </si>
  <si>
    <t>Įsigyta baldų (rūbinėms, sekretoriatui) vnt.</t>
  </si>
  <si>
    <t>Įsigytas traktoriukas, vnt.</t>
  </si>
  <si>
    <t>Įsigyta 10 m aukščio bokštelis, vnt.</t>
  </si>
  <si>
    <t>Futbolą lankančių asmenų skaičius</t>
  </si>
  <si>
    <t>Finansuota miesto futbolo komandų, dalyvaujančių Elitinėje jaunių lygoje, skaičius</t>
  </si>
  <si>
    <t xml:space="preserve">neįgaliųjų sporto </t>
  </si>
  <si>
    <t>Įdiegta informacinė sistema sportuojančių vaikų lankomumo apskaitai užtikrint, proc.</t>
  </si>
  <si>
    <t>Atliktas natūralios žolės stadiono minidrenažas (Sportininkų g. 46)</t>
  </si>
  <si>
    <t>Atlikti patalpų remonto darbai (Taikos pr. 61A), proc.</t>
  </si>
  <si>
    <t>Atlikti dirbtinės žolės dangos keitimo darbai (Sportininkų g. 46), proc.</t>
  </si>
  <si>
    <t>Atlikti vestibiulio, kabinetų remonto darbai (Dariaus ir Girėno g. 10), proc.</t>
  </si>
  <si>
    <t>Alikti lauko aikštyno remonto darbai (Dariaus ir Girėno g. 10), proc.</t>
  </si>
  <si>
    <t>Atliktas holo remontas (Sportininkų g. 46), proc.</t>
  </si>
  <si>
    <t xml:space="preserve">Įstaigų skaičius  </t>
  </si>
  <si>
    <t>Parengtas techninis projektas, vnt.</t>
  </si>
  <si>
    <t>Sporto ir laisvalaikio komplekso statyba (koncesijos procedūrų vykdymas)</t>
  </si>
  <si>
    <t>Pasirašyta koncesijos sutartis</t>
  </si>
  <si>
    <t>Atliktas dušinių remontas antrame aukšte (dvi patalpos), proc.</t>
  </si>
  <si>
    <t>BĮ Klaipėdos lengvosios atletikos mokyklos pastato (maniežo) renovacija</t>
  </si>
  <si>
    <t>Atliktas dviračių treko vidaus patalpų (dalinis) remontas (Kretingos g. 38), proc.</t>
  </si>
  <si>
    <t>Pastatyti biotuoaletai prie mokyklų stadionų, vnt.</t>
  </si>
  <si>
    <t>Įrengta praėjimo kontrolės sistema prie mokyklų stadionų, proc.</t>
  </si>
  <si>
    <t>Atliktas tualeto (viešojo) remontas (Sportininkų g. 46), proc.</t>
  </si>
  <si>
    <t>Atliktas dalinis vamzdynų remontas, proc.</t>
  </si>
  <si>
    <t>Atliktas dalinis sporto salės remontas antrame aukšte, proc.</t>
  </si>
  <si>
    <t>* Pagal Klaipėdos miesto savivaldybės tarybos 2020-10-29 sprendimą T2-231</t>
  </si>
  <si>
    <t>Atliekama stadionų ir aikščių dangos (dirbtinės ir žolės) priežiūra, proc.</t>
  </si>
  <si>
    <t xml:space="preserve">sportuojančio vaiko ugdymo </t>
  </si>
  <si>
    <t xml:space="preserve">futbolo sporto šakos su Elitine jaunių lyga </t>
  </si>
  <si>
    <t xml:space="preserve">tradicinių tarptautinių sporto renginių </t>
  </si>
  <si>
    <t xml:space="preserve">„Sportas visiems“ renginių </t>
  </si>
  <si>
    <t xml:space="preserve">miesto sporto šakų federacijų </t>
  </si>
  <si>
    <t>VšĮ Klaipėdos krašto buriavimo sporto mokyklos „Žiemys“ dalininko kapitalo didinimas</t>
  </si>
  <si>
    <t>Padidintas kapitalas, proc.</t>
  </si>
  <si>
    <t xml:space="preserve">Irklavimo bazės (Gluosnių skg. 8) sportinės įrangos ir inventoriaus įsigijimas </t>
  </si>
  <si>
    <t>Įsigyta krepšinio danga ir stovai, vnt.</t>
  </si>
  <si>
    <t>Įsigyta persirengimo konteinerių, vnt.</t>
  </si>
  <si>
    <t>VšĮ „Klaipėdos futbolo mokykla“ dalininkų kapitalo formavimas</t>
  </si>
  <si>
    <t>Suformuotas kapitalas, proc.</t>
  </si>
  <si>
    <t>Atlikta darbų, proc.</t>
  </si>
  <si>
    <t>Suorganizuotas turnyras  HOPTRANS 3x3</t>
  </si>
  <si>
    <t xml:space="preserve">2021–2023 M. KLAIPĖDOS MIESTO SAVIVALDYBĖS  </t>
  </si>
  <si>
    <t xml:space="preserve">Klaipėdos miesto savivaldybės kūno kultūros ir sporto plėtros programos (Nr. 11) aprašymo </t>
  </si>
  <si>
    <t>priedas</t>
  </si>
  <si>
    <t>tūkst. Eur</t>
  </si>
  <si>
    <t>SB'</t>
  </si>
  <si>
    <t>SB(L)'</t>
  </si>
  <si>
    <t>SB(P)'</t>
  </si>
  <si>
    <t>LRVB'</t>
  </si>
  <si>
    <t>Vidutinis sportuojančių neįgalių vaikų skaičius</t>
  </si>
  <si>
    <t>Sporto salių bendrojo ugdymo mokyklose poreikis, val. skaičius</t>
  </si>
  <si>
    <t>Įsigyta baldų (rūbinėms, sekretoriatui), vnt.</t>
  </si>
  <si>
    <t>Vykdytų veiklų pagal sporto šakas, skaičius</t>
  </si>
  <si>
    <t>Senjorų ir neįgaliųjų užsiėmimų Klaipėdos baseine skaičius</t>
  </si>
  <si>
    <t>VšĮ Klaipėdos futbolo mokyklos dalininkų kapitalo formavimas</t>
  </si>
  <si>
    <t>Atliktas natūralios žolės stadiono mini drenažas (Sportininkų g. 46)</t>
  </si>
  <si>
    <t>Komandų, dalyvaujančių aukščiausiojoje lygoje, skaičius</t>
  </si>
  <si>
    <r>
      <t xml:space="preserve">Europos Sąjungos paramos lėšos, kurios įtrauktos į savivaldybės biudžetą </t>
    </r>
    <r>
      <rPr>
        <b/>
        <sz val="10"/>
        <rFont val="Times New Roman"/>
        <family val="1"/>
        <charset val="186"/>
      </rPr>
      <t>SB(ES)</t>
    </r>
  </si>
  <si>
    <t>2022-ieji metai</t>
  </si>
  <si>
    <t>Aiškinamojo rašto 3 priedas</t>
  </si>
  <si>
    <t>Lyginamasis variantas</t>
  </si>
  <si>
    <t>Skirtumas</t>
  </si>
  <si>
    <t>Siūlomas keisti 2021-ųjų metų asignavimų planas</t>
  </si>
  <si>
    <t>Siūlomas keisti 2022-ųjų metų asignavimų planas</t>
  </si>
  <si>
    <t>Siūlomas keisti 2023-ųjų metų asignavimų planas</t>
  </si>
  <si>
    <t>2021-ųjų metų asignavimų planas</t>
  </si>
  <si>
    <t>2023-ųjų metų asignavimų planas</t>
  </si>
  <si>
    <t>2022-ųjų metų asignavimų planas</t>
  </si>
  <si>
    <t>Keitimo priežastis</t>
  </si>
  <si>
    <t>Siūlomas keisti</t>
  </si>
  <si>
    <t>Klaipėdos daugiafunkcio sveikatingumo centro statyba</t>
  </si>
  <si>
    <t>Atliktų ekspertizių skaičius, vnt.</t>
  </si>
  <si>
    <t>Ledo generatoriaus įsigijimas, vnt.</t>
  </si>
  <si>
    <t>Koncesininko išlaidų kompensavimas baseino BMS (angl. Building Management System) sistemos programinės įrangos atnaujinimui, proc.</t>
  </si>
  <si>
    <r>
      <t xml:space="preserve">Kiti finansavimo šaltiniai </t>
    </r>
    <r>
      <rPr>
        <b/>
        <sz val="10"/>
        <rFont val="Times New Roman"/>
        <family val="1"/>
        <charset val="186"/>
      </rPr>
      <t xml:space="preserve">Kt </t>
    </r>
    <r>
      <rPr>
        <sz val="10"/>
        <rFont val="Times New Roman"/>
        <family val="1"/>
        <charset val="186"/>
      </rPr>
      <t xml:space="preserve">  </t>
    </r>
  </si>
  <si>
    <r>
      <t xml:space="preserve">Kiti finansavimo šaltiniai </t>
    </r>
    <r>
      <rPr>
        <b/>
        <sz val="10"/>
        <rFont val="Times New Roman"/>
        <family val="1"/>
        <charset val="186"/>
      </rPr>
      <t xml:space="preserve">Kt </t>
    </r>
  </si>
  <si>
    <t>Kt'</t>
  </si>
  <si>
    <t>SB(VB)'</t>
  </si>
  <si>
    <t>SB(ES)'</t>
  </si>
  <si>
    <t>SB(VBL)'</t>
  </si>
  <si>
    <t>SB(ESL)'</t>
  </si>
  <si>
    <t>Įsigyta sportinio inventoriaus, vnt.</t>
  </si>
  <si>
    <t>Dengto futbolo maniežo statyba</t>
  </si>
  <si>
    <t>Įdiegta informacinė sistema sportuojančių vaikų lankomumo apskaitai užtikrinti, proc.</t>
  </si>
  <si>
    <t>Suorganizuotas architektūrinis konkursas, vnt.</t>
  </si>
  <si>
    <t>Atlikti praėjimo kontrolės sistemos įrengimo darbai („Verdenės“ ir  „Versmės“ progimnazijų sporto aikštynai), proc.</t>
  </si>
  <si>
    <t>Atlikti praėjimo kontrolės sistemos įrengimo darbai („Verdenės“ ir „Versmės“ progimnazijų sporto aikštynai), proc.</t>
  </si>
  <si>
    <t>Įsigyta kamuolių padavinėjimo mašina, vnt.</t>
  </si>
  <si>
    <t>Įsigytas automobilis ūkiniam aptarnavimui, vnt.</t>
  </si>
  <si>
    <t>Atlikti keltuvo į baseiną įrengimo darbai, proc.</t>
  </si>
  <si>
    <t>Įsigytas gimnastikos skersinis su žiedais, vnt.</t>
  </si>
  <si>
    <t xml:space="preserve">Įsigyta vejapjovė ir lapų pūstuvas, vnt.
</t>
  </si>
  <si>
    <t>Įsigyta vejapjovė ir lapų pūstuvas, vnt.</t>
  </si>
  <si>
    <r>
      <rPr>
        <u/>
        <sz val="10"/>
        <rFont val="Times New Roman"/>
        <family val="1"/>
        <charset val="186"/>
      </rPr>
      <t>Mažinama finansavimo apimtis</t>
    </r>
    <r>
      <rPr>
        <sz val="10"/>
        <rFont val="Times New Roman"/>
        <family val="1"/>
        <charset val="186"/>
      </rPr>
      <t xml:space="preserve"> 38,8 tūkst. Eur ir koreguojama rodiklio "Neatlygintinai suteikta sporto bazių sporto renginiams" reikšmė, nes planuotos veiklos neįvyko dėl paskelbto Lietuvoje karantino bei kitais su tuo susijusiais ribojimais.</t>
    </r>
  </si>
  <si>
    <t>Atlikti keltuvo į baseiną įrengimo darbus šiuo metu nėra galimybių (dėl tam tikrų techninių parametrų nėra potencialių tiekėjų, kurie galėtų pasiūlyti reikiamo ilgio strėlės, užtikrinančios keltuvo su aukštais borteliais įleidimą į vandenį).</t>
  </si>
  <si>
    <t>Dėl rizikos nepanaudoti SB(P) lėšas 7 programos priemonėje "Kompleksinis tikslinės teritorijos daugiabučių namų kiemų tvarkymas", keičiami lėšų šaltiniai priemonėje "Futbolo mokyklos ir baseino pastatų konversija. II etapas". SB(P) lėšos bus panaudotos SB(L) lėšų atstatymui.</t>
  </si>
  <si>
    <r>
      <rPr>
        <u/>
        <sz val="10"/>
        <rFont val="Times New Roman"/>
        <family val="1"/>
        <charset val="186"/>
      </rPr>
      <t>Didinama finansavimo apimtis</t>
    </r>
    <r>
      <rPr>
        <sz val="10"/>
        <rFont val="Times New Roman"/>
        <family val="1"/>
        <charset val="186"/>
      </rPr>
      <t xml:space="preserve"> 19,2 tūkst. Eur, nes reikalingos lėšos darbo užmokesčio fondui dėl papildomų etatų naujų objektų priežiūrai: buvo sutvarkytos viešosios erdvės, kuriose atsirado sporto aikštelės ir įvairi sporto įranga bei perduota valdyti dalis turto Futbolo mokyklos Paryžiaus Komunos gatvėje. Lėšos paskaičiuotos už spalio-gruodžio mėn.</t>
    </r>
  </si>
  <si>
    <t>Atlikti dirbtinės žolės futbolo aikštės dangos keitimo darbai (Sportininkų g. 46), proc.</t>
  </si>
  <si>
    <r>
      <rPr>
        <u/>
        <sz val="10"/>
        <rFont val="Times New Roman"/>
        <family val="1"/>
        <charset val="186"/>
      </rPr>
      <t>Mažinama finansavimo apimtis 2021 m.</t>
    </r>
    <r>
      <rPr>
        <sz val="10"/>
        <rFont val="Times New Roman"/>
        <family val="1"/>
        <charset val="186"/>
      </rPr>
      <t xml:space="preserve"> 21,0 tūkst. Eur, nes iki metų pabaigos nepavyks nupirkti automobilio. Rugpjūčio mėn. buvo atlikta tiekėjų apklausa per CVP IS ir negautas nė vienas pasiūlymas. Priežastis ta, jog yra sutrikęs automobilių ir automobilinių dalių tiekimas. Planuojama pirkimą atlikti 2022 m.</t>
    </r>
  </si>
  <si>
    <r>
      <rPr>
        <u/>
        <sz val="10"/>
        <rFont val="Times New Roman"/>
        <family val="1"/>
        <charset val="186"/>
      </rPr>
      <t>Didinama finansavimo apimtis 2021 m.</t>
    </r>
    <r>
      <rPr>
        <sz val="10"/>
        <rFont val="Times New Roman"/>
        <family val="1"/>
        <charset val="186"/>
      </rPr>
      <t xml:space="preserve"> 51,6 tūkst. Eur, nes, įvykus viešųjų pirkimų procedūroms,  trūksta lėšų numatomiems dirbtinės žolės futbolo aikštės dangos keitimo darbams.                                                        </t>
    </r>
    <r>
      <rPr>
        <u/>
        <sz val="10"/>
        <rFont val="Times New Roman"/>
        <family val="1"/>
        <charset val="186"/>
      </rPr>
      <t>Mažinama finansavimo apimtis 2022 m.</t>
    </r>
    <r>
      <rPr>
        <sz val="10"/>
        <rFont val="Times New Roman"/>
        <family val="1"/>
        <charset val="186"/>
      </rPr>
      <t xml:space="preserve"> 225,0 tūkst. Eur, nes, siekiant sudaryti tinkamas sąlygas aukšto meistriškumo varžybų organizavimui, dirbtinės žolės dangos keitimo darbai buvo paspartinti ir KMST 2021 m. rugsėjo 30 d. sprendimu Nr. T2-192 perkelti į 2021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</si>
</sst>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28" x14ac:knownFonts="1">
    <font>
      <sz val="11"/>
      <color theme="1"/>
      <name val="Calibri"/>
      <family val="2"/>
      <charset val="186"/>
      <scheme val="minor"/>
    </font>
    <font>
      <sz val="10"/>
      <name val="Times New Roman"/>
      <family val="1"/>
      <charset val="186"/>
    </font>
    <font>
      <b/>
      <sz val="10"/>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sz val="10"/>
      <color rgb="FFFF0000"/>
      <name val="Times New Roman"/>
      <family val="1"/>
      <charset val="186"/>
    </font>
    <font>
      <sz val="12"/>
      <name val="Times New Roman"/>
      <family val="1"/>
      <charset val="186"/>
    </font>
    <font>
      <sz val="11"/>
      <name val="Times New Roman"/>
      <family val="1"/>
      <charset val="186"/>
    </font>
    <font>
      <sz val="11"/>
      <color rgb="FF000000"/>
      <name val="Calibri"/>
      <family val="2"/>
      <charset val="186"/>
    </font>
    <font>
      <b/>
      <sz val="11"/>
      <name val="Times New Roman"/>
      <family val="1"/>
      <charset val="186"/>
    </font>
    <font>
      <sz val="9"/>
      <name val="Times New Roman"/>
      <family val="1"/>
      <charset val="186"/>
    </font>
    <font>
      <b/>
      <u/>
      <sz val="10"/>
      <name val="Times New Roman"/>
      <family val="1"/>
      <charset val="186"/>
    </font>
    <font>
      <sz val="10"/>
      <color theme="0"/>
      <name val="Times New Roman"/>
      <family val="1"/>
      <charset val="186"/>
    </font>
    <font>
      <sz val="10"/>
      <name val="Arial"/>
      <family val="2"/>
    </font>
    <font>
      <strike/>
      <sz val="10"/>
      <name val="Times New Roman"/>
      <family val="1"/>
      <charset val="186"/>
    </font>
    <font>
      <i/>
      <sz val="10"/>
      <color theme="0"/>
      <name val="Times New Roman"/>
      <family val="1"/>
      <charset val="186"/>
    </font>
    <font>
      <i/>
      <strike/>
      <sz val="10"/>
      <color theme="0"/>
      <name val="Times New Roman"/>
      <family val="1"/>
      <charset val="186"/>
    </font>
    <font>
      <i/>
      <sz val="11"/>
      <color theme="0"/>
      <name val="Times New Roman"/>
      <family val="1"/>
      <charset val="186"/>
    </font>
    <font>
      <b/>
      <sz val="12"/>
      <name val="Times New Roman"/>
      <family val="1"/>
      <charset val="186"/>
    </font>
    <font>
      <b/>
      <sz val="9"/>
      <name val="Times New Roman"/>
      <family val="1"/>
      <charset val="186"/>
    </font>
    <font>
      <i/>
      <sz val="10"/>
      <color rgb="FFFF0000"/>
      <name val="Times New Roman"/>
      <family val="1"/>
      <charset val="186"/>
    </font>
    <font>
      <i/>
      <sz val="10"/>
      <name val="Times New Roman"/>
      <family val="1"/>
      <charset val="186"/>
    </font>
    <font>
      <i/>
      <strike/>
      <sz val="10"/>
      <name val="Times New Roman"/>
      <family val="1"/>
      <charset val="186"/>
    </font>
    <font>
      <i/>
      <sz val="11"/>
      <name val="Times New Roman"/>
      <family val="1"/>
      <charset val="186"/>
    </font>
    <font>
      <u/>
      <sz val="10"/>
      <name val="Times New Roman"/>
      <family val="1"/>
      <charset val="186"/>
    </font>
    <font>
      <i/>
      <sz val="11"/>
      <color rgb="FFFF0000"/>
      <name val="Times New Roman"/>
      <family val="1"/>
      <charset val="186"/>
    </font>
    <font>
      <strike/>
      <sz val="10"/>
      <color rgb="FFFF0000"/>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CCFF"/>
        <bgColor indexed="64"/>
      </patternFill>
    </fill>
    <fill>
      <patternFill patternType="solid">
        <fgColor theme="8" tint="0.79998168889431442"/>
        <bgColor indexed="64"/>
      </patternFill>
    </fill>
  </fills>
  <borders count="8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6" fontId="9" fillId="0" borderId="0" applyBorder="0" applyProtection="0"/>
    <xf numFmtId="0" fontId="14" fillId="0" borderId="0"/>
  </cellStyleXfs>
  <cellXfs count="1687">
    <xf numFmtId="0" fontId="0" fillId="0" borderId="0" xfId="0"/>
    <xf numFmtId="49" fontId="1" fillId="0" borderId="0" xfId="0" applyNumberFormat="1" applyFont="1" applyAlignment="1">
      <alignment horizontal="center" vertical="top"/>
    </xf>
    <xf numFmtId="164" fontId="1" fillId="0" borderId="0" xfId="0" applyNumberFormat="1" applyFont="1" applyAlignment="1">
      <alignment horizontal="center" vertical="top"/>
    </xf>
    <xf numFmtId="49" fontId="2" fillId="3" borderId="27" xfId="0" applyNumberFormat="1" applyFont="1" applyFill="1" applyBorder="1" applyAlignment="1">
      <alignment horizontal="center" vertical="top"/>
    </xf>
    <xf numFmtId="49" fontId="2" fillId="3" borderId="36" xfId="0" applyNumberFormat="1" applyFont="1" applyFill="1" applyBorder="1" applyAlignment="1">
      <alignment horizontal="center" vertical="top"/>
    </xf>
    <xf numFmtId="49" fontId="2" fillId="3" borderId="38" xfId="0" applyNumberFormat="1" applyFont="1" applyFill="1" applyBorder="1" applyAlignment="1">
      <alignment horizontal="center" vertical="top"/>
    </xf>
    <xf numFmtId="3" fontId="1" fillId="0" borderId="28" xfId="0" applyNumberFormat="1" applyFont="1" applyBorder="1" applyAlignment="1">
      <alignment horizontal="center" vertical="top"/>
    </xf>
    <xf numFmtId="49" fontId="1" fillId="3" borderId="36" xfId="0" applyNumberFormat="1" applyFont="1" applyFill="1" applyBorder="1" applyAlignment="1">
      <alignment horizontal="center" vertical="top"/>
    </xf>
    <xf numFmtId="3" fontId="1" fillId="5" borderId="43" xfId="0" applyNumberFormat="1" applyFont="1" applyFill="1" applyBorder="1" applyAlignment="1">
      <alignment vertical="top" wrapText="1"/>
    </xf>
    <xf numFmtId="49" fontId="2" fillId="3" borderId="27" xfId="0" applyNumberFormat="1" applyFont="1" applyFill="1" applyBorder="1" applyAlignment="1">
      <alignment horizontal="center" vertical="top" wrapText="1"/>
    </xf>
    <xf numFmtId="49" fontId="2" fillId="2" borderId="51" xfId="0" applyNumberFormat="1" applyFont="1" applyFill="1" applyBorder="1" applyAlignment="1">
      <alignment horizontal="center" vertical="top"/>
    </xf>
    <xf numFmtId="49" fontId="1" fillId="0" borderId="0" xfId="0" applyNumberFormat="1" applyFont="1" applyFill="1" applyBorder="1" applyAlignment="1">
      <alignment vertical="top"/>
    </xf>
    <xf numFmtId="49" fontId="1" fillId="0" borderId="0" xfId="0" applyNumberFormat="1" applyFont="1" applyAlignment="1">
      <alignment vertical="top"/>
    </xf>
    <xf numFmtId="3" fontId="2" fillId="0" borderId="0" xfId="0" applyNumberFormat="1" applyFont="1" applyFill="1" applyBorder="1" applyAlignment="1">
      <alignment horizontal="left" vertical="top" wrapText="1"/>
    </xf>
    <xf numFmtId="3" fontId="2" fillId="3" borderId="0" xfId="0" applyNumberFormat="1" applyFont="1" applyFill="1" applyBorder="1" applyAlignment="1">
      <alignment horizontal="left" vertical="center" wrapText="1"/>
    </xf>
    <xf numFmtId="3" fontId="2" fillId="3" borderId="0" xfId="0" applyNumberFormat="1" applyFont="1" applyFill="1" applyBorder="1" applyAlignment="1">
      <alignment horizontal="left" vertical="top" wrapText="1"/>
    </xf>
    <xf numFmtId="49" fontId="1" fillId="0" borderId="0" xfId="0" applyNumberFormat="1" applyFont="1"/>
    <xf numFmtId="49" fontId="1" fillId="3" borderId="38"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49" fontId="2" fillId="0" borderId="29" xfId="0" applyNumberFormat="1" applyFont="1" applyBorder="1" applyAlignment="1">
      <alignment horizontal="center" vertical="top" wrapText="1"/>
    </xf>
    <xf numFmtId="3" fontId="1" fillId="0" borderId="26" xfId="0" applyNumberFormat="1" applyFont="1" applyFill="1" applyBorder="1" applyAlignment="1">
      <alignment horizontal="center" vertical="top" textRotation="90" wrapText="1"/>
    </xf>
    <xf numFmtId="3" fontId="1" fillId="0" borderId="26" xfId="0" applyNumberFormat="1" applyFont="1" applyBorder="1" applyAlignment="1">
      <alignment horizontal="center" vertical="top"/>
    </xf>
    <xf numFmtId="3" fontId="1" fillId="0" borderId="24" xfId="0" applyNumberFormat="1" applyFont="1" applyFill="1" applyBorder="1" applyAlignment="1">
      <alignment horizontal="center" vertical="top"/>
    </xf>
    <xf numFmtId="3" fontId="2" fillId="0" borderId="44" xfId="0" applyNumberFormat="1" applyFont="1" applyBorder="1" applyAlignment="1">
      <alignment vertical="top"/>
    </xf>
    <xf numFmtId="3" fontId="1" fillId="5" borderId="26" xfId="0" applyNumberFormat="1" applyFont="1" applyFill="1" applyBorder="1" applyAlignment="1">
      <alignment vertical="top" wrapText="1"/>
    </xf>
    <xf numFmtId="49" fontId="1" fillId="2" borderId="11" xfId="0" applyNumberFormat="1" applyFont="1" applyFill="1" applyBorder="1" applyAlignment="1">
      <alignment horizontal="center" vertical="top"/>
    </xf>
    <xf numFmtId="49" fontId="1" fillId="2" borderId="16"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3" fontId="2" fillId="5" borderId="6" xfId="0" applyNumberFormat="1" applyFont="1" applyFill="1" applyBorder="1" applyAlignment="1">
      <alignment horizontal="left" vertical="top" wrapText="1"/>
    </xf>
    <xf numFmtId="3" fontId="1" fillId="0" borderId="17" xfId="0" applyNumberFormat="1" applyFont="1" applyFill="1" applyBorder="1" applyAlignment="1">
      <alignment vertical="top" wrapText="1"/>
    </xf>
    <xf numFmtId="3" fontId="1" fillId="0" borderId="26" xfId="0" applyNumberFormat="1" applyFont="1" applyFill="1" applyBorder="1" applyAlignment="1">
      <alignment vertical="center" textRotation="90" wrapText="1"/>
    </xf>
    <xf numFmtId="3" fontId="1" fillId="5" borderId="34" xfId="0" applyNumberFormat="1" applyFont="1" applyFill="1" applyBorder="1" applyAlignment="1">
      <alignment vertical="top" wrapText="1"/>
    </xf>
    <xf numFmtId="3" fontId="1" fillId="0" borderId="12" xfId="0" applyNumberFormat="1" applyFont="1" applyFill="1" applyBorder="1" applyAlignment="1">
      <alignment vertical="top" wrapText="1"/>
    </xf>
    <xf numFmtId="3" fontId="1" fillId="0" borderId="28" xfId="0" applyNumberFormat="1" applyFont="1" applyFill="1" applyBorder="1" applyAlignment="1">
      <alignment horizontal="center" vertical="top"/>
    </xf>
    <xf numFmtId="3" fontId="2" fillId="4" borderId="35" xfId="0" applyNumberFormat="1" applyFont="1" applyFill="1" applyBorder="1" applyAlignment="1">
      <alignment horizontal="center" vertical="top"/>
    </xf>
    <xf numFmtId="49" fontId="2" fillId="0" borderId="0" xfId="0" applyNumberFormat="1" applyFont="1" applyBorder="1" applyAlignment="1">
      <alignment horizontal="center" vertical="top" wrapText="1"/>
    </xf>
    <xf numFmtId="49" fontId="2" fillId="9" borderId="19" xfId="0" applyNumberFormat="1" applyFont="1" applyFill="1" applyBorder="1" applyAlignment="1">
      <alignment horizontal="center" vertical="top"/>
    </xf>
    <xf numFmtId="49" fontId="2" fillId="9" borderId="30" xfId="0" applyNumberFormat="1" applyFont="1" applyFill="1" applyBorder="1" applyAlignment="1">
      <alignment vertical="top"/>
    </xf>
    <xf numFmtId="49" fontId="2" fillId="9" borderId="44" xfId="0" applyNumberFormat="1" applyFont="1" applyFill="1" applyBorder="1" applyAlignment="1">
      <alignment vertical="top"/>
    </xf>
    <xf numFmtId="49" fontId="1" fillId="9" borderId="44" xfId="0" applyNumberFormat="1" applyFont="1" applyFill="1" applyBorder="1" applyAlignment="1">
      <alignment vertical="top"/>
    </xf>
    <xf numFmtId="49" fontId="2" fillId="9" borderId="18" xfId="0" applyNumberFormat="1" applyFont="1" applyFill="1" applyBorder="1" applyAlignment="1">
      <alignment vertical="top"/>
    </xf>
    <xf numFmtId="49" fontId="2" fillId="9" borderId="28" xfId="0" applyNumberFormat="1" applyFont="1" applyFill="1" applyBorder="1" applyAlignment="1">
      <alignment vertical="top"/>
    </xf>
    <xf numFmtId="49" fontId="2" fillId="9" borderId="26" xfId="0" applyNumberFormat="1" applyFont="1" applyFill="1" applyBorder="1" applyAlignment="1">
      <alignment vertical="top"/>
    </xf>
    <xf numFmtId="49" fontId="2" fillId="9" borderId="32" xfId="0" applyNumberFormat="1" applyFont="1" applyFill="1" applyBorder="1" applyAlignment="1">
      <alignment vertical="top"/>
    </xf>
    <xf numFmtId="49" fontId="2" fillId="9" borderId="19" xfId="0" applyNumberFormat="1" applyFont="1" applyFill="1" applyBorder="1" applyAlignment="1">
      <alignment horizontal="center" vertical="top" wrapText="1"/>
    </xf>
    <xf numFmtId="49" fontId="2" fillId="9" borderId="28" xfId="0" applyNumberFormat="1" applyFont="1" applyFill="1" applyBorder="1" applyAlignment="1">
      <alignment vertical="top" wrapText="1"/>
    </xf>
    <xf numFmtId="49" fontId="2" fillId="9" borderId="26" xfId="0" applyNumberFormat="1" applyFont="1" applyFill="1" applyBorder="1" applyAlignment="1">
      <alignment vertical="top" wrapText="1"/>
    </xf>
    <xf numFmtId="49" fontId="1" fillId="9" borderId="32" xfId="0" applyNumberFormat="1" applyFont="1" applyFill="1" applyBorder="1" applyAlignment="1">
      <alignment vertical="top" wrapText="1"/>
    </xf>
    <xf numFmtId="49" fontId="2" fillId="9" borderId="25" xfId="0" applyNumberFormat="1" applyFont="1" applyFill="1" applyBorder="1" applyAlignment="1">
      <alignment horizontal="center" vertical="top"/>
    </xf>
    <xf numFmtId="3" fontId="2" fillId="9" borderId="19" xfId="0" applyNumberFormat="1" applyFont="1" applyFill="1" applyBorder="1" applyAlignment="1">
      <alignment horizontal="left" vertical="top"/>
    </xf>
    <xf numFmtId="3" fontId="2" fillId="7" borderId="32" xfId="0" applyNumberFormat="1" applyFont="1" applyFill="1" applyBorder="1" applyAlignment="1">
      <alignment horizontal="left" vertical="top"/>
    </xf>
    <xf numFmtId="3" fontId="2" fillId="3" borderId="0" xfId="0" applyNumberFormat="1" applyFont="1" applyFill="1" applyBorder="1" applyAlignment="1">
      <alignment horizontal="center" vertical="top" wrapText="1"/>
    </xf>
    <xf numFmtId="3" fontId="2" fillId="3" borderId="0" xfId="0" applyNumberFormat="1" applyFont="1" applyFill="1" applyBorder="1" applyAlignment="1">
      <alignment horizontal="center" vertical="center" wrapText="1"/>
    </xf>
    <xf numFmtId="3" fontId="2" fillId="0" borderId="41" xfId="0" applyNumberFormat="1" applyFont="1" applyFill="1" applyBorder="1" applyAlignment="1">
      <alignment horizontal="center" vertical="top"/>
    </xf>
    <xf numFmtId="3" fontId="1" fillId="0" borderId="37" xfId="0" applyNumberFormat="1" applyFont="1" applyBorder="1" applyAlignment="1">
      <alignment horizontal="center" vertical="top"/>
    </xf>
    <xf numFmtId="3" fontId="1" fillId="5" borderId="37" xfId="0" applyNumberFormat="1" applyFont="1" applyFill="1" applyBorder="1" applyAlignment="1">
      <alignment horizontal="center" vertical="top" wrapText="1"/>
    </xf>
    <xf numFmtId="3" fontId="1" fillId="0" borderId="6" xfId="0" applyNumberFormat="1" applyFont="1" applyFill="1" applyBorder="1" applyAlignment="1">
      <alignment vertical="center" textRotation="90" wrapText="1"/>
    </xf>
    <xf numFmtId="3" fontId="1" fillId="0" borderId="34" xfId="0" applyNumberFormat="1" applyFont="1" applyBorder="1" applyAlignment="1">
      <alignment horizontal="center" vertical="top"/>
    </xf>
    <xf numFmtId="164" fontId="1" fillId="3" borderId="0" xfId="0" applyNumberFormat="1" applyFont="1" applyFill="1" applyBorder="1" applyAlignment="1">
      <alignment horizontal="left" vertical="top" wrapText="1"/>
    </xf>
    <xf numFmtId="3" fontId="5" fillId="0" borderId="3" xfId="0" applyNumberFormat="1" applyFont="1" applyFill="1" applyBorder="1" applyAlignment="1">
      <alignment vertical="center" textRotation="90" wrapText="1"/>
    </xf>
    <xf numFmtId="3" fontId="5" fillId="0" borderId="0" xfId="0" applyNumberFormat="1" applyFont="1" applyAlignment="1">
      <alignment horizontal="center" vertical="top" textRotation="90"/>
    </xf>
    <xf numFmtId="3" fontId="5" fillId="0" borderId="4" xfId="0" applyNumberFormat="1" applyFont="1" applyFill="1" applyBorder="1" applyAlignment="1">
      <alignment vertical="top" textRotation="90" wrapText="1"/>
    </xf>
    <xf numFmtId="3" fontId="5" fillId="0" borderId="11" xfId="0" applyNumberFormat="1" applyFont="1" applyFill="1" applyBorder="1" applyAlignment="1">
      <alignment vertical="top" textRotation="90" wrapText="1"/>
    </xf>
    <xf numFmtId="3" fontId="5" fillId="0" borderId="10" xfId="0" applyNumberFormat="1" applyFont="1" applyFill="1" applyBorder="1" applyAlignment="1">
      <alignment vertical="top" textRotation="90" wrapText="1"/>
    </xf>
    <xf numFmtId="3" fontId="5" fillId="0" borderId="4" xfId="0" applyNumberFormat="1" applyFont="1" applyBorder="1" applyAlignment="1">
      <alignment vertical="top" textRotation="90"/>
    </xf>
    <xf numFmtId="3" fontId="5" fillId="0" borderId="11" xfId="0" applyNumberFormat="1" applyFont="1" applyBorder="1" applyAlignment="1">
      <alignment vertical="top" textRotation="90"/>
    </xf>
    <xf numFmtId="49" fontId="5" fillId="0" borderId="11" xfId="0" applyNumberFormat="1" applyFont="1" applyBorder="1" applyAlignment="1">
      <alignment vertical="top" textRotation="90"/>
    </xf>
    <xf numFmtId="164" fontId="1" fillId="5" borderId="28" xfId="0" applyNumberFormat="1" applyFont="1" applyFill="1" applyBorder="1" applyAlignment="1">
      <alignment horizontal="center" vertical="top"/>
    </xf>
    <xf numFmtId="164" fontId="2" fillId="4" borderId="35" xfId="0" applyNumberFormat="1" applyFont="1" applyFill="1" applyBorder="1" applyAlignment="1">
      <alignment horizontal="center" vertical="top" wrapText="1"/>
    </xf>
    <xf numFmtId="164" fontId="1" fillId="5" borderId="34" xfId="0" applyNumberFormat="1" applyFont="1" applyFill="1" applyBorder="1" applyAlignment="1">
      <alignment horizontal="center" vertical="top"/>
    </xf>
    <xf numFmtId="164" fontId="1" fillId="5" borderId="26" xfId="0" applyNumberFormat="1" applyFont="1" applyFill="1" applyBorder="1" applyAlignment="1">
      <alignment horizontal="center" vertical="top"/>
    </xf>
    <xf numFmtId="3" fontId="1" fillId="0" borderId="28" xfId="0" applyNumberFormat="1" applyFont="1" applyBorder="1"/>
    <xf numFmtId="3" fontId="1" fillId="0" borderId="26" xfId="0" applyNumberFormat="1" applyFont="1" applyBorder="1"/>
    <xf numFmtId="3" fontId="1" fillId="0" borderId="6" xfId="0" applyNumberFormat="1" applyFont="1" applyFill="1" applyBorder="1" applyAlignment="1">
      <alignment horizontal="left" vertical="top" wrapText="1"/>
    </xf>
    <xf numFmtId="49" fontId="1" fillId="0" borderId="27" xfId="0" applyNumberFormat="1" applyFont="1" applyBorder="1" applyAlignment="1">
      <alignment horizontal="center" vertical="center" textRotation="90" wrapText="1"/>
    </xf>
    <xf numFmtId="49" fontId="1" fillId="0" borderId="36" xfId="0" applyNumberFormat="1" applyFont="1" applyBorder="1" applyAlignment="1">
      <alignment horizontal="center" vertical="center" textRotation="90" wrapText="1"/>
    </xf>
    <xf numFmtId="164" fontId="1" fillId="5" borderId="0" xfId="0" applyNumberFormat="1" applyFont="1" applyFill="1" applyBorder="1" applyAlignment="1">
      <alignment horizontal="center" vertical="top"/>
    </xf>
    <xf numFmtId="164" fontId="1" fillId="3" borderId="0" xfId="0" applyNumberFormat="1" applyFont="1" applyFill="1" applyBorder="1" applyAlignment="1">
      <alignment horizontal="center" vertical="top" wrapText="1"/>
    </xf>
    <xf numFmtId="49" fontId="5" fillId="0" borderId="48" xfId="0" applyNumberFormat="1" applyFont="1" applyBorder="1" applyAlignment="1">
      <alignment vertical="top" textRotation="90"/>
    </xf>
    <xf numFmtId="49" fontId="5" fillId="0" borderId="55" xfId="0" applyNumberFormat="1" applyFont="1" applyBorder="1" applyAlignment="1">
      <alignment vertical="top" textRotation="90"/>
    </xf>
    <xf numFmtId="164" fontId="2" fillId="4" borderId="14" xfId="0" applyNumberFormat="1" applyFont="1" applyFill="1" applyBorder="1" applyAlignment="1">
      <alignment horizontal="center" vertical="top"/>
    </xf>
    <xf numFmtId="3" fontId="1" fillId="5" borderId="39" xfId="0" applyNumberFormat="1" applyFont="1" applyFill="1" applyBorder="1" applyAlignment="1">
      <alignment horizontal="center" vertical="top" wrapText="1"/>
    </xf>
    <xf numFmtId="3" fontId="5" fillId="0" borderId="48" xfId="0" applyNumberFormat="1" applyFont="1" applyFill="1" applyBorder="1" applyAlignment="1">
      <alignment vertical="top" textRotation="90" wrapText="1"/>
    </xf>
    <xf numFmtId="49" fontId="1" fillId="3" borderId="31" xfId="0" applyNumberFormat="1" applyFont="1" applyFill="1" applyBorder="1" applyAlignment="1">
      <alignment horizontal="center" vertical="top" wrapText="1"/>
    </xf>
    <xf numFmtId="3" fontId="1" fillId="5" borderId="53" xfId="0" applyNumberFormat="1" applyFont="1" applyFill="1" applyBorder="1" applyAlignment="1">
      <alignment horizontal="left" vertical="top" wrapText="1"/>
    </xf>
    <xf numFmtId="49" fontId="2" fillId="5" borderId="36" xfId="0" applyNumberFormat="1" applyFont="1" applyFill="1" applyBorder="1" applyAlignment="1">
      <alignment horizontal="center" vertical="top"/>
    </xf>
    <xf numFmtId="164" fontId="1" fillId="5" borderId="0" xfId="0" applyNumberFormat="1" applyFont="1" applyFill="1" applyBorder="1" applyAlignment="1">
      <alignment horizontal="center" vertical="top" wrapText="1"/>
    </xf>
    <xf numFmtId="3" fontId="1" fillId="5" borderId="26" xfId="0" applyNumberFormat="1" applyFont="1" applyFill="1" applyBorder="1" applyAlignment="1">
      <alignment horizontal="center" vertical="top"/>
    </xf>
    <xf numFmtId="3" fontId="2" fillId="5" borderId="63" xfId="0" applyNumberFormat="1" applyFont="1" applyFill="1" applyBorder="1" applyAlignment="1">
      <alignment horizontal="center" vertical="top" wrapText="1"/>
    </xf>
    <xf numFmtId="3" fontId="1" fillId="0" borderId="0" xfId="0" applyNumberFormat="1" applyFont="1"/>
    <xf numFmtId="3" fontId="1" fillId="0" borderId="6" xfId="0" applyNumberFormat="1" applyFont="1" applyBorder="1" applyAlignment="1">
      <alignment horizontal="center" vertical="top"/>
    </xf>
    <xf numFmtId="3" fontId="1" fillId="5" borderId="28" xfId="0" applyNumberFormat="1" applyFont="1" applyFill="1" applyBorder="1" applyAlignment="1">
      <alignment vertical="top" wrapText="1"/>
    </xf>
    <xf numFmtId="3" fontId="2" fillId="0" borderId="1" xfId="0" applyNumberFormat="1" applyFont="1" applyFill="1" applyBorder="1" applyAlignment="1">
      <alignment horizontal="center" vertical="center" textRotation="90" wrapText="1"/>
    </xf>
    <xf numFmtId="3" fontId="1" fillId="0" borderId="16" xfId="0" applyNumberFormat="1" applyFont="1" applyFill="1" applyBorder="1" applyAlignment="1">
      <alignment vertical="top" textRotation="90" wrapText="1"/>
    </xf>
    <xf numFmtId="3" fontId="2" fillId="0" borderId="38" xfId="0" applyNumberFormat="1" applyFont="1" applyFill="1" applyBorder="1" applyAlignment="1">
      <alignment vertical="top" wrapText="1"/>
    </xf>
    <xf numFmtId="3" fontId="1" fillId="5" borderId="32" xfId="0" applyNumberFormat="1" applyFont="1" applyFill="1" applyBorder="1" applyAlignment="1">
      <alignment vertical="top" wrapText="1"/>
    </xf>
    <xf numFmtId="49" fontId="2" fillId="5" borderId="63" xfId="0" applyNumberFormat="1" applyFont="1" applyFill="1" applyBorder="1" applyAlignment="1">
      <alignment horizontal="center" vertical="top"/>
    </xf>
    <xf numFmtId="49" fontId="2" fillId="5" borderId="62" xfId="0" applyNumberFormat="1" applyFont="1" applyFill="1" applyBorder="1" applyAlignment="1">
      <alignment horizontal="center" vertical="top"/>
    </xf>
    <xf numFmtId="3" fontId="1" fillId="0" borderId="0" xfId="0" applyNumberFormat="1" applyFont="1" applyBorder="1"/>
    <xf numFmtId="3" fontId="1" fillId="0" borderId="53" xfId="0" applyNumberFormat="1" applyFont="1" applyBorder="1" applyAlignment="1">
      <alignment horizontal="center" vertical="top"/>
    </xf>
    <xf numFmtId="3" fontId="1" fillId="5" borderId="0" xfId="0" applyNumberFormat="1" applyFont="1" applyFill="1"/>
    <xf numFmtId="49" fontId="2" fillId="2" borderId="4" xfId="0" applyNumberFormat="1" applyFont="1" applyFill="1" applyBorder="1" applyAlignment="1">
      <alignment vertical="top"/>
    </xf>
    <xf numFmtId="49" fontId="2" fillId="2" borderId="11" xfId="0" applyNumberFormat="1" applyFont="1" applyFill="1" applyBorder="1" applyAlignment="1">
      <alignment vertical="top"/>
    </xf>
    <xf numFmtId="49" fontId="2" fillId="2" borderId="16" xfId="0" applyNumberFormat="1" applyFont="1" applyFill="1" applyBorder="1" applyAlignment="1">
      <alignment vertical="top"/>
    </xf>
    <xf numFmtId="49" fontId="2" fillId="3" borderId="29" xfId="0" applyNumberFormat="1" applyFont="1" applyFill="1" applyBorder="1" applyAlignment="1">
      <alignment vertical="top"/>
    </xf>
    <xf numFmtId="49" fontId="2" fillId="3" borderId="0" xfId="0" applyNumberFormat="1" applyFont="1" applyFill="1" applyBorder="1" applyAlignment="1">
      <alignment vertical="top"/>
    </xf>
    <xf numFmtId="49" fontId="2" fillId="3" borderId="1" xfId="0" applyNumberFormat="1" applyFont="1" applyFill="1" applyBorder="1" applyAlignment="1">
      <alignment vertical="top"/>
    </xf>
    <xf numFmtId="3" fontId="2" fillId="4" borderId="69" xfId="0" applyNumberFormat="1" applyFont="1" applyFill="1" applyBorder="1" applyAlignment="1">
      <alignment horizontal="right" vertical="top"/>
    </xf>
    <xf numFmtId="3" fontId="2" fillId="0" borderId="64" xfId="0" applyNumberFormat="1" applyFont="1" applyFill="1" applyBorder="1" applyAlignment="1">
      <alignment horizontal="center" vertical="top" wrapText="1"/>
    </xf>
    <xf numFmtId="3" fontId="2" fillId="0" borderId="63" xfId="0" applyNumberFormat="1" applyFont="1" applyFill="1" applyBorder="1" applyAlignment="1">
      <alignment horizontal="center" vertical="top" wrapText="1"/>
    </xf>
    <xf numFmtId="3" fontId="1" fillId="0" borderId="53" xfId="0" applyNumberFormat="1" applyFont="1" applyFill="1" applyBorder="1" applyAlignment="1">
      <alignment vertical="top" wrapText="1"/>
    </xf>
    <xf numFmtId="3" fontId="1" fillId="5" borderId="53" xfId="0" applyNumberFormat="1" applyFont="1" applyFill="1" applyBorder="1" applyAlignment="1">
      <alignment vertical="top" wrapText="1"/>
    </xf>
    <xf numFmtId="0" fontId="1" fillId="5" borderId="53" xfId="0" applyNumberFormat="1" applyFont="1" applyFill="1" applyBorder="1" applyAlignment="1">
      <alignment vertical="top" wrapText="1"/>
    </xf>
    <xf numFmtId="3" fontId="1" fillId="0" borderId="32" xfId="0" applyNumberFormat="1" applyFont="1" applyFill="1" applyBorder="1" applyAlignment="1">
      <alignment vertical="top" wrapText="1"/>
    </xf>
    <xf numFmtId="3" fontId="1" fillId="0" borderId="28" xfId="0" applyNumberFormat="1" applyFont="1" applyFill="1" applyBorder="1" applyAlignment="1">
      <alignment vertical="top" wrapText="1"/>
    </xf>
    <xf numFmtId="49" fontId="2" fillId="9" borderId="9" xfId="0" applyNumberFormat="1" applyFont="1" applyFill="1" applyBorder="1" applyAlignment="1">
      <alignment horizontal="center" vertical="top" wrapText="1"/>
    </xf>
    <xf numFmtId="3" fontId="1" fillId="0" borderId="0" xfId="0" applyNumberFormat="1" applyFont="1" applyAlignment="1">
      <alignment horizontal="center" vertical="top" textRotation="90"/>
    </xf>
    <xf numFmtId="3" fontId="2" fillId="0" borderId="26" xfId="0" applyNumberFormat="1" applyFont="1" applyFill="1" applyBorder="1" applyAlignment="1">
      <alignment vertical="top" textRotation="90" wrapText="1"/>
    </xf>
    <xf numFmtId="3" fontId="2" fillId="0" borderId="44" xfId="0" applyNumberFormat="1" applyFont="1" applyFill="1" applyBorder="1" applyAlignment="1">
      <alignment vertical="top" textRotation="90" wrapText="1"/>
    </xf>
    <xf numFmtId="3" fontId="2" fillId="0" borderId="32" xfId="0" applyNumberFormat="1" applyFont="1" applyFill="1" applyBorder="1" applyAlignment="1">
      <alignment vertical="top" textRotation="90" wrapText="1"/>
    </xf>
    <xf numFmtId="3" fontId="2" fillId="5" borderId="29" xfId="0" applyNumberFormat="1" applyFont="1" applyFill="1" applyBorder="1" applyAlignment="1">
      <alignment horizontal="center" vertical="top" textRotation="90"/>
    </xf>
    <xf numFmtId="3" fontId="2" fillId="5" borderId="23" xfId="0" applyNumberFormat="1" applyFont="1" applyFill="1" applyBorder="1" applyAlignment="1">
      <alignment horizontal="center" vertical="center" textRotation="90"/>
    </xf>
    <xf numFmtId="49" fontId="2" fillId="0" borderId="22" xfId="0" applyNumberFormat="1" applyFont="1" applyBorder="1" applyAlignment="1">
      <alignment vertical="top" textRotation="90"/>
    </xf>
    <xf numFmtId="3" fontId="2" fillId="0" borderId="0" xfId="0" applyNumberFormat="1" applyFont="1" applyFill="1" applyBorder="1" applyAlignment="1">
      <alignment horizontal="center" vertical="top" wrapText="1"/>
    </xf>
    <xf numFmtId="3" fontId="2" fillId="5" borderId="36" xfId="0" applyNumberFormat="1" applyFont="1" applyFill="1" applyBorder="1" applyAlignment="1">
      <alignment horizontal="center" vertical="top" wrapText="1"/>
    </xf>
    <xf numFmtId="3" fontId="1" fillId="0" borderId="0" xfId="0" applyNumberFormat="1" applyFont="1" applyAlignment="1">
      <alignment horizontal="center" vertical="top"/>
    </xf>
    <xf numFmtId="49" fontId="2" fillId="2" borderId="11" xfId="0" applyNumberFormat="1" applyFont="1" applyFill="1" applyBorder="1" applyAlignment="1">
      <alignment horizontal="center" vertical="top" wrapText="1"/>
    </xf>
    <xf numFmtId="3" fontId="1" fillId="5" borderId="28" xfId="0" applyNumberFormat="1" applyFont="1" applyFill="1" applyBorder="1" applyAlignment="1">
      <alignment horizontal="center" vertical="top"/>
    </xf>
    <xf numFmtId="3" fontId="2" fillId="0" borderId="36" xfId="0" applyNumberFormat="1" applyFont="1" applyFill="1" applyBorder="1" applyAlignment="1">
      <alignment horizontal="center" vertical="top" wrapText="1"/>
    </xf>
    <xf numFmtId="164" fontId="1" fillId="5" borderId="5" xfId="0" applyNumberFormat="1" applyFont="1" applyFill="1" applyBorder="1" applyAlignment="1">
      <alignment horizontal="center" vertical="top"/>
    </xf>
    <xf numFmtId="164" fontId="2" fillId="4" borderId="69"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5" borderId="71" xfId="0" applyNumberFormat="1" applyFont="1" applyFill="1" applyBorder="1" applyAlignment="1">
      <alignment horizontal="center" vertical="top"/>
    </xf>
    <xf numFmtId="3" fontId="1" fillId="5" borderId="12" xfId="0" applyNumberFormat="1" applyFont="1" applyFill="1" applyBorder="1" applyAlignment="1">
      <alignment horizontal="center" vertical="top"/>
    </xf>
    <xf numFmtId="3" fontId="1" fillId="5" borderId="46" xfId="0" applyNumberFormat="1" applyFont="1" applyFill="1" applyBorder="1" applyAlignment="1">
      <alignment horizontal="center" vertical="top"/>
    </xf>
    <xf numFmtId="3" fontId="1" fillId="0" borderId="46" xfId="0" applyNumberFormat="1" applyFont="1" applyBorder="1" applyAlignment="1">
      <alignment horizontal="center" vertical="top"/>
    </xf>
    <xf numFmtId="3" fontId="1" fillId="0" borderId="12" xfId="0" applyNumberFormat="1" applyFont="1" applyBorder="1" applyAlignment="1">
      <alignment horizontal="center" vertical="top"/>
    </xf>
    <xf numFmtId="3" fontId="1" fillId="5" borderId="43" xfId="0" applyNumberFormat="1" applyFont="1" applyFill="1" applyBorder="1" applyAlignment="1">
      <alignment horizontal="center" vertical="top"/>
    </xf>
    <xf numFmtId="3" fontId="1" fillId="5" borderId="50" xfId="0" applyNumberFormat="1" applyFont="1" applyFill="1" applyBorder="1" applyAlignment="1">
      <alignment horizontal="center" vertical="top"/>
    </xf>
    <xf numFmtId="3" fontId="1" fillId="0" borderId="39" xfId="0" applyNumberFormat="1" applyFont="1" applyBorder="1" applyAlignment="1">
      <alignment horizontal="center" vertical="center" textRotation="90"/>
    </xf>
    <xf numFmtId="164" fontId="1" fillId="5" borderId="46" xfId="0" applyNumberFormat="1" applyFont="1" applyFill="1" applyBorder="1" applyAlignment="1">
      <alignment horizontal="center" vertical="top"/>
    </xf>
    <xf numFmtId="3" fontId="1" fillId="3" borderId="46" xfId="0" applyNumberFormat="1" applyFont="1" applyFill="1" applyBorder="1" applyAlignment="1">
      <alignment horizontal="center" vertical="top" wrapText="1"/>
    </xf>
    <xf numFmtId="3" fontId="2" fillId="4" borderId="69" xfId="0" applyNumberFormat="1" applyFont="1" applyFill="1" applyBorder="1" applyAlignment="1">
      <alignment horizontal="center" vertical="top" wrapText="1"/>
    </xf>
    <xf numFmtId="3" fontId="1" fillId="0" borderId="11" xfId="0" applyNumberFormat="1" applyFont="1" applyFill="1" applyBorder="1" applyAlignment="1">
      <alignment vertical="top" textRotation="90" wrapText="1"/>
    </xf>
    <xf numFmtId="3" fontId="2" fillId="0" borderId="17" xfId="0" applyNumberFormat="1" applyFont="1" applyFill="1" applyBorder="1" applyAlignment="1">
      <alignment horizontal="center" vertical="top"/>
    </xf>
    <xf numFmtId="164" fontId="2" fillId="2" borderId="70" xfId="0" applyNumberFormat="1" applyFont="1" applyFill="1" applyBorder="1" applyAlignment="1">
      <alignment horizontal="center" vertical="top"/>
    </xf>
    <xf numFmtId="164" fontId="1" fillId="0" borderId="50" xfId="0" applyNumberFormat="1" applyFont="1" applyBorder="1" applyAlignment="1">
      <alignment horizontal="center" vertical="top"/>
    </xf>
    <xf numFmtId="3" fontId="2" fillId="0" borderId="28" xfId="0" applyNumberFormat="1" applyFont="1" applyFill="1" applyBorder="1" applyAlignment="1">
      <alignment textRotation="90"/>
    </xf>
    <xf numFmtId="3" fontId="5" fillId="0" borderId="4" xfId="0" applyNumberFormat="1" applyFont="1" applyFill="1" applyBorder="1" applyAlignment="1">
      <alignment textRotation="90"/>
    </xf>
    <xf numFmtId="3" fontId="2" fillId="0" borderId="26" xfId="0" applyNumberFormat="1" applyFont="1" applyFill="1" applyBorder="1" applyAlignment="1">
      <alignment textRotation="90"/>
    </xf>
    <xf numFmtId="3" fontId="5" fillId="0" borderId="11" xfId="0" applyNumberFormat="1" applyFont="1" applyFill="1" applyBorder="1" applyAlignment="1">
      <alignment textRotation="90"/>
    </xf>
    <xf numFmtId="3" fontId="5" fillId="0" borderId="48" xfId="0" applyNumberFormat="1" applyFont="1" applyFill="1" applyBorder="1" applyAlignment="1">
      <alignment horizontal="center" vertical="center" textRotation="90"/>
    </xf>
    <xf numFmtId="3" fontId="5" fillId="0" borderId="10" xfId="0" applyNumberFormat="1" applyFont="1" applyFill="1" applyBorder="1" applyAlignment="1">
      <alignment textRotation="90"/>
    </xf>
    <xf numFmtId="3" fontId="5" fillId="0" borderId="48" xfId="0" applyNumberFormat="1" applyFont="1" applyFill="1" applyBorder="1" applyAlignment="1">
      <alignment textRotation="90"/>
    </xf>
    <xf numFmtId="3" fontId="2" fillId="0" borderId="26" xfId="0" applyNumberFormat="1" applyFont="1" applyFill="1" applyBorder="1" applyAlignment="1">
      <alignment horizontal="center" textRotation="90"/>
    </xf>
    <xf numFmtId="3" fontId="5" fillId="0" borderId="48"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xf>
    <xf numFmtId="3" fontId="2" fillId="0" borderId="32" xfId="0" applyNumberFormat="1" applyFont="1" applyFill="1" applyBorder="1" applyAlignment="1">
      <alignment horizontal="center" vertical="center" textRotation="90"/>
    </xf>
    <xf numFmtId="3" fontId="5" fillId="0" borderId="29" xfId="0" applyNumberFormat="1" applyFont="1" applyFill="1" applyBorder="1" applyAlignment="1">
      <alignment horizontal="center" vertical="top" textRotation="90"/>
    </xf>
    <xf numFmtId="3" fontId="1" fillId="5" borderId="0" xfId="0" applyNumberFormat="1" applyFont="1" applyFill="1" applyBorder="1"/>
    <xf numFmtId="3" fontId="5" fillId="5" borderId="68" xfId="0" applyNumberFormat="1" applyFont="1" applyFill="1" applyBorder="1" applyAlignment="1">
      <alignment horizontal="center" vertical="center" textRotation="90" wrapText="1"/>
    </xf>
    <xf numFmtId="3" fontId="2" fillId="0" borderId="30" xfId="0" applyNumberFormat="1" applyFont="1" applyFill="1" applyBorder="1" applyAlignment="1">
      <alignment horizontal="center" vertical="top" textRotation="90"/>
    </xf>
    <xf numFmtId="3" fontId="2" fillId="0" borderId="40"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xf>
    <xf numFmtId="164" fontId="2" fillId="7" borderId="43" xfId="0" applyNumberFormat="1" applyFont="1" applyFill="1" applyBorder="1" applyAlignment="1">
      <alignment horizontal="center" vertical="top" wrapText="1"/>
    </xf>
    <xf numFmtId="164" fontId="2" fillId="7" borderId="43" xfId="0" applyNumberFormat="1" applyFont="1" applyFill="1" applyBorder="1" applyAlignment="1">
      <alignment horizontal="center" vertical="top"/>
    </xf>
    <xf numFmtId="0" fontId="1" fillId="0" borderId="0" xfId="0" applyFont="1"/>
    <xf numFmtId="0" fontId="1" fillId="0" borderId="0" xfId="0" applyFont="1" applyAlignment="1">
      <alignment horizontal="center"/>
    </xf>
    <xf numFmtId="0" fontId="1" fillId="0" borderId="0" xfId="0" applyFont="1" applyAlignment="1"/>
    <xf numFmtId="0" fontId="1" fillId="0" borderId="0" xfId="0" applyFont="1" applyAlignment="1">
      <alignment textRotation="90"/>
    </xf>
    <xf numFmtId="0" fontId="5" fillId="0" borderId="0" xfId="0" applyFont="1" applyAlignment="1">
      <alignment textRotation="90"/>
    </xf>
    <xf numFmtId="164" fontId="1" fillId="5" borderId="43" xfId="0" applyNumberFormat="1" applyFont="1" applyFill="1" applyBorder="1" applyAlignment="1">
      <alignment horizontal="center" vertical="top"/>
    </xf>
    <xf numFmtId="0" fontId="11" fillId="0" borderId="0"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horizontal="center"/>
    </xf>
    <xf numFmtId="3" fontId="2" fillId="5" borderId="0" xfId="0" applyNumberFormat="1" applyFont="1" applyFill="1" applyBorder="1" applyAlignment="1">
      <alignment horizontal="center" vertical="top" wrapText="1"/>
    </xf>
    <xf numFmtId="49" fontId="1" fillId="0" borderId="37" xfId="0" applyNumberFormat="1" applyFont="1" applyBorder="1" applyAlignment="1">
      <alignment vertical="top"/>
    </xf>
    <xf numFmtId="49" fontId="2" fillId="0" borderId="13" xfId="0" applyNumberFormat="1" applyFont="1" applyBorder="1" applyAlignment="1">
      <alignment vertical="top" textRotation="90"/>
    </xf>
    <xf numFmtId="49" fontId="2" fillId="0" borderId="47" xfId="0" applyNumberFormat="1" applyFont="1" applyBorder="1" applyAlignment="1">
      <alignment vertical="top" textRotation="90"/>
    </xf>
    <xf numFmtId="3" fontId="1" fillId="0" borderId="8" xfId="0" applyNumberFormat="1" applyFont="1" applyBorder="1" applyAlignment="1">
      <alignment horizontal="center" vertical="top"/>
    </xf>
    <xf numFmtId="3" fontId="1" fillId="5" borderId="24" xfId="0" applyNumberFormat="1" applyFont="1" applyFill="1" applyBorder="1" applyAlignment="1">
      <alignment horizontal="center" vertical="top"/>
    </xf>
    <xf numFmtId="3" fontId="1" fillId="5" borderId="54" xfId="0" applyNumberFormat="1" applyFont="1" applyFill="1" applyBorder="1" applyAlignment="1">
      <alignment horizontal="center" vertical="top"/>
    </xf>
    <xf numFmtId="3" fontId="2" fillId="4" borderId="15" xfId="0" applyNumberFormat="1" applyFont="1" applyFill="1" applyBorder="1" applyAlignment="1">
      <alignment horizontal="center" vertical="top"/>
    </xf>
    <xf numFmtId="3" fontId="2" fillId="4" borderId="24" xfId="0" applyNumberFormat="1" applyFont="1" applyFill="1" applyBorder="1" applyAlignment="1">
      <alignment horizontal="center" vertical="top"/>
    </xf>
    <xf numFmtId="3" fontId="2" fillId="0" borderId="5" xfId="0" applyNumberFormat="1" applyFont="1" applyFill="1" applyBorder="1" applyAlignment="1">
      <alignment horizontal="center" vertical="top" wrapText="1"/>
    </xf>
    <xf numFmtId="3" fontId="5" fillId="5" borderId="65" xfId="0" applyNumberFormat="1" applyFont="1" applyFill="1" applyBorder="1" applyAlignment="1">
      <alignment horizontal="center" vertical="center" textRotation="90" wrapText="1"/>
    </xf>
    <xf numFmtId="164" fontId="2" fillId="9" borderId="19" xfId="0" applyNumberFormat="1" applyFont="1" applyFill="1" applyBorder="1" applyAlignment="1">
      <alignment horizontal="center" vertical="top"/>
    </xf>
    <xf numFmtId="164" fontId="2" fillId="7" borderId="32" xfId="0" applyNumberFormat="1" applyFont="1" applyFill="1" applyBorder="1" applyAlignment="1">
      <alignment horizontal="center" vertical="top"/>
    </xf>
    <xf numFmtId="3" fontId="2" fillId="0" borderId="18" xfId="0" applyNumberFormat="1" applyFont="1" applyFill="1" applyBorder="1" applyAlignment="1">
      <alignment vertical="center" textRotation="90" wrapText="1"/>
    </xf>
    <xf numFmtId="3" fontId="5" fillId="0" borderId="16" xfId="0" applyNumberFormat="1" applyFont="1" applyFill="1" applyBorder="1" applyAlignment="1">
      <alignment vertical="top" textRotation="90" wrapText="1"/>
    </xf>
    <xf numFmtId="3" fontId="2" fillId="0" borderId="39" xfId="0" applyNumberFormat="1" applyFont="1" applyFill="1" applyBorder="1" applyAlignment="1">
      <alignment vertical="top" wrapText="1"/>
    </xf>
    <xf numFmtId="164" fontId="1" fillId="5" borderId="50" xfId="0" applyNumberFormat="1" applyFont="1" applyFill="1" applyBorder="1" applyAlignment="1">
      <alignment horizontal="center" vertical="top"/>
    </xf>
    <xf numFmtId="164" fontId="1" fillId="5" borderId="12" xfId="0" applyNumberFormat="1" applyFont="1" applyFill="1" applyBorder="1" applyAlignment="1">
      <alignment horizontal="center" vertical="top"/>
    </xf>
    <xf numFmtId="3" fontId="1" fillId="0" borderId="34" xfId="0" applyNumberFormat="1" applyFont="1" applyFill="1" applyBorder="1" applyAlignment="1">
      <alignment vertical="top" wrapText="1"/>
    </xf>
    <xf numFmtId="49" fontId="1" fillId="0" borderId="12" xfId="0" applyNumberFormat="1" applyFont="1" applyBorder="1" applyAlignment="1">
      <alignment vertical="top" wrapText="1"/>
    </xf>
    <xf numFmtId="49" fontId="1" fillId="0" borderId="50" xfId="0" applyNumberFormat="1" applyFont="1" applyBorder="1" applyAlignment="1">
      <alignment vertical="top" wrapText="1"/>
    </xf>
    <xf numFmtId="3" fontId="2" fillId="0" borderId="0" xfId="0" applyNumberFormat="1" applyFont="1" applyFill="1" applyBorder="1" applyAlignment="1">
      <alignment horizontal="center" vertical="center" textRotation="90" wrapText="1"/>
    </xf>
    <xf numFmtId="49" fontId="2" fillId="0" borderId="62" xfId="0" applyNumberFormat="1" applyFont="1" applyBorder="1" applyAlignment="1">
      <alignment horizontal="center" vertical="top"/>
    </xf>
    <xf numFmtId="3" fontId="5" fillId="0" borderId="16" xfId="0" applyNumberFormat="1" applyFont="1" applyFill="1" applyBorder="1" applyAlignment="1">
      <alignment horizontal="center" vertical="center" textRotation="90"/>
    </xf>
    <xf numFmtId="3" fontId="1" fillId="0" borderId="26" xfId="0" applyNumberFormat="1" applyFont="1" applyBorder="1" applyAlignment="1">
      <alignment vertical="top" wrapText="1"/>
    </xf>
    <xf numFmtId="3" fontId="2" fillId="4" borderId="43" xfId="0" applyNumberFormat="1" applyFont="1" applyFill="1" applyBorder="1" applyAlignment="1">
      <alignment horizontal="center" vertical="top"/>
    </xf>
    <xf numFmtId="3" fontId="2" fillId="5" borderId="30" xfId="0" applyNumberFormat="1" applyFont="1" applyFill="1" applyBorder="1" applyAlignment="1">
      <alignment vertical="top"/>
    </xf>
    <xf numFmtId="3" fontId="2" fillId="0" borderId="39" xfId="0" applyNumberFormat="1" applyFont="1" applyFill="1" applyBorder="1" applyAlignment="1">
      <alignment vertical="top"/>
    </xf>
    <xf numFmtId="3" fontId="2" fillId="0" borderId="49" xfId="0" applyNumberFormat="1" applyFont="1" applyFill="1" applyBorder="1" applyAlignment="1">
      <alignment horizontal="center" vertical="top"/>
    </xf>
    <xf numFmtId="49" fontId="2" fillId="3" borderId="36" xfId="0" applyNumberFormat="1" applyFont="1" applyFill="1" applyBorder="1" applyAlignment="1">
      <alignment horizontal="center" vertical="top" wrapText="1"/>
    </xf>
    <xf numFmtId="49" fontId="2" fillId="0" borderId="44" xfId="0" applyNumberFormat="1" applyFont="1" applyBorder="1" applyAlignment="1">
      <alignment vertical="top" textRotation="90"/>
    </xf>
    <xf numFmtId="3" fontId="2" fillId="0" borderId="31" xfId="0" applyNumberFormat="1" applyFont="1" applyBorder="1" applyAlignment="1">
      <alignment horizontal="center" vertical="top"/>
    </xf>
    <xf numFmtId="3" fontId="2" fillId="0" borderId="49" xfId="0" applyNumberFormat="1" applyFont="1" applyBorder="1" applyAlignment="1">
      <alignment horizontal="center" vertical="top"/>
    </xf>
    <xf numFmtId="3" fontId="5" fillId="0" borderId="0" xfId="0" applyNumberFormat="1" applyFont="1" applyFill="1" applyBorder="1" applyAlignment="1">
      <alignment horizontal="center" vertical="top" textRotation="90"/>
    </xf>
    <xf numFmtId="3" fontId="2" fillId="0" borderId="37" xfId="0" applyNumberFormat="1" applyFont="1" applyBorder="1" applyAlignment="1">
      <alignment horizontal="center" vertical="top"/>
    </xf>
    <xf numFmtId="3" fontId="2" fillId="0" borderId="12" xfId="0" applyNumberFormat="1" applyFont="1" applyBorder="1" applyAlignment="1">
      <alignment horizontal="center" vertical="top"/>
    </xf>
    <xf numFmtId="3" fontId="2" fillId="5" borderId="17" xfId="0" applyNumberFormat="1" applyFont="1" applyFill="1" applyBorder="1" applyAlignment="1">
      <alignment horizontal="center" vertical="top"/>
    </xf>
    <xf numFmtId="3" fontId="2" fillId="0" borderId="17" xfId="0" applyNumberFormat="1" applyFont="1" applyBorder="1" applyAlignment="1">
      <alignment horizontal="center" vertical="top"/>
    </xf>
    <xf numFmtId="0" fontId="1" fillId="5" borderId="0" xfId="0" applyFont="1" applyFill="1" applyBorder="1"/>
    <xf numFmtId="0" fontId="2" fillId="5" borderId="0" xfId="0" applyFont="1" applyFill="1" applyBorder="1"/>
    <xf numFmtId="3" fontId="2" fillId="5" borderId="34" xfId="0" applyNumberFormat="1" applyFont="1" applyFill="1" applyBorder="1" applyAlignment="1">
      <alignment horizontal="center" vertical="top" wrapText="1"/>
    </xf>
    <xf numFmtId="164" fontId="1" fillId="5" borderId="22" xfId="0" applyNumberFormat="1" applyFont="1" applyFill="1" applyBorder="1" applyAlignment="1">
      <alignment horizontal="center" vertical="top"/>
    </xf>
    <xf numFmtId="164" fontId="1" fillId="4" borderId="50" xfId="0" applyNumberFormat="1" applyFont="1" applyFill="1" applyBorder="1" applyAlignment="1">
      <alignment horizontal="center" vertical="top"/>
    </xf>
    <xf numFmtId="164" fontId="2" fillId="4" borderId="50" xfId="0" applyNumberFormat="1" applyFont="1" applyFill="1" applyBorder="1" applyAlignment="1">
      <alignment horizontal="center" vertical="top" wrapText="1"/>
    </xf>
    <xf numFmtId="3" fontId="2" fillId="0" borderId="39" xfId="0" applyNumberFormat="1" applyFont="1" applyBorder="1" applyAlignment="1">
      <alignment horizontal="center" vertical="top"/>
    </xf>
    <xf numFmtId="3" fontId="5" fillId="0" borderId="16" xfId="0" applyNumberFormat="1" applyFont="1" applyFill="1" applyBorder="1" applyAlignment="1">
      <alignment horizontal="center" vertical="top" textRotation="90" wrapText="1"/>
    </xf>
    <xf numFmtId="164" fontId="1" fillId="0" borderId="12" xfId="0" applyNumberFormat="1" applyFont="1" applyBorder="1" applyAlignment="1">
      <alignment horizontal="center" vertical="top"/>
    </xf>
    <xf numFmtId="164" fontId="1" fillId="0" borderId="43" xfId="0" applyNumberFormat="1" applyFont="1" applyBorder="1" applyAlignment="1">
      <alignment horizontal="center" vertical="top"/>
    </xf>
    <xf numFmtId="164" fontId="2" fillId="4" borderId="52"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5" fillId="0" borderId="48" xfId="0" applyNumberFormat="1" applyFont="1" applyFill="1" applyBorder="1" applyAlignment="1">
      <alignment horizontal="center" vertical="center" textRotation="90" wrapText="1"/>
    </xf>
    <xf numFmtId="49" fontId="2" fillId="0" borderId="36" xfId="0" applyNumberFormat="1" applyFont="1" applyBorder="1" applyAlignment="1">
      <alignment horizontal="center" vertical="top"/>
    </xf>
    <xf numFmtId="3" fontId="1" fillId="0" borderId="22" xfId="0" applyNumberFormat="1" applyFont="1" applyFill="1" applyBorder="1" applyAlignment="1">
      <alignment horizontal="left" vertical="top" wrapText="1"/>
    </xf>
    <xf numFmtId="3" fontId="1" fillId="0" borderId="22" xfId="0" applyNumberFormat="1" applyFont="1" applyBorder="1" applyAlignment="1">
      <alignment vertical="top" wrapText="1"/>
    </xf>
    <xf numFmtId="3" fontId="1" fillId="0" borderId="34" xfId="0" applyNumberFormat="1" applyFont="1" applyBorder="1" applyAlignment="1">
      <alignment vertical="top" wrapText="1"/>
    </xf>
    <xf numFmtId="3" fontId="1" fillId="5" borderId="46" xfId="0" applyNumberFormat="1" applyFont="1" applyFill="1" applyBorder="1" applyAlignment="1">
      <alignment vertical="top" wrapText="1"/>
    </xf>
    <xf numFmtId="3" fontId="1" fillId="5" borderId="12" xfId="0" applyNumberFormat="1" applyFont="1" applyFill="1" applyBorder="1" applyAlignment="1">
      <alignment vertical="top" wrapText="1"/>
    </xf>
    <xf numFmtId="164" fontId="2" fillId="2" borderId="35" xfId="0" applyNumberFormat="1" applyFont="1" applyFill="1" applyBorder="1" applyAlignment="1">
      <alignment horizontal="center" vertical="top"/>
    </xf>
    <xf numFmtId="3" fontId="5" fillId="0" borderId="55" xfId="0" applyNumberFormat="1" applyFont="1" applyFill="1" applyBorder="1" applyAlignment="1">
      <alignment vertical="top" textRotation="90" wrapText="1"/>
    </xf>
    <xf numFmtId="49" fontId="1" fillId="3" borderId="56" xfId="0" applyNumberFormat="1" applyFont="1" applyFill="1" applyBorder="1" applyAlignment="1">
      <alignment horizontal="center" vertical="top"/>
    </xf>
    <xf numFmtId="3" fontId="5" fillId="0" borderId="4" xfId="0" applyNumberFormat="1" applyFont="1" applyFill="1" applyBorder="1" applyAlignment="1">
      <alignment horizontal="center" vertical="top" textRotation="90"/>
    </xf>
    <xf numFmtId="3" fontId="5" fillId="0" borderId="16" xfId="0" applyNumberFormat="1" applyFont="1" applyFill="1" applyBorder="1" applyAlignment="1">
      <alignment horizontal="center" vertical="top" textRotation="90"/>
    </xf>
    <xf numFmtId="3" fontId="2" fillId="5" borderId="44" xfId="0" applyNumberFormat="1" applyFont="1" applyFill="1" applyBorder="1" applyAlignment="1">
      <alignment vertical="top"/>
    </xf>
    <xf numFmtId="3" fontId="1" fillId="5" borderId="34" xfId="0" applyNumberFormat="1" applyFont="1" applyFill="1" applyBorder="1" applyAlignment="1">
      <alignment horizontal="center" vertical="top"/>
    </xf>
    <xf numFmtId="3" fontId="1" fillId="5" borderId="34" xfId="0" applyNumberFormat="1" applyFont="1" applyFill="1" applyBorder="1" applyAlignment="1">
      <alignment horizontal="center" vertical="top" wrapText="1"/>
    </xf>
    <xf numFmtId="3" fontId="2" fillId="5" borderId="12" xfId="0" applyNumberFormat="1" applyFont="1" applyFill="1" applyBorder="1" applyAlignment="1">
      <alignment vertical="top" wrapText="1"/>
    </xf>
    <xf numFmtId="3" fontId="2" fillId="5" borderId="52" xfId="0" applyNumberFormat="1" applyFont="1" applyFill="1" applyBorder="1" applyAlignment="1">
      <alignment horizontal="center" vertical="top" wrapText="1"/>
    </xf>
    <xf numFmtId="3" fontId="1" fillId="0" borderId="7" xfId="0" applyNumberFormat="1" applyFont="1" applyFill="1" applyBorder="1" applyAlignment="1">
      <alignment horizontal="left" vertical="top" wrapText="1"/>
    </xf>
    <xf numFmtId="3" fontId="1" fillId="5" borderId="22" xfId="0" applyNumberFormat="1" applyFont="1" applyFill="1" applyBorder="1" applyAlignment="1">
      <alignment vertical="top" wrapText="1"/>
    </xf>
    <xf numFmtId="3" fontId="1" fillId="0" borderId="53" xfId="0" applyNumberFormat="1" applyFont="1" applyFill="1" applyBorder="1" applyAlignment="1">
      <alignment horizontal="left" vertical="top" wrapText="1"/>
    </xf>
    <xf numFmtId="3" fontId="1" fillId="0" borderId="22" xfId="0" applyNumberFormat="1" applyFont="1" applyBorder="1"/>
    <xf numFmtId="164" fontId="1" fillId="0" borderId="12" xfId="0" applyNumberFormat="1" applyFont="1" applyFill="1" applyBorder="1" applyAlignment="1">
      <alignment horizontal="center" vertical="top"/>
    </xf>
    <xf numFmtId="3" fontId="1" fillId="5" borderId="28" xfId="0" applyNumberFormat="1" applyFont="1" applyFill="1" applyBorder="1" applyAlignment="1">
      <alignment horizontal="center" vertical="top" wrapText="1"/>
    </xf>
    <xf numFmtId="3" fontId="1" fillId="5" borderId="22"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xf>
    <xf numFmtId="3" fontId="1" fillId="0" borderId="12" xfId="0" applyNumberFormat="1" applyFont="1" applyBorder="1"/>
    <xf numFmtId="3" fontId="1" fillId="0" borderId="0" xfId="0" applyNumberFormat="1" applyFont="1" applyAlignment="1">
      <alignment horizontal="left"/>
    </xf>
    <xf numFmtId="49" fontId="2" fillId="9" borderId="35" xfId="0" applyNumberFormat="1" applyFont="1" applyFill="1" applyBorder="1" applyAlignment="1">
      <alignment horizontal="center" vertical="top"/>
    </xf>
    <xf numFmtId="49" fontId="2" fillId="2" borderId="61" xfId="0" applyNumberFormat="1" applyFont="1" applyFill="1" applyBorder="1" applyAlignment="1">
      <alignment horizontal="center" vertical="top"/>
    </xf>
    <xf numFmtId="164" fontId="11" fillId="0" borderId="71" xfId="0" applyNumberFormat="1" applyFont="1" applyBorder="1" applyAlignment="1">
      <alignment horizontal="center" vertical="center" textRotation="90" wrapText="1"/>
    </xf>
    <xf numFmtId="3" fontId="2" fillId="5" borderId="46" xfId="0" applyNumberFormat="1" applyFont="1" applyFill="1" applyBorder="1" applyAlignment="1">
      <alignment vertical="top" wrapText="1"/>
    </xf>
    <xf numFmtId="3" fontId="2" fillId="5" borderId="13" xfId="0" applyNumberFormat="1" applyFont="1" applyFill="1" applyBorder="1" applyAlignment="1">
      <alignment vertical="top"/>
    </xf>
    <xf numFmtId="3" fontId="5" fillId="5" borderId="11" xfId="0" applyNumberFormat="1" applyFont="1" applyFill="1" applyBorder="1" applyAlignment="1">
      <alignment vertical="center" textRotation="90"/>
    </xf>
    <xf numFmtId="3" fontId="2" fillId="5" borderId="44" xfId="0" applyNumberFormat="1" applyFont="1" applyFill="1" applyBorder="1" applyAlignment="1">
      <alignment vertical="center" textRotation="90"/>
    </xf>
    <xf numFmtId="3" fontId="5" fillId="5" borderId="66" xfId="0" applyNumberFormat="1" applyFont="1" applyFill="1" applyBorder="1" applyAlignment="1">
      <alignment vertical="center" textRotation="90"/>
    </xf>
    <xf numFmtId="3" fontId="2" fillId="5" borderId="44" xfId="0" applyNumberFormat="1" applyFont="1" applyFill="1" applyBorder="1" applyAlignment="1">
      <alignment horizontal="center" vertical="center" textRotation="90"/>
    </xf>
    <xf numFmtId="3" fontId="2" fillId="5" borderId="0" xfId="0" applyNumberFormat="1" applyFont="1" applyFill="1" applyBorder="1" applyAlignment="1">
      <alignment horizontal="center" vertical="center" textRotation="90"/>
    </xf>
    <xf numFmtId="164" fontId="1" fillId="5" borderId="52" xfId="0" applyNumberFormat="1" applyFont="1" applyFill="1" applyBorder="1" applyAlignment="1">
      <alignment horizontal="center" vertical="top"/>
    </xf>
    <xf numFmtId="164" fontId="2" fillId="4" borderId="32" xfId="0" applyNumberFormat="1" applyFont="1" applyFill="1" applyBorder="1" applyAlignment="1">
      <alignment horizontal="center" vertical="top"/>
    </xf>
    <xf numFmtId="164" fontId="2" fillId="4" borderId="32" xfId="0" applyNumberFormat="1" applyFont="1" applyFill="1" applyBorder="1" applyAlignment="1">
      <alignment horizontal="center" vertical="top" wrapText="1"/>
    </xf>
    <xf numFmtId="164" fontId="1" fillId="3" borderId="28" xfId="0" applyNumberFormat="1" applyFont="1" applyFill="1" applyBorder="1" applyAlignment="1">
      <alignment horizontal="center" vertical="top"/>
    </xf>
    <xf numFmtId="164" fontId="1" fillId="5" borderId="34" xfId="0" applyNumberFormat="1" applyFont="1" applyFill="1" applyBorder="1" applyAlignment="1">
      <alignment horizontal="center" vertical="top" wrapText="1"/>
    </xf>
    <xf numFmtId="164" fontId="1" fillId="5" borderId="28" xfId="0" applyNumberFormat="1" applyFont="1" applyFill="1" applyBorder="1" applyAlignment="1">
      <alignment horizontal="center" vertical="top" wrapText="1"/>
    </xf>
    <xf numFmtId="164" fontId="2" fillId="4" borderId="26" xfId="0" applyNumberFormat="1" applyFont="1" applyFill="1" applyBorder="1" applyAlignment="1">
      <alignment horizontal="center" vertical="top"/>
    </xf>
    <xf numFmtId="164" fontId="1" fillId="5" borderId="26" xfId="0" applyNumberFormat="1" applyFont="1" applyFill="1" applyBorder="1" applyAlignment="1">
      <alignment horizontal="center" vertical="top" wrapText="1"/>
    </xf>
    <xf numFmtId="164" fontId="1" fillId="5" borderId="53" xfId="0" applyNumberFormat="1" applyFont="1" applyFill="1" applyBorder="1" applyAlignment="1">
      <alignment horizontal="center" vertical="top" wrapText="1"/>
    </xf>
    <xf numFmtId="0" fontId="1" fillId="5" borderId="34" xfId="0" applyFont="1" applyFill="1" applyBorder="1" applyAlignment="1">
      <alignment horizontal="center" vertical="top"/>
    </xf>
    <xf numFmtId="164" fontId="1" fillId="3" borderId="29" xfId="0" applyNumberFormat="1" applyFont="1" applyFill="1" applyBorder="1" applyAlignment="1">
      <alignment horizontal="center" vertical="top" wrapText="1"/>
    </xf>
    <xf numFmtId="164" fontId="2" fillId="2" borderId="19" xfId="0" applyNumberFormat="1" applyFont="1" applyFill="1" applyBorder="1" applyAlignment="1">
      <alignment horizontal="center" vertical="top"/>
    </xf>
    <xf numFmtId="3" fontId="1" fillId="0" borderId="38" xfId="0" applyNumberFormat="1" applyFont="1" applyBorder="1" applyAlignment="1">
      <alignment horizontal="center" vertical="center" textRotation="90"/>
    </xf>
    <xf numFmtId="3" fontId="1" fillId="5" borderId="38" xfId="0" applyNumberFormat="1" applyFont="1" applyFill="1" applyBorder="1" applyAlignment="1">
      <alignment horizontal="center" vertical="top" wrapText="1"/>
    </xf>
    <xf numFmtId="3" fontId="1" fillId="5" borderId="36" xfId="0" applyNumberFormat="1" applyFont="1" applyFill="1" applyBorder="1" applyAlignment="1">
      <alignment horizontal="center" vertical="top" wrapText="1"/>
    </xf>
    <xf numFmtId="3" fontId="1" fillId="0" borderId="36" xfId="0" applyNumberFormat="1" applyFont="1" applyBorder="1" applyAlignment="1">
      <alignment horizontal="center" vertical="top"/>
    </xf>
    <xf numFmtId="164" fontId="2" fillId="4" borderId="35"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4" borderId="10" xfId="0" applyNumberFormat="1" applyFont="1" applyFill="1" applyBorder="1" applyAlignment="1">
      <alignment horizontal="center" vertical="top"/>
    </xf>
    <xf numFmtId="3" fontId="1" fillId="0" borderId="50" xfId="0" applyNumberFormat="1" applyFont="1" applyBorder="1"/>
    <xf numFmtId="164" fontId="1" fillId="5" borderId="23" xfId="0" applyNumberFormat="1" applyFont="1" applyFill="1" applyBorder="1" applyAlignment="1">
      <alignment horizontal="center" vertical="top" wrapText="1"/>
    </xf>
    <xf numFmtId="49" fontId="2" fillId="2" borderId="42" xfId="0" applyNumberFormat="1" applyFont="1" applyFill="1" applyBorder="1" applyAlignment="1">
      <alignment horizontal="center" vertical="top" wrapText="1"/>
    </xf>
    <xf numFmtId="3" fontId="2" fillId="5" borderId="26"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center" textRotation="90" wrapText="1"/>
    </xf>
    <xf numFmtId="49" fontId="1" fillId="3" borderId="57" xfId="0" applyNumberFormat="1" applyFont="1" applyFill="1" applyBorder="1" applyAlignment="1">
      <alignment horizontal="center" vertical="top" wrapText="1"/>
    </xf>
    <xf numFmtId="3" fontId="2" fillId="5" borderId="43" xfId="0" applyNumberFormat="1" applyFont="1" applyFill="1" applyBorder="1" applyAlignment="1">
      <alignment horizontal="left" vertical="top" wrapText="1"/>
    </xf>
    <xf numFmtId="3" fontId="2" fillId="5" borderId="53" xfId="0" applyNumberFormat="1" applyFont="1" applyFill="1" applyBorder="1" applyAlignment="1">
      <alignment horizontal="center" vertical="top" wrapText="1"/>
    </xf>
    <xf numFmtId="3" fontId="2" fillId="5" borderId="57" xfId="0" applyNumberFormat="1" applyFont="1" applyFill="1" applyBorder="1" applyAlignment="1">
      <alignment horizontal="center" vertical="top" wrapText="1"/>
    </xf>
    <xf numFmtId="0" fontId="1" fillId="0" borderId="12" xfId="0" applyFont="1" applyBorder="1" applyAlignment="1">
      <alignment vertical="top"/>
    </xf>
    <xf numFmtId="49" fontId="1" fillId="0" borderId="28" xfId="0" applyNumberFormat="1" applyFont="1" applyBorder="1" applyAlignment="1">
      <alignment horizontal="center" vertical="top" wrapText="1"/>
    </xf>
    <xf numFmtId="49" fontId="1" fillId="0" borderId="26" xfId="0" applyNumberFormat="1" applyFont="1" applyBorder="1" applyAlignment="1">
      <alignment horizontal="center" vertical="top" wrapText="1"/>
    </xf>
    <xf numFmtId="3" fontId="1" fillId="5" borderId="53" xfId="0" applyNumberFormat="1" applyFont="1" applyFill="1" applyBorder="1" applyAlignment="1">
      <alignment horizontal="center" vertical="top" wrapText="1"/>
    </xf>
    <xf numFmtId="3" fontId="1" fillId="5" borderId="26"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xf>
    <xf numFmtId="164" fontId="1" fillId="5" borderId="55" xfId="0" applyNumberFormat="1" applyFont="1" applyFill="1" applyBorder="1" applyAlignment="1">
      <alignment horizontal="center" vertical="top"/>
    </xf>
    <xf numFmtId="164" fontId="1" fillId="5" borderId="48" xfId="0" applyNumberFormat="1" applyFont="1" applyFill="1" applyBorder="1" applyAlignment="1">
      <alignment horizontal="center" vertical="top"/>
    </xf>
    <xf numFmtId="3" fontId="1" fillId="0" borderId="34" xfId="0" applyNumberFormat="1" applyFont="1" applyBorder="1" applyAlignment="1">
      <alignment horizontal="center" vertical="top" wrapText="1"/>
    </xf>
    <xf numFmtId="49" fontId="2" fillId="7" borderId="19" xfId="0" applyNumberFormat="1" applyFont="1" applyFill="1" applyBorder="1" applyAlignment="1">
      <alignment horizontal="left" vertical="top"/>
    </xf>
    <xf numFmtId="3" fontId="2" fillId="7" borderId="42" xfId="0" applyNumberFormat="1" applyFont="1" applyFill="1" applyBorder="1" applyAlignment="1">
      <alignment horizontal="left" vertical="top"/>
    </xf>
    <xf numFmtId="3" fontId="2" fillId="7" borderId="20" xfId="0" applyNumberFormat="1" applyFont="1" applyFill="1" applyBorder="1" applyAlignment="1">
      <alignment horizontal="left" vertical="top"/>
    </xf>
    <xf numFmtId="164" fontId="1" fillId="5" borderId="10" xfId="0" applyNumberFormat="1" applyFont="1" applyFill="1" applyBorder="1" applyAlignment="1">
      <alignment horizontal="center" vertical="top"/>
    </xf>
    <xf numFmtId="3" fontId="1" fillId="5" borderId="14" xfId="0" applyNumberFormat="1" applyFont="1" applyFill="1" applyBorder="1" applyAlignment="1">
      <alignment horizontal="left" vertical="top" wrapText="1"/>
    </xf>
    <xf numFmtId="0" fontId="1" fillId="5" borderId="14" xfId="0" applyNumberFormat="1" applyFont="1" applyFill="1" applyBorder="1" applyAlignment="1">
      <alignment vertical="top" wrapText="1"/>
    </xf>
    <xf numFmtId="164" fontId="1" fillId="5" borderId="0" xfId="0" applyNumberFormat="1" applyFont="1" applyFill="1" applyBorder="1" applyAlignment="1">
      <alignment horizontal="center"/>
    </xf>
    <xf numFmtId="0" fontId="1" fillId="5" borderId="0" xfId="0" applyFont="1" applyFill="1" applyBorder="1" applyAlignment="1">
      <alignment horizontal="center"/>
    </xf>
    <xf numFmtId="164" fontId="2" fillId="5" borderId="0" xfId="0" applyNumberFormat="1" applyFont="1" applyFill="1" applyBorder="1" applyAlignment="1">
      <alignment horizontal="center"/>
    </xf>
    <xf numFmtId="164" fontId="2" fillId="4" borderId="33" xfId="0" applyNumberFormat="1" applyFont="1" applyFill="1" applyBorder="1" applyAlignment="1">
      <alignment horizontal="center" vertical="top"/>
    </xf>
    <xf numFmtId="164" fontId="2" fillId="2" borderId="21" xfId="0" applyNumberFormat="1" applyFont="1" applyFill="1" applyBorder="1" applyAlignment="1">
      <alignment horizontal="center" vertical="top"/>
    </xf>
    <xf numFmtId="164" fontId="2" fillId="9" borderId="20" xfId="0" applyNumberFormat="1" applyFont="1" applyFill="1" applyBorder="1" applyAlignment="1">
      <alignment horizontal="center" vertical="top"/>
    </xf>
    <xf numFmtId="164" fontId="2" fillId="7" borderId="1" xfId="0" applyNumberFormat="1" applyFont="1" applyFill="1" applyBorder="1" applyAlignment="1">
      <alignment horizontal="center" vertical="top"/>
    </xf>
    <xf numFmtId="164" fontId="1" fillId="5" borderId="3" xfId="0" applyNumberFormat="1" applyFont="1" applyFill="1" applyBorder="1" applyAlignment="1">
      <alignment horizontal="center" vertical="top"/>
    </xf>
    <xf numFmtId="164" fontId="2" fillId="4" borderId="61" xfId="0" applyNumberFormat="1" applyFont="1" applyFill="1" applyBorder="1" applyAlignment="1">
      <alignment horizontal="center" vertical="top"/>
    </xf>
    <xf numFmtId="164" fontId="2" fillId="2" borderId="51" xfId="0" applyNumberFormat="1" applyFont="1" applyFill="1" applyBorder="1" applyAlignment="1">
      <alignment horizontal="center" vertical="top"/>
    </xf>
    <xf numFmtId="164" fontId="2" fillId="9" borderId="51" xfId="0" applyNumberFormat="1" applyFont="1" applyFill="1" applyBorder="1" applyAlignment="1">
      <alignment horizontal="center" vertical="top"/>
    </xf>
    <xf numFmtId="164" fontId="2" fillId="7" borderId="16" xfId="0" applyNumberFormat="1" applyFont="1" applyFill="1" applyBorder="1" applyAlignment="1">
      <alignment horizontal="center" vertical="top"/>
    </xf>
    <xf numFmtId="164" fontId="11" fillId="0" borderId="8" xfId="0" applyNumberFormat="1" applyFont="1" applyBorder="1" applyAlignment="1">
      <alignment horizontal="center" vertical="center" textRotation="90" wrapText="1"/>
    </xf>
    <xf numFmtId="164" fontId="2" fillId="7" borderId="15" xfId="0" applyNumberFormat="1" applyFont="1" applyFill="1" applyBorder="1" applyAlignment="1">
      <alignment horizontal="center" vertical="top" wrapText="1"/>
    </xf>
    <xf numFmtId="164" fontId="2" fillId="4" borderId="24" xfId="0" applyNumberFormat="1" applyFont="1" applyFill="1" applyBorder="1" applyAlignment="1">
      <alignment horizontal="center" vertical="top" wrapText="1"/>
    </xf>
    <xf numFmtId="164" fontId="1" fillId="5" borderId="24" xfId="0" applyNumberFormat="1" applyFont="1" applyFill="1" applyBorder="1" applyAlignment="1">
      <alignment horizontal="center" vertical="top"/>
    </xf>
    <xf numFmtId="164" fontId="1" fillId="0" borderId="24" xfId="0" applyNumberFormat="1" applyFont="1" applyBorder="1" applyAlignment="1">
      <alignment horizontal="center" vertical="top"/>
    </xf>
    <xf numFmtId="164" fontId="1" fillId="4" borderId="24" xfId="0" applyNumberFormat="1" applyFont="1" applyFill="1" applyBorder="1" applyAlignment="1">
      <alignment horizontal="center" vertical="top"/>
    </xf>
    <xf numFmtId="164" fontId="2" fillId="7" borderId="15" xfId="0" applyNumberFormat="1" applyFont="1" applyFill="1" applyBorder="1" applyAlignment="1">
      <alignment horizontal="center" vertical="top"/>
    </xf>
    <xf numFmtId="164" fontId="1" fillId="0" borderId="45" xfId="0" applyNumberFormat="1" applyFont="1" applyBorder="1" applyAlignment="1">
      <alignment horizontal="center" vertical="top"/>
    </xf>
    <xf numFmtId="164" fontId="1" fillId="0" borderId="15" xfId="0" applyNumberFormat="1" applyFont="1" applyBorder="1" applyAlignment="1">
      <alignment horizontal="center" vertical="top"/>
    </xf>
    <xf numFmtId="164" fontId="11" fillId="0" borderId="6" xfId="0" applyNumberFormat="1" applyFont="1" applyBorder="1" applyAlignment="1">
      <alignment horizontal="center" vertical="center" textRotation="90" wrapText="1"/>
    </xf>
    <xf numFmtId="164" fontId="2" fillId="7" borderId="53" xfId="0" applyNumberFormat="1" applyFont="1" applyFill="1" applyBorder="1" applyAlignment="1">
      <alignment horizontal="center" vertical="top" wrapText="1"/>
    </xf>
    <xf numFmtId="164" fontId="2" fillId="4" borderId="22" xfId="0" applyNumberFormat="1" applyFont="1" applyFill="1" applyBorder="1" applyAlignment="1">
      <alignment horizontal="center" vertical="top" wrapText="1"/>
    </xf>
    <xf numFmtId="164" fontId="1" fillId="0" borderId="22" xfId="0" applyNumberFormat="1" applyFont="1" applyBorder="1" applyAlignment="1">
      <alignment horizontal="center" vertical="top"/>
    </xf>
    <xf numFmtId="164" fontId="1" fillId="4" borderId="22" xfId="0" applyNumberFormat="1" applyFont="1" applyFill="1" applyBorder="1" applyAlignment="1">
      <alignment horizontal="center" vertical="top"/>
    </xf>
    <xf numFmtId="164" fontId="2" fillId="7" borderId="53" xfId="0" applyNumberFormat="1" applyFont="1" applyFill="1" applyBorder="1" applyAlignment="1">
      <alignment horizontal="center" vertical="top"/>
    </xf>
    <xf numFmtId="164" fontId="1" fillId="0" borderId="26" xfId="0" applyNumberFormat="1" applyFont="1" applyBorder="1" applyAlignment="1">
      <alignment horizontal="center" vertical="top"/>
    </xf>
    <xf numFmtId="164" fontId="1" fillId="0" borderId="53" xfId="0" applyNumberFormat="1" applyFont="1" applyBorder="1" applyAlignment="1">
      <alignment horizontal="center" vertical="top"/>
    </xf>
    <xf numFmtId="164" fontId="2" fillId="7" borderId="10" xfId="0" applyNumberFormat="1" applyFont="1" applyFill="1" applyBorder="1" applyAlignment="1">
      <alignment horizontal="center" vertical="top" wrapText="1"/>
    </xf>
    <xf numFmtId="164" fontId="2" fillId="4" borderId="55" xfId="0" applyNumberFormat="1" applyFont="1" applyFill="1" applyBorder="1" applyAlignment="1">
      <alignment horizontal="center" vertical="top" wrapText="1"/>
    </xf>
    <xf numFmtId="164" fontId="1" fillId="0" borderId="55" xfId="0" applyNumberFormat="1" applyFont="1" applyBorder="1" applyAlignment="1">
      <alignment horizontal="center" vertical="top"/>
    </xf>
    <xf numFmtId="164" fontId="1" fillId="4" borderId="55" xfId="0" applyNumberFormat="1" applyFont="1" applyFill="1" applyBorder="1" applyAlignment="1">
      <alignment horizontal="center" vertical="top"/>
    </xf>
    <xf numFmtId="164" fontId="2" fillId="7" borderId="10" xfId="0" applyNumberFormat="1" applyFont="1" applyFill="1" applyBorder="1" applyAlignment="1">
      <alignment horizontal="center" vertical="top"/>
    </xf>
    <xf numFmtId="164" fontId="1" fillId="0" borderId="11" xfId="0" applyNumberFormat="1" applyFont="1" applyBorder="1" applyAlignment="1">
      <alignment horizontal="center" vertical="top"/>
    </xf>
    <xf numFmtId="164" fontId="1" fillId="0" borderId="10" xfId="0" applyNumberFormat="1" applyFont="1" applyBorder="1" applyAlignment="1">
      <alignment horizontal="center" vertical="top"/>
    </xf>
    <xf numFmtId="164" fontId="11" fillId="0" borderId="3" xfId="0" applyNumberFormat="1" applyFont="1" applyBorder="1" applyAlignment="1">
      <alignment horizontal="center" vertical="center" textRotation="90" wrapText="1"/>
    </xf>
    <xf numFmtId="164" fontId="1" fillId="5" borderId="22" xfId="0" applyNumberFormat="1" applyFont="1" applyFill="1" applyBorder="1" applyAlignment="1">
      <alignment horizontal="center" vertical="top" wrapText="1"/>
    </xf>
    <xf numFmtId="164" fontId="1" fillId="5" borderId="23" xfId="0" applyNumberFormat="1" applyFont="1" applyFill="1" applyBorder="1" applyAlignment="1">
      <alignment horizontal="center" vertical="top"/>
    </xf>
    <xf numFmtId="164" fontId="2" fillId="4" borderId="14" xfId="0" applyNumberFormat="1" applyFont="1" applyFill="1" applyBorder="1" applyAlignment="1">
      <alignment horizontal="center" vertical="top" wrapText="1"/>
    </xf>
    <xf numFmtId="164" fontId="1" fillId="5" borderId="40" xfId="0" applyNumberFormat="1" applyFont="1" applyFill="1" applyBorder="1" applyAlignment="1">
      <alignment horizontal="center" vertical="top" wrapText="1"/>
    </xf>
    <xf numFmtId="164" fontId="1" fillId="5" borderId="24" xfId="0" applyNumberFormat="1" applyFont="1" applyFill="1" applyBorder="1" applyAlignment="1">
      <alignment horizontal="center" vertical="top" wrapText="1"/>
    </xf>
    <xf numFmtId="164" fontId="1" fillId="5" borderId="15" xfId="0" applyNumberFormat="1" applyFont="1" applyFill="1" applyBorder="1" applyAlignment="1">
      <alignment horizontal="center" vertical="top" wrapText="1"/>
    </xf>
    <xf numFmtId="164" fontId="1" fillId="5" borderId="54" xfId="0" applyNumberFormat="1" applyFont="1" applyFill="1" applyBorder="1" applyAlignment="1">
      <alignment horizontal="center" vertical="top"/>
    </xf>
    <xf numFmtId="164" fontId="2" fillId="4" borderId="33" xfId="0" applyNumberFormat="1" applyFont="1" applyFill="1" applyBorder="1" applyAlignment="1">
      <alignment horizontal="center" vertical="top" wrapText="1"/>
    </xf>
    <xf numFmtId="164" fontId="2" fillId="4" borderId="53" xfId="0" applyNumberFormat="1" applyFont="1" applyFill="1" applyBorder="1" applyAlignment="1">
      <alignment horizontal="center" vertical="top"/>
    </xf>
    <xf numFmtId="164" fontId="2" fillId="4" borderId="15" xfId="0" applyNumberFormat="1" applyFont="1" applyFill="1" applyBorder="1" applyAlignment="1">
      <alignment horizontal="center" vertical="top"/>
    </xf>
    <xf numFmtId="164" fontId="2" fillId="4" borderId="53"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xf>
    <xf numFmtId="164" fontId="1" fillId="5" borderId="4" xfId="0" applyNumberFormat="1" applyFont="1" applyFill="1" applyBorder="1" applyAlignment="1">
      <alignment horizontal="center" vertical="top" wrapText="1"/>
    </xf>
    <xf numFmtId="164" fontId="1" fillId="5" borderId="55" xfId="0" applyNumberFormat="1" applyFont="1" applyFill="1" applyBorder="1" applyAlignment="1">
      <alignment horizontal="center" vertical="top" wrapText="1"/>
    </xf>
    <xf numFmtId="164" fontId="2" fillId="4" borderId="61" xfId="0" applyNumberFormat="1" applyFont="1" applyFill="1" applyBorder="1" applyAlignment="1">
      <alignment horizontal="center" vertical="top" wrapText="1"/>
    </xf>
    <xf numFmtId="164" fontId="1" fillId="5" borderId="10"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164" fontId="1" fillId="5" borderId="45" xfId="0" applyNumberFormat="1" applyFont="1" applyFill="1" applyBorder="1" applyAlignment="1">
      <alignment horizontal="center" vertical="top" wrapText="1"/>
    </xf>
    <xf numFmtId="164" fontId="1" fillId="5" borderId="63" xfId="0" applyNumberFormat="1" applyFont="1" applyFill="1" applyBorder="1" applyAlignment="1">
      <alignment horizontal="center" vertical="top"/>
    </xf>
    <xf numFmtId="164" fontId="1" fillId="5" borderId="36" xfId="0" applyNumberFormat="1" applyFont="1" applyFill="1" applyBorder="1" applyAlignment="1">
      <alignment horizontal="center" vertical="top"/>
    </xf>
    <xf numFmtId="164" fontId="1" fillId="5" borderId="62" xfId="0" applyNumberFormat="1" applyFont="1" applyFill="1" applyBorder="1" applyAlignment="1">
      <alignment horizontal="center" vertical="top"/>
    </xf>
    <xf numFmtId="0" fontId="1" fillId="5" borderId="53" xfId="0" applyFont="1" applyFill="1" applyBorder="1" applyAlignment="1">
      <alignment horizontal="center" vertical="top" wrapText="1"/>
    </xf>
    <xf numFmtId="164" fontId="1" fillId="5" borderId="6"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xf>
    <xf numFmtId="164" fontId="1" fillId="5" borderId="45" xfId="0" applyNumberFormat="1" applyFont="1" applyFill="1" applyBorder="1" applyAlignment="1">
      <alignment horizontal="center" vertical="top"/>
    </xf>
    <xf numFmtId="164" fontId="1" fillId="5" borderId="15" xfId="0" applyNumberFormat="1" applyFont="1" applyFill="1" applyBorder="1" applyAlignment="1">
      <alignment horizontal="center" vertical="top"/>
    </xf>
    <xf numFmtId="164" fontId="1" fillId="5" borderId="40" xfId="0" applyNumberFormat="1" applyFont="1" applyFill="1" applyBorder="1" applyAlignment="1">
      <alignment horizontal="center" vertical="top"/>
    </xf>
    <xf numFmtId="164" fontId="2" fillId="4" borderId="45" xfId="0" applyNumberFormat="1" applyFont="1" applyFill="1" applyBorder="1" applyAlignment="1">
      <alignment horizontal="center" vertical="top"/>
    </xf>
    <xf numFmtId="164" fontId="1" fillId="5" borderId="4" xfId="0" applyNumberFormat="1" applyFont="1" applyFill="1" applyBorder="1" applyAlignment="1">
      <alignment horizontal="center" vertical="top"/>
    </xf>
    <xf numFmtId="164" fontId="1" fillId="3" borderId="4" xfId="0" applyNumberFormat="1" applyFont="1" applyFill="1" applyBorder="1" applyAlignment="1">
      <alignment horizontal="center" vertical="top"/>
    </xf>
    <xf numFmtId="164" fontId="1" fillId="5" borderId="3" xfId="0" applyNumberFormat="1" applyFont="1" applyFill="1" applyBorder="1" applyAlignment="1">
      <alignment horizontal="center" vertical="top" wrapText="1"/>
    </xf>
    <xf numFmtId="164" fontId="2" fillId="4" borderId="11"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8" fillId="0" borderId="1" xfId="0" applyFont="1" applyBorder="1" applyAlignment="1">
      <alignment horizontal="center" vertical="top" wrapText="1"/>
    </xf>
    <xf numFmtId="0" fontId="8" fillId="0" borderId="41" xfId="0" applyFont="1" applyBorder="1" applyAlignment="1">
      <alignment horizontal="center" vertical="top" wrapText="1"/>
    </xf>
    <xf numFmtId="3" fontId="1" fillId="0" borderId="40" xfId="0" applyNumberFormat="1" applyFont="1" applyBorder="1" applyAlignment="1">
      <alignment horizontal="center" vertical="top" wrapText="1"/>
    </xf>
    <xf numFmtId="3" fontId="1" fillId="0" borderId="41"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wrapText="1"/>
    </xf>
    <xf numFmtId="3" fontId="1" fillId="0" borderId="4" xfId="0" applyNumberFormat="1" applyFont="1" applyBorder="1" applyAlignment="1">
      <alignment horizontal="center" vertical="top" wrapText="1"/>
    </xf>
    <xf numFmtId="0" fontId="8" fillId="0" borderId="16" xfId="0" applyFont="1" applyBorder="1" applyAlignment="1">
      <alignment horizontal="center" vertical="top" wrapText="1"/>
    </xf>
    <xf numFmtId="3" fontId="1" fillId="0" borderId="11" xfId="0" applyNumberFormat="1" applyFont="1" applyFill="1" applyBorder="1" applyAlignment="1">
      <alignment horizontal="center" vertical="top" wrapText="1"/>
    </xf>
    <xf numFmtId="0" fontId="1" fillId="0" borderId="17" xfId="0" applyFont="1" applyBorder="1" applyAlignment="1">
      <alignment horizontal="center" vertical="top" wrapText="1"/>
    </xf>
    <xf numFmtId="3" fontId="1" fillId="0" borderId="71" xfId="0" applyNumberFormat="1" applyFont="1" applyFill="1" applyBorder="1" applyAlignment="1">
      <alignment horizontal="center" vertical="top" wrapText="1"/>
    </xf>
    <xf numFmtId="3" fontId="1" fillId="5" borderId="29" xfId="0" applyNumberFormat="1" applyFont="1" applyFill="1" applyBorder="1" applyAlignment="1">
      <alignment horizontal="center" vertical="top" wrapText="1"/>
    </xf>
    <xf numFmtId="3" fontId="1" fillId="0" borderId="15" xfId="0" applyNumberFormat="1" applyFont="1" applyBorder="1" applyAlignment="1">
      <alignment horizontal="center" vertical="top" wrapText="1"/>
    </xf>
    <xf numFmtId="1" fontId="1" fillId="0" borderId="48" xfId="0" applyNumberFormat="1" applyFont="1" applyFill="1" applyBorder="1" applyAlignment="1">
      <alignment horizontal="center" vertical="top" wrapText="1"/>
    </xf>
    <xf numFmtId="1" fontId="1" fillId="0" borderId="54" xfId="0" applyNumberFormat="1" applyFont="1" applyFill="1" applyBorder="1" applyAlignment="1">
      <alignment horizontal="center" vertical="top" wrapText="1"/>
    </xf>
    <xf numFmtId="1" fontId="1" fillId="5" borderId="10" xfId="0" applyNumberFormat="1" applyFont="1" applyFill="1" applyBorder="1" applyAlignment="1">
      <alignment horizontal="center" vertical="top" wrapText="1"/>
    </xf>
    <xf numFmtId="1" fontId="1" fillId="5" borderId="15" xfId="0" applyNumberFormat="1" applyFont="1" applyFill="1" applyBorder="1" applyAlignment="1">
      <alignment horizontal="center" vertical="top" wrapText="1"/>
    </xf>
    <xf numFmtId="3" fontId="1" fillId="5" borderId="24" xfId="0" applyNumberFormat="1" applyFont="1" applyFill="1" applyBorder="1" applyAlignment="1">
      <alignment vertical="top" wrapText="1"/>
    </xf>
    <xf numFmtId="0" fontId="1" fillId="5" borderId="53" xfId="0" applyFont="1" applyFill="1" applyBorder="1" applyAlignment="1">
      <alignment horizontal="center" vertical="top"/>
    </xf>
    <xf numFmtId="3" fontId="1" fillId="5"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1" fillId="5" borderId="0" xfId="0" applyNumberFormat="1" applyFont="1" applyFill="1" applyBorder="1" applyAlignment="1">
      <alignment horizontal="center" vertical="top" wrapText="1"/>
    </xf>
    <xf numFmtId="1" fontId="1" fillId="5" borderId="40" xfId="0" applyNumberFormat="1" applyFont="1" applyFill="1" applyBorder="1" applyAlignment="1">
      <alignment horizontal="center" vertical="top" wrapText="1"/>
    </xf>
    <xf numFmtId="1" fontId="1" fillId="5" borderId="45" xfId="0" applyNumberFormat="1" applyFont="1" applyFill="1" applyBorder="1" applyAlignment="1">
      <alignment horizontal="center" vertical="top" wrapText="1"/>
    </xf>
    <xf numFmtId="3" fontId="1" fillId="0" borderId="24" xfId="0" applyNumberFormat="1" applyFont="1" applyBorder="1" applyAlignment="1">
      <alignment horizontal="center" vertical="top"/>
    </xf>
    <xf numFmtId="3" fontId="1" fillId="0" borderId="15" xfId="0" applyNumberFormat="1" applyFont="1" applyFill="1" applyBorder="1" applyAlignment="1">
      <alignment horizontal="center" vertical="top" wrapText="1"/>
    </xf>
    <xf numFmtId="3" fontId="1" fillId="5" borderId="41" xfId="0" applyNumberFormat="1" applyFont="1" applyFill="1" applyBorder="1" applyAlignment="1">
      <alignment horizontal="center" vertical="top" wrapText="1"/>
    </xf>
    <xf numFmtId="3" fontId="1" fillId="5" borderId="17" xfId="0" applyNumberFormat="1" applyFont="1" applyFill="1" applyBorder="1" applyAlignment="1">
      <alignment horizontal="center" vertical="top" wrapText="1"/>
    </xf>
    <xf numFmtId="1" fontId="1" fillId="5" borderId="4" xfId="0" applyNumberFormat="1" applyFont="1" applyFill="1" applyBorder="1" applyAlignment="1">
      <alignment horizontal="center" vertical="top" wrapText="1"/>
    </xf>
    <xf numFmtId="1" fontId="1" fillId="5" borderId="11" xfId="0" applyNumberFormat="1" applyFont="1" applyFill="1" applyBorder="1" applyAlignment="1">
      <alignment horizontal="center" vertical="top" wrapText="1"/>
    </xf>
    <xf numFmtId="3" fontId="1" fillId="0" borderId="55" xfId="0" applyNumberFormat="1" applyFont="1" applyBorder="1" applyAlignment="1">
      <alignment horizontal="center" vertical="top"/>
    </xf>
    <xf numFmtId="3" fontId="1" fillId="5" borderId="16" xfId="0" applyNumberFormat="1" applyFont="1" applyFill="1" applyBorder="1" applyAlignment="1">
      <alignment horizontal="center" vertical="top" wrapText="1"/>
    </xf>
    <xf numFmtId="3" fontId="1" fillId="5" borderId="1" xfId="0" applyNumberFormat="1" applyFont="1" applyFill="1" applyBorder="1" applyAlignment="1">
      <alignment horizontal="center" vertical="top" wrapText="1"/>
    </xf>
    <xf numFmtId="3" fontId="1" fillId="5" borderId="45" xfId="0" applyNumberFormat="1" applyFont="1" applyFill="1" applyBorder="1" applyAlignment="1">
      <alignment horizontal="center" vertical="top" wrapText="1"/>
    </xf>
    <xf numFmtId="3" fontId="1" fillId="0" borderId="40" xfId="0" applyNumberFormat="1" applyFont="1" applyBorder="1"/>
    <xf numFmtId="3" fontId="1" fillId="0" borderId="24" xfId="0" applyNumberFormat="1" applyFont="1" applyBorder="1"/>
    <xf numFmtId="164" fontId="1" fillId="5" borderId="15" xfId="0" applyNumberFormat="1" applyFont="1" applyFill="1" applyBorder="1"/>
    <xf numFmtId="3" fontId="1" fillId="5" borderId="54" xfId="0" applyNumberFormat="1" applyFont="1" applyFill="1" applyBorder="1" applyAlignment="1">
      <alignment horizontal="center" vertical="top" wrapText="1"/>
    </xf>
    <xf numFmtId="3" fontId="1" fillId="5" borderId="15" xfId="0" applyNumberFormat="1" applyFont="1" applyFill="1" applyBorder="1" applyAlignment="1">
      <alignment horizontal="center" vertical="top" wrapText="1"/>
    </xf>
    <xf numFmtId="164" fontId="1" fillId="0" borderId="41" xfId="0" applyNumberFormat="1" applyFont="1" applyBorder="1"/>
    <xf numFmtId="3" fontId="1" fillId="5" borderId="45" xfId="0" applyNumberFormat="1" applyFont="1" applyFill="1" applyBorder="1" applyAlignment="1">
      <alignment vertical="top" wrapText="1"/>
    </xf>
    <xf numFmtId="3" fontId="1" fillId="0" borderId="54"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5" borderId="4" xfId="0" applyNumberFormat="1" applyFont="1" applyFill="1" applyBorder="1" applyAlignment="1">
      <alignment horizontal="center" vertical="top" wrapText="1"/>
    </xf>
    <xf numFmtId="3" fontId="1" fillId="5" borderId="11" xfId="0" applyNumberFormat="1" applyFont="1" applyFill="1" applyBorder="1" applyAlignment="1">
      <alignment horizontal="center" vertical="top" wrapText="1"/>
    </xf>
    <xf numFmtId="3" fontId="1" fillId="0" borderId="4" xfId="0" applyNumberFormat="1" applyFont="1" applyBorder="1"/>
    <xf numFmtId="3" fontId="1" fillId="0" borderId="55" xfId="0" applyNumberFormat="1" applyFont="1" applyBorder="1"/>
    <xf numFmtId="164" fontId="1" fillId="5" borderId="10" xfId="0" applyNumberFormat="1" applyFont="1" applyFill="1" applyBorder="1"/>
    <xf numFmtId="3" fontId="1" fillId="5" borderId="48" xfId="0" applyNumberFormat="1" applyFont="1" applyFill="1" applyBorder="1" applyAlignment="1">
      <alignment horizontal="center" vertical="top" wrapText="1"/>
    </xf>
    <xf numFmtId="164" fontId="1" fillId="0" borderId="16" xfId="0" applyNumberFormat="1" applyFont="1" applyBorder="1"/>
    <xf numFmtId="3" fontId="1" fillId="5" borderId="11" xfId="0" applyNumberFormat="1" applyFont="1" applyFill="1" applyBorder="1" applyAlignment="1">
      <alignment vertical="top" wrapText="1"/>
    </xf>
    <xf numFmtId="3" fontId="1" fillId="0" borderId="48"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5" borderId="55" xfId="0" applyNumberFormat="1" applyFont="1" applyFill="1" applyBorder="1" applyAlignment="1">
      <alignment vertical="top" wrapText="1"/>
    </xf>
    <xf numFmtId="3" fontId="1" fillId="5" borderId="5" xfId="0" applyNumberFormat="1" applyFont="1" applyFill="1" applyBorder="1" applyAlignment="1">
      <alignment horizontal="center" vertical="top" wrapText="1"/>
    </xf>
    <xf numFmtId="3" fontId="1" fillId="0" borderId="5" xfId="0" applyNumberFormat="1" applyFont="1" applyBorder="1"/>
    <xf numFmtId="164" fontId="1" fillId="5" borderId="43" xfId="0" applyNumberFormat="1" applyFont="1" applyFill="1" applyBorder="1"/>
    <xf numFmtId="164" fontId="1" fillId="0" borderId="17" xfId="0" applyNumberFormat="1" applyFont="1" applyBorder="1"/>
    <xf numFmtId="3" fontId="1" fillId="5" borderId="50" xfId="0" applyNumberFormat="1" applyFont="1" applyFill="1" applyBorder="1" applyAlignment="1">
      <alignment vertical="top" wrapText="1"/>
    </xf>
    <xf numFmtId="3" fontId="1" fillId="5" borderId="40" xfId="0" applyNumberFormat="1" applyFont="1" applyFill="1" applyBorder="1" applyAlignment="1">
      <alignment horizontal="center" vertical="top" wrapText="1"/>
    </xf>
    <xf numFmtId="3" fontId="1" fillId="5" borderId="24"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3" fontId="1" fillId="0" borderId="41" xfId="0" applyNumberFormat="1" applyFont="1" applyBorder="1" applyAlignment="1">
      <alignment horizontal="center" vertical="center" textRotation="90"/>
    </xf>
    <xf numFmtId="3" fontId="1" fillId="0" borderId="61" xfId="0" applyNumberFormat="1" applyFont="1" applyBorder="1" applyAlignment="1">
      <alignment horizontal="center" vertical="center" textRotation="90"/>
    </xf>
    <xf numFmtId="3" fontId="1" fillId="0" borderId="22" xfId="0" applyNumberFormat="1" applyFont="1" applyBorder="1" applyAlignment="1">
      <alignment horizontal="center" vertical="top"/>
    </xf>
    <xf numFmtId="3" fontId="1" fillId="5" borderId="43" xfId="0" applyNumberFormat="1" applyFont="1" applyFill="1" applyBorder="1" applyAlignment="1">
      <alignment horizontal="left" vertical="top" wrapText="1"/>
    </xf>
    <xf numFmtId="3" fontId="1" fillId="0" borderId="34"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xf>
    <xf numFmtId="0" fontId="8" fillId="0" borderId="22" xfId="0" applyFont="1" applyBorder="1" applyAlignment="1">
      <alignment horizontal="center" vertical="top"/>
    </xf>
    <xf numFmtId="0" fontId="8" fillId="0" borderId="55" xfId="0" applyFont="1" applyBorder="1" applyAlignment="1">
      <alignment horizontal="center" vertical="top"/>
    </xf>
    <xf numFmtId="0" fontId="8" fillId="0" borderId="24" xfId="0" applyFont="1" applyBorder="1" applyAlignment="1">
      <alignment horizontal="center" vertical="top"/>
    </xf>
    <xf numFmtId="1" fontId="1" fillId="5" borderId="53"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53" xfId="0" applyNumberFormat="1" applyFont="1" applyBorder="1"/>
    <xf numFmtId="1" fontId="1" fillId="5" borderId="28" xfId="0" applyNumberFormat="1" applyFont="1" applyFill="1" applyBorder="1" applyAlignment="1">
      <alignment horizontal="center" vertical="top" wrapText="1"/>
    </xf>
    <xf numFmtId="1" fontId="1" fillId="5" borderId="26" xfId="0" applyNumberFormat="1" applyFont="1" applyFill="1" applyBorder="1" applyAlignment="1">
      <alignment horizontal="center" vertical="top" wrapText="1"/>
    </xf>
    <xf numFmtId="1" fontId="1" fillId="5" borderId="34" xfId="0" applyNumberFormat="1" applyFont="1" applyFill="1" applyBorder="1" applyAlignment="1">
      <alignment horizontal="center" vertical="top" wrapText="1"/>
    </xf>
    <xf numFmtId="1" fontId="1" fillId="5" borderId="22" xfId="0" applyNumberFormat="1" applyFont="1" applyFill="1" applyBorder="1" applyAlignment="1">
      <alignment horizontal="center" vertical="top" wrapText="1"/>
    </xf>
    <xf numFmtId="1" fontId="1" fillId="0" borderId="22" xfId="0" applyNumberFormat="1" applyFont="1" applyBorder="1" applyAlignment="1">
      <alignment horizontal="center" vertical="top"/>
    </xf>
    <xf numFmtId="1" fontId="1" fillId="0" borderId="34"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1" fillId="0" borderId="28"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5" borderId="34" xfId="0" applyFont="1" applyFill="1" applyBorder="1" applyAlignment="1">
      <alignment horizontal="center" vertical="top" wrapText="1"/>
    </xf>
    <xf numFmtId="3" fontId="1" fillId="5" borderId="32" xfId="0" applyNumberFormat="1" applyFont="1" applyFill="1" applyBorder="1" applyAlignment="1">
      <alignment horizontal="center" vertical="top" wrapText="1"/>
    </xf>
    <xf numFmtId="3" fontId="1" fillId="0" borderId="26"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164" fontId="1" fillId="5" borderId="22" xfId="0" applyNumberFormat="1" applyFont="1" applyFill="1" applyBorder="1" applyAlignment="1">
      <alignment horizontal="center" vertical="center"/>
    </xf>
    <xf numFmtId="49" fontId="2" fillId="3" borderId="4" xfId="0" applyNumberFormat="1" applyFont="1" applyFill="1" applyBorder="1" applyAlignment="1">
      <alignment vertical="top"/>
    </xf>
    <xf numFmtId="49" fontId="1" fillId="3" borderId="31" xfId="0" applyNumberFormat="1" applyFont="1" applyFill="1" applyBorder="1" applyAlignment="1">
      <alignment vertical="top"/>
    </xf>
    <xf numFmtId="3" fontId="2" fillId="5" borderId="28" xfId="0" applyNumberFormat="1" applyFont="1" applyFill="1" applyBorder="1" applyAlignment="1">
      <alignment vertical="top"/>
    </xf>
    <xf numFmtId="49" fontId="2" fillId="3" borderId="11" xfId="0" applyNumberFormat="1" applyFont="1" applyFill="1" applyBorder="1" applyAlignment="1">
      <alignment vertical="top"/>
    </xf>
    <xf numFmtId="49" fontId="1" fillId="3" borderId="37" xfId="0" applyNumberFormat="1" applyFont="1" applyFill="1" applyBorder="1" applyAlignment="1">
      <alignment vertical="top"/>
    </xf>
    <xf numFmtId="3" fontId="2" fillId="5" borderId="26" xfId="0" applyNumberFormat="1" applyFont="1" applyFill="1" applyBorder="1" applyAlignment="1">
      <alignment vertical="top"/>
    </xf>
    <xf numFmtId="3" fontId="5" fillId="0" borderId="11" xfId="0" applyNumberFormat="1" applyFont="1" applyFill="1" applyBorder="1" applyAlignment="1">
      <alignment vertical="center" textRotation="90" wrapText="1"/>
    </xf>
    <xf numFmtId="164" fontId="1" fillId="3" borderId="28"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wrapText="1"/>
    </xf>
    <xf numFmtId="164" fontId="1" fillId="3" borderId="53" xfId="0" applyNumberFormat="1" applyFont="1" applyFill="1" applyBorder="1" applyAlignment="1">
      <alignment horizontal="center" vertical="top" wrapText="1"/>
    </xf>
    <xf numFmtId="164" fontId="1" fillId="3" borderId="52" xfId="0" applyNumberFormat="1" applyFont="1" applyFill="1" applyBorder="1" applyAlignment="1">
      <alignment horizontal="center" vertical="top" wrapText="1"/>
    </xf>
    <xf numFmtId="3" fontId="1" fillId="0" borderId="57" xfId="0" applyNumberFormat="1" applyFont="1" applyBorder="1" applyAlignment="1">
      <alignment horizontal="center" vertical="top" wrapText="1"/>
    </xf>
    <xf numFmtId="3" fontId="1" fillId="0" borderId="56" xfId="0" applyNumberFormat="1" applyFont="1" applyBorder="1" applyAlignment="1">
      <alignment horizontal="center" vertical="top" wrapText="1"/>
    </xf>
    <xf numFmtId="164" fontId="2" fillId="5" borderId="52" xfId="0" applyNumberFormat="1" applyFont="1" applyFill="1" applyBorder="1" applyAlignment="1">
      <alignment horizontal="center" vertical="top"/>
    </xf>
    <xf numFmtId="3" fontId="2" fillId="5" borderId="50" xfId="0" applyNumberFormat="1" applyFont="1" applyFill="1" applyBorder="1" applyAlignment="1">
      <alignment horizontal="center" vertical="top"/>
    </xf>
    <xf numFmtId="164" fontId="1" fillId="5" borderId="2" xfId="0" applyNumberFormat="1" applyFont="1" applyFill="1" applyBorder="1" applyAlignment="1">
      <alignment horizontal="center" vertical="top"/>
    </xf>
    <xf numFmtId="164" fontId="1" fillId="5" borderId="7" xfId="0" applyNumberFormat="1" applyFont="1" applyFill="1" applyBorder="1" applyAlignment="1">
      <alignment horizontal="center" vertical="top"/>
    </xf>
    <xf numFmtId="3" fontId="1" fillId="0" borderId="22" xfId="0" applyNumberFormat="1" applyFont="1" applyFill="1" applyBorder="1" applyAlignment="1">
      <alignment horizontal="center" vertical="top" textRotation="90" wrapText="1"/>
    </xf>
    <xf numFmtId="3" fontId="2" fillId="5" borderId="62" xfId="0" applyNumberFormat="1" applyFont="1" applyFill="1" applyBorder="1" applyAlignment="1">
      <alignment horizontal="center" vertical="top" wrapText="1"/>
    </xf>
    <xf numFmtId="3" fontId="1" fillId="0" borderId="34" xfId="0" applyNumberFormat="1" applyFont="1" applyFill="1" applyBorder="1" applyAlignment="1">
      <alignment horizontal="center" vertical="top" textRotation="90" wrapText="1"/>
    </xf>
    <xf numFmtId="3" fontId="1" fillId="0" borderId="15" xfId="0" applyNumberFormat="1" applyFont="1" applyFill="1" applyBorder="1" applyAlignment="1">
      <alignment horizontal="center" vertical="top"/>
    </xf>
    <xf numFmtId="164" fontId="1" fillId="0" borderId="34" xfId="0" applyNumberFormat="1" applyFont="1" applyBorder="1" applyAlignment="1">
      <alignment horizontal="center" vertical="top"/>
    </xf>
    <xf numFmtId="164" fontId="1" fillId="5" borderId="53" xfId="0" applyNumberFormat="1" applyFont="1" applyFill="1" applyBorder="1"/>
    <xf numFmtId="164" fontId="1" fillId="0" borderId="32" xfId="0" applyNumberFormat="1" applyFont="1" applyBorder="1"/>
    <xf numFmtId="0" fontId="1" fillId="5" borderId="48" xfId="0" applyFont="1" applyFill="1" applyBorder="1" applyAlignment="1">
      <alignment horizontal="center" vertical="top"/>
    </xf>
    <xf numFmtId="3" fontId="2" fillId="5" borderId="22" xfId="0" applyNumberFormat="1" applyFont="1" applyFill="1" applyBorder="1" applyAlignment="1">
      <alignment vertical="top" wrapText="1"/>
    </xf>
    <xf numFmtId="0" fontId="1" fillId="5" borderId="22" xfId="0" applyFont="1" applyFill="1" applyBorder="1" applyAlignment="1">
      <alignment horizontal="center" vertical="top"/>
    </xf>
    <xf numFmtId="0" fontId="1" fillId="5" borderId="55" xfId="0" applyFont="1" applyFill="1" applyBorder="1" applyAlignment="1">
      <alignment horizontal="center" vertical="top"/>
    </xf>
    <xf numFmtId="0" fontId="1" fillId="5" borderId="24" xfId="0" applyFont="1" applyFill="1" applyBorder="1" applyAlignment="1">
      <alignment horizontal="center" vertical="top"/>
    </xf>
    <xf numFmtId="49" fontId="1" fillId="3" borderId="36" xfId="0" applyNumberFormat="1" applyFont="1" applyFill="1" applyBorder="1" applyAlignment="1">
      <alignment horizontal="center" vertical="top" wrapText="1"/>
    </xf>
    <xf numFmtId="164" fontId="2" fillId="5" borderId="23" xfId="0" applyNumberFormat="1" applyFont="1" applyFill="1" applyBorder="1" applyAlignment="1">
      <alignment horizontal="center" vertical="top"/>
    </xf>
    <xf numFmtId="164" fontId="2" fillId="4" borderId="54" xfId="0" applyNumberFormat="1" applyFont="1" applyFill="1" applyBorder="1" applyAlignment="1">
      <alignment horizontal="center" vertical="top"/>
    </xf>
    <xf numFmtId="3" fontId="1" fillId="0" borderId="5" xfId="0" applyNumberFormat="1" applyFont="1" applyBorder="1" applyAlignment="1">
      <alignment horizontal="left" vertical="top" wrapText="1"/>
    </xf>
    <xf numFmtId="3" fontId="1" fillId="0" borderId="5" xfId="0" applyNumberFormat="1" applyFont="1" applyBorder="1" applyAlignment="1">
      <alignment horizontal="center" vertical="top" wrapText="1"/>
    </xf>
    <xf numFmtId="1" fontId="1" fillId="5" borderId="54" xfId="0" applyNumberFormat="1" applyFont="1" applyFill="1" applyBorder="1" applyAlignment="1">
      <alignment horizontal="center" vertical="top" wrapText="1"/>
    </xf>
    <xf numFmtId="1" fontId="1" fillId="5" borderId="9" xfId="0" applyNumberFormat="1" applyFont="1" applyFill="1" applyBorder="1" applyAlignment="1">
      <alignment horizontal="center" vertical="top" wrapText="1"/>
    </xf>
    <xf numFmtId="1" fontId="1" fillId="5" borderId="57" xfId="0" applyNumberFormat="1" applyFont="1" applyFill="1" applyBorder="1" applyAlignment="1">
      <alignment horizontal="center" vertical="top" wrapText="1"/>
    </xf>
    <xf numFmtId="1" fontId="1" fillId="5" borderId="55" xfId="0" applyNumberFormat="1" applyFont="1" applyFill="1" applyBorder="1" applyAlignment="1">
      <alignment horizontal="center" vertical="top" wrapText="1"/>
    </xf>
    <xf numFmtId="1" fontId="1" fillId="5" borderId="24" xfId="0" applyNumberFormat="1" applyFont="1" applyFill="1" applyBorder="1" applyAlignment="1">
      <alignment horizontal="center" vertical="top" wrapText="1"/>
    </xf>
    <xf numFmtId="1" fontId="1" fillId="0" borderId="9" xfId="0" applyNumberFormat="1" applyFont="1" applyBorder="1" applyAlignment="1">
      <alignment horizontal="center" vertical="top"/>
    </xf>
    <xf numFmtId="1" fontId="1" fillId="0" borderId="10" xfId="0" applyNumberFormat="1" applyFont="1" applyBorder="1" applyAlignment="1">
      <alignment horizontal="center" vertical="top"/>
    </xf>
    <xf numFmtId="1" fontId="1" fillId="0" borderId="57"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15" xfId="0" applyNumberFormat="1" applyFont="1" applyBorder="1" applyAlignment="1">
      <alignment horizontal="center" vertical="top"/>
    </xf>
    <xf numFmtId="3" fontId="1" fillId="0" borderId="9" xfId="0" applyNumberFormat="1" applyFont="1" applyBorder="1" applyAlignment="1">
      <alignment horizontal="center" vertical="top"/>
    </xf>
    <xf numFmtId="3" fontId="1" fillId="0" borderId="57" xfId="0" applyNumberFormat="1" applyFont="1" applyBorder="1" applyAlignment="1">
      <alignment horizontal="center" vertical="top"/>
    </xf>
    <xf numFmtId="0" fontId="1" fillId="5" borderId="43" xfId="0" applyNumberFormat="1" applyFont="1" applyFill="1" applyBorder="1" applyAlignment="1">
      <alignment vertical="top" wrapText="1"/>
    </xf>
    <xf numFmtId="0" fontId="1" fillId="5" borderId="43" xfId="0" applyNumberFormat="1" applyFont="1" applyFill="1" applyBorder="1" applyAlignment="1">
      <alignment horizontal="left" vertical="top" wrapText="1"/>
    </xf>
    <xf numFmtId="3" fontId="1" fillId="0" borderId="9" xfId="0" applyNumberFormat="1" applyFont="1" applyFill="1" applyBorder="1" applyAlignment="1">
      <alignment horizontal="center" vertical="top" wrapText="1"/>
    </xf>
    <xf numFmtId="3" fontId="1" fillId="0" borderId="43" xfId="0" applyNumberFormat="1" applyFont="1" applyFill="1" applyBorder="1" applyAlignment="1">
      <alignment vertical="top" wrapText="1"/>
    </xf>
    <xf numFmtId="164" fontId="1" fillId="5" borderId="52"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54" xfId="0" applyNumberFormat="1" applyFont="1" applyFill="1" applyBorder="1" applyAlignment="1">
      <alignment horizontal="center" vertical="top" wrapText="1"/>
    </xf>
    <xf numFmtId="164" fontId="1" fillId="5" borderId="29" xfId="0" applyNumberFormat="1" applyFont="1" applyFill="1" applyBorder="1" applyAlignment="1">
      <alignment horizontal="center" vertical="top"/>
    </xf>
    <xf numFmtId="3" fontId="1" fillId="0" borderId="2" xfId="0" applyNumberFormat="1" applyFont="1" applyBorder="1" applyAlignment="1">
      <alignment horizontal="center" vertical="top"/>
    </xf>
    <xf numFmtId="3" fontId="1" fillId="0" borderId="3" xfId="0" applyNumberFormat="1" applyFont="1" applyBorder="1" applyAlignment="1">
      <alignment horizontal="center" vertical="top"/>
    </xf>
    <xf numFmtId="3" fontId="1" fillId="0" borderId="40" xfId="0" applyNumberFormat="1" applyFont="1" applyBorder="1" applyAlignment="1">
      <alignment horizontal="center" vertical="top"/>
    </xf>
    <xf numFmtId="0" fontId="1" fillId="5" borderId="10"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48" xfId="0" applyFont="1" applyFill="1" applyBorder="1" applyAlignment="1">
      <alignment horizontal="center" vertical="top" wrapText="1"/>
    </xf>
    <xf numFmtId="0" fontId="1" fillId="5" borderId="54" xfId="0" applyFont="1" applyFill="1" applyBorder="1" applyAlignment="1">
      <alignment horizontal="center" vertical="top" wrapText="1"/>
    </xf>
    <xf numFmtId="164" fontId="2" fillId="4" borderId="48" xfId="0" applyNumberFormat="1" applyFont="1" applyFill="1" applyBorder="1" applyAlignment="1">
      <alignment horizontal="center" vertical="top"/>
    </xf>
    <xf numFmtId="3" fontId="1" fillId="5" borderId="43" xfId="0" applyNumberFormat="1" applyFont="1" applyFill="1" applyBorder="1" applyAlignment="1">
      <alignment horizontal="center" vertical="top" wrapText="1"/>
    </xf>
    <xf numFmtId="3" fontId="1" fillId="5" borderId="10" xfId="0" applyNumberFormat="1" applyFont="1" applyFill="1" applyBorder="1" applyAlignment="1">
      <alignment horizontal="center" vertical="top"/>
    </xf>
    <xf numFmtId="165" fontId="1" fillId="5" borderId="34" xfId="0" applyNumberFormat="1" applyFont="1" applyFill="1" applyBorder="1" applyAlignment="1">
      <alignment horizontal="center" vertical="top"/>
    </xf>
    <xf numFmtId="165" fontId="1" fillId="5" borderId="48" xfId="0" applyNumberFormat="1" applyFont="1" applyFill="1" applyBorder="1" applyAlignment="1">
      <alignment horizontal="center" vertical="top"/>
    </xf>
    <xf numFmtId="165" fontId="1" fillId="5" borderId="54" xfId="0" applyNumberFormat="1" applyFont="1" applyFill="1" applyBorder="1" applyAlignment="1">
      <alignment horizontal="center" vertical="top"/>
    </xf>
    <xf numFmtId="3" fontId="1" fillId="5" borderId="52" xfId="0" applyNumberFormat="1" applyFont="1" applyFill="1" applyBorder="1" applyAlignment="1">
      <alignment horizontal="center" vertical="top" wrapText="1"/>
    </xf>
    <xf numFmtId="3" fontId="1" fillId="5" borderId="13" xfId="0" applyNumberFormat="1" applyFont="1" applyFill="1" applyBorder="1" applyAlignment="1">
      <alignment horizontal="center" vertical="top" wrapText="1"/>
    </xf>
    <xf numFmtId="164" fontId="2" fillId="5" borderId="22" xfId="0" applyNumberFormat="1" applyFont="1" applyFill="1" applyBorder="1" applyAlignment="1">
      <alignment horizontal="center" vertical="top"/>
    </xf>
    <xf numFmtId="164" fontId="2" fillId="5" borderId="55" xfId="0" applyNumberFormat="1" applyFont="1" applyFill="1" applyBorder="1" applyAlignment="1">
      <alignment horizontal="center" vertical="top"/>
    </xf>
    <xf numFmtId="3" fontId="1" fillId="5" borderId="47" xfId="0" applyNumberFormat="1" applyFont="1" applyFill="1" applyBorder="1" applyAlignment="1">
      <alignment horizontal="center" vertical="top" wrapText="1"/>
    </xf>
    <xf numFmtId="164" fontId="1" fillId="3" borderId="10" xfId="0" applyNumberFormat="1" applyFont="1" applyFill="1" applyBorder="1" applyAlignment="1">
      <alignment horizontal="center" vertical="top" wrapText="1"/>
    </xf>
    <xf numFmtId="164" fontId="1" fillId="3" borderId="15"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0" borderId="43" xfId="0" applyNumberFormat="1" applyFont="1" applyFill="1" applyBorder="1" applyAlignment="1">
      <alignment horizontal="left" vertical="top" wrapText="1"/>
    </xf>
    <xf numFmtId="0" fontId="1" fillId="5" borderId="12" xfId="0" applyFont="1" applyFill="1" applyBorder="1" applyAlignment="1">
      <alignment horizontal="left" vertical="top" wrapText="1"/>
    </xf>
    <xf numFmtId="3" fontId="1" fillId="0" borderId="0" xfId="0" applyNumberFormat="1" applyFont="1" applyBorder="1" applyAlignment="1">
      <alignment horizontal="center"/>
    </xf>
    <xf numFmtId="3" fontId="1" fillId="0" borderId="57" xfId="0" applyNumberFormat="1" applyFont="1" applyBorder="1" applyAlignment="1">
      <alignment horizontal="center"/>
    </xf>
    <xf numFmtId="0" fontId="1" fillId="5" borderId="43" xfId="0" applyFont="1" applyFill="1" applyBorder="1" applyAlignment="1">
      <alignment vertical="top" wrapText="1"/>
    </xf>
    <xf numFmtId="3" fontId="1" fillId="5" borderId="14" xfId="0" applyNumberFormat="1" applyFont="1" applyFill="1" applyBorder="1" applyAlignment="1">
      <alignment horizontal="center" vertical="top"/>
    </xf>
    <xf numFmtId="3" fontId="1" fillId="5" borderId="9" xfId="0" applyNumberFormat="1" applyFont="1" applyFill="1" applyBorder="1" applyAlignment="1">
      <alignment horizontal="center" vertical="top" wrapText="1"/>
    </xf>
    <xf numFmtId="3" fontId="1" fillId="5" borderId="57" xfId="0" applyNumberFormat="1" applyFont="1" applyFill="1" applyBorder="1" applyAlignment="1">
      <alignment horizontal="center" vertical="top" wrapText="1"/>
    </xf>
    <xf numFmtId="1" fontId="1" fillId="5" borderId="23" xfId="0" applyNumberFormat="1" applyFont="1" applyFill="1" applyBorder="1" applyAlignment="1">
      <alignment horizontal="center" vertical="top"/>
    </xf>
    <xf numFmtId="1" fontId="1" fillId="5" borderId="47" xfId="0" applyNumberFormat="1" applyFont="1" applyFill="1" applyBorder="1" applyAlignment="1">
      <alignment horizontal="center" vertical="top"/>
    </xf>
    <xf numFmtId="1" fontId="1" fillId="5" borderId="52" xfId="0" applyNumberFormat="1" applyFont="1" applyFill="1" applyBorder="1" applyAlignment="1">
      <alignment horizontal="center" vertical="top"/>
    </xf>
    <xf numFmtId="3" fontId="1" fillId="5" borderId="52" xfId="0" applyNumberFormat="1" applyFont="1" applyFill="1" applyBorder="1" applyAlignment="1">
      <alignment vertical="top" wrapText="1"/>
    </xf>
    <xf numFmtId="3" fontId="1" fillId="5" borderId="49" xfId="0" applyNumberFormat="1" applyFont="1" applyFill="1" applyBorder="1" applyAlignment="1">
      <alignment horizontal="center" vertical="top" wrapText="1"/>
    </xf>
    <xf numFmtId="3" fontId="1" fillId="5" borderId="22" xfId="0" applyNumberFormat="1" applyFont="1" applyFill="1" applyBorder="1" applyAlignment="1">
      <alignment horizontal="center" vertical="top"/>
    </xf>
    <xf numFmtId="3" fontId="1" fillId="5" borderId="47" xfId="0" applyNumberFormat="1" applyFont="1" applyFill="1" applyBorder="1" applyAlignment="1">
      <alignment vertical="top" wrapText="1"/>
    </xf>
    <xf numFmtId="3" fontId="1" fillId="5" borderId="56" xfId="0" applyNumberFormat="1" applyFont="1" applyFill="1" applyBorder="1" applyAlignment="1">
      <alignment vertical="top" wrapText="1"/>
    </xf>
    <xf numFmtId="164" fontId="2" fillId="4" borderId="58" xfId="0" applyNumberFormat="1" applyFont="1" applyFill="1" applyBorder="1" applyAlignment="1">
      <alignment horizontal="center" vertical="top"/>
    </xf>
    <xf numFmtId="164" fontId="1" fillId="5" borderId="7"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164" fontId="15" fillId="5" borderId="26" xfId="0" applyNumberFormat="1" applyFont="1" applyFill="1" applyBorder="1" applyAlignment="1">
      <alignment horizontal="center" vertical="top"/>
    </xf>
    <xf numFmtId="164" fontId="15" fillId="5" borderId="11" xfId="0" applyNumberFormat="1" applyFont="1" applyFill="1" applyBorder="1" applyAlignment="1">
      <alignment horizontal="center" vertical="top"/>
    </xf>
    <xf numFmtId="164" fontId="15" fillId="5" borderId="45" xfId="0" applyNumberFormat="1" applyFont="1" applyFill="1" applyBorder="1" applyAlignment="1">
      <alignment horizontal="center" vertical="top"/>
    </xf>
    <xf numFmtId="3" fontId="1" fillId="5" borderId="9" xfId="0" applyNumberFormat="1" applyFont="1" applyFill="1" applyBorder="1" applyAlignment="1">
      <alignment vertical="top" wrapText="1"/>
    </xf>
    <xf numFmtId="3" fontId="1" fillId="5" borderId="44" xfId="0" applyNumberFormat="1" applyFont="1" applyFill="1" applyBorder="1" applyAlignment="1">
      <alignment vertical="top" wrapText="1"/>
    </xf>
    <xf numFmtId="3" fontId="1" fillId="5" borderId="18" xfId="0" applyNumberFormat="1" applyFont="1" applyFill="1" applyBorder="1" applyAlignment="1">
      <alignment vertical="top" wrapText="1"/>
    </xf>
    <xf numFmtId="0" fontId="1" fillId="0" borderId="32" xfId="0" applyFont="1" applyBorder="1" applyAlignment="1">
      <alignment horizontal="center" vertical="top" wrapText="1"/>
    </xf>
    <xf numFmtId="0" fontId="1" fillId="0" borderId="41" xfId="0" applyFont="1" applyBorder="1" applyAlignment="1">
      <alignment horizontal="center" vertical="top" wrapText="1"/>
    </xf>
    <xf numFmtId="0" fontId="1" fillId="5" borderId="17"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6" xfId="0" applyFont="1" applyFill="1" applyBorder="1" applyAlignment="1">
      <alignment horizontal="center" vertical="top" wrapText="1"/>
    </xf>
    <xf numFmtId="0" fontId="1" fillId="5" borderId="41" xfId="0" applyFont="1" applyFill="1" applyBorder="1" applyAlignment="1">
      <alignment horizontal="center" vertical="top" wrapText="1"/>
    </xf>
    <xf numFmtId="3" fontId="1" fillId="5" borderId="23" xfId="0" applyNumberFormat="1" applyFont="1" applyFill="1" applyBorder="1" applyAlignment="1">
      <alignment horizontal="center" vertical="top" wrapText="1"/>
    </xf>
    <xf numFmtId="3" fontId="1" fillId="5" borderId="50" xfId="0" applyNumberFormat="1" applyFont="1" applyFill="1" applyBorder="1" applyAlignment="1">
      <alignment horizontal="center" vertical="top" wrapText="1"/>
    </xf>
    <xf numFmtId="165" fontId="1" fillId="5" borderId="10" xfId="0" applyNumberFormat="1" applyFont="1" applyFill="1" applyBorder="1" applyAlignment="1">
      <alignment horizontal="center" vertical="top"/>
    </xf>
    <xf numFmtId="165" fontId="1" fillId="5" borderId="53" xfId="0" applyNumberFormat="1" applyFont="1" applyFill="1" applyBorder="1" applyAlignment="1">
      <alignment horizontal="center" vertical="top"/>
    </xf>
    <xf numFmtId="165" fontId="1" fillId="5" borderId="15" xfId="0" applyNumberFormat="1" applyFont="1" applyFill="1" applyBorder="1" applyAlignment="1">
      <alignment horizontal="center" vertical="top"/>
    </xf>
    <xf numFmtId="3" fontId="15" fillId="5" borderId="53" xfId="0" applyNumberFormat="1" applyFont="1" applyFill="1" applyBorder="1" applyAlignment="1">
      <alignment horizontal="center" vertical="top"/>
    </xf>
    <xf numFmtId="3" fontId="15" fillId="5" borderId="10" xfId="0" applyNumberFormat="1" applyFont="1" applyFill="1" applyBorder="1" applyAlignment="1">
      <alignment horizontal="center" vertical="top"/>
    </xf>
    <xf numFmtId="3" fontId="1" fillId="0" borderId="26" xfId="0" applyNumberFormat="1" applyFont="1" applyFill="1" applyBorder="1" applyAlignment="1">
      <alignment vertical="top" wrapText="1"/>
    </xf>
    <xf numFmtId="3" fontId="1" fillId="0" borderId="50" xfId="0" applyNumberFormat="1" applyFont="1" applyFill="1" applyBorder="1" applyAlignment="1">
      <alignment horizontal="left" vertical="top" wrapText="1"/>
    </xf>
    <xf numFmtId="3" fontId="2" fillId="5" borderId="32" xfId="0" applyNumberFormat="1" applyFont="1" applyFill="1" applyBorder="1" applyAlignment="1">
      <alignment horizontal="center" vertical="top"/>
    </xf>
    <xf numFmtId="3" fontId="5" fillId="0" borderId="1" xfId="0" applyNumberFormat="1" applyFont="1" applyFill="1" applyBorder="1" applyAlignment="1">
      <alignment horizontal="center" vertical="top" textRotation="90"/>
    </xf>
    <xf numFmtId="49" fontId="1" fillId="3" borderId="57" xfId="0" applyNumberFormat="1" applyFont="1" applyFill="1" applyBorder="1" applyAlignment="1">
      <alignment horizontal="center" vertical="top"/>
    </xf>
    <xf numFmtId="49" fontId="1" fillId="3" borderId="39" xfId="0" applyNumberFormat="1" applyFont="1" applyFill="1" applyBorder="1" applyAlignment="1">
      <alignment horizontal="center" vertical="top"/>
    </xf>
    <xf numFmtId="1" fontId="1" fillId="5" borderId="22" xfId="0" applyNumberFormat="1" applyFont="1" applyFill="1" applyBorder="1" applyAlignment="1">
      <alignment horizontal="center" vertical="top"/>
    </xf>
    <xf numFmtId="1" fontId="1" fillId="5" borderId="9" xfId="0" applyNumberFormat="1" applyFont="1" applyFill="1" applyBorder="1" applyAlignment="1">
      <alignment horizontal="center" vertical="top"/>
    </xf>
    <xf numFmtId="3" fontId="15" fillId="0" borderId="53" xfId="0" applyNumberFormat="1" applyFont="1" applyFill="1" applyBorder="1" applyAlignment="1">
      <alignment horizontal="center" vertical="top" wrapText="1"/>
    </xf>
    <xf numFmtId="49" fontId="1" fillId="3" borderId="39" xfId="0" applyNumberFormat="1" applyFont="1" applyFill="1" applyBorder="1" applyAlignment="1">
      <alignment horizontal="center" vertical="top" wrapText="1"/>
    </xf>
    <xf numFmtId="3" fontId="1" fillId="5" borderId="8" xfId="0" applyNumberFormat="1" applyFont="1" applyFill="1" applyBorder="1" applyAlignment="1">
      <alignment horizontal="center" vertical="top" wrapText="1"/>
    </xf>
    <xf numFmtId="164" fontId="2" fillId="2" borderId="32" xfId="0" applyNumberFormat="1" applyFont="1" applyFill="1" applyBorder="1" applyAlignment="1">
      <alignment horizontal="center" vertical="top"/>
    </xf>
    <xf numFmtId="3" fontId="1" fillId="5" borderId="46" xfId="0" applyNumberFormat="1" applyFont="1" applyFill="1" applyBorder="1" applyAlignment="1">
      <alignment horizontal="left" vertical="top" wrapText="1"/>
    </xf>
    <xf numFmtId="3" fontId="1" fillId="0" borderId="4"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xf>
    <xf numFmtId="3" fontId="1" fillId="0" borderId="5"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1" fillId="0" borderId="28" xfId="0" applyNumberFormat="1" applyFont="1" applyFill="1" applyBorder="1" applyAlignment="1">
      <alignment horizontal="left" vertical="top" wrapText="1"/>
    </xf>
    <xf numFmtId="3" fontId="1" fillId="5" borderId="34" xfId="0" applyNumberFormat="1" applyFont="1" applyFill="1" applyBorder="1" applyAlignment="1">
      <alignment horizontal="left" vertical="top" wrapText="1"/>
    </xf>
    <xf numFmtId="3" fontId="1" fillId="5" borderId="32"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0" borderId="11" xfId="0" applyNumberFormat="1" applyFont="1" applyBorder="1" applyAlignment="1">
      <alignment horizontal="center" vertical="top"/>
    </xf>
    <xf numFmtId="3" fontId="1" fillId="5" borderId="56"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1" fillId="5" borderId="46" xfId="0" applyNumberFormat="1" applyFont="1" applyFill="1" applyBorder="1" applyAlignment="1">
      <alignment horizontal="center" vertical="top" wrapText="1"/>
    </xf>
    <xf numFmtId="3" fontId="1" fillId="5" borderId="12" xfId="0" applyNumberFormat="1" applyFont="1" applyFill="1" applyBorder="1" applyAlignment="1">
      <alignment horizontal="center" vertical="top" wrapText="1"/>
    </xf>
    <xf numFmtId="3" fontId="2" fillId="5" borderId="49" xfId="0" applyNumberFormat="1" applyFont="1" applyFill="1" applyBorder="1" applyAlignment="1">
      <alignment horizontal="center" vertical="top" wrapText="1"/>
    </xf>
    <xf numFmtId="3" fontId="2" fillId="5" borderId="37" xfId="0" applyNumberFormat="1" applyFont="1" applyFill="1" applyBorder="1" applyAlignment="1">
      <alignment horizontal="center" vertical="top" wrapText="1"/>
    </xf>
    <xf numFmtId="3" fontId="1" fillId="3" borderId="12" xfId="0" applyNumberFormat="1" applyFont="1" applyFill="1" applyBorder="1" applyAlignment="1">
      <alignment horizontal="left" vertical="top" wrapText="1"/>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16" xfId="0" applyNumberFormat="1" applyFont="1" applyFill="1" applyBorder="1" applyAlignment="1">
      <alignment horizontal="center" vertical="center" textRotation="90" wrapText="1"/>
    </xf>
    <xf numFmtId="3" fontId="1" fillId="0" borderId="49" xfId="0" applyNumberFormat="1" applyFont="1" applyFill="1" applyBorder="1" applyAlignment="1">
      <alignment horizontal="center" vertical="top" wrapText="1"/>
    </xf>
    <xf numFmtId="49" fontId="2" fillId="3" borderId="0" xfId="0" applyNumberFormat="1" applyFont="1" applyFill="1" applyBorder="1" applyAlignment="1">
      <alignment horizontal="center" vertical="top"/>
    </xf>
    <xf numFmtId="3" fontId="1" fillId="0" borderId="56" xfId="0" applyNumberFormat="1" applyFont="1" applyFill="1" applyBorder="1" applyAlignment="1">
      <alignment horizontal="center" vertical="top" wrapText="1"/>
    </xf>
    <xf numFmtId="3" fontId="1" fillId="0" borderId="47" xfId="0" applyNumberFormat="1" applyFont="1" applyFill="1" applyBorder="1" applyAlignment="1">
      <alignment horizontal="center" vertical="top" wrapText="1"/>
    </xf>
    <xf numFmtId="49" fontId="2" fillId="9" borderId="26" xfId="0" applyNumberFormat="1" applyFont="1" applyFill="1" applyBorder="1" applyAlignment="1">
      <alignment horizontal="center" vertical="top"/>
    </xf>
    <xf numFmtId="49" fontId="1" fillId="0" borderId="49" xfId="0" applyNumberFormat="1" applyFont="1" applyBorder="1" applyAlignment="1">
      <alignment horizontal="center" vertical="top"/>
    </xf>
    <xf numFmtId="49" fontId="1" fillId="0" borderId="56" xfId="0" applyNumberFormat="1" applyFont="1" applyBorder="1" applyAlignment="1">
      <alignment horizontal="center" vertical="top"/>
    </xf>
    <xf numFmtId="3" fontId="2" fillId="4" borderId="34" xfId="0" applyNumberFormat="1" applyFont="1" applyFill="1" applyBorder="1" applyAlignment="1">
      <alignment horizontal="right" vertical="top"/>
    </xf>
    <xf numFmtId="3" fontId="2" fillId="4" borderId="35" xfId="0" applyNumberFormat="1" applyFont="1" applyFill="1" applyBorder="1" applyAlignment="1">
      <alignment horizontal="right" vertical="top"/>
    </xf>
    <xf numFmtId="49" fontId="2" fillId="2" borderId="16" xfId="0" applyNumberFormat="1" applyFont="1" applyFill="1" applyBorder="1" applyAlignment="1">
      <alignment horizontal="center" vertical="top"/>
    </xf>
    <xf numFmtId="3" fontId="1" fillId="5" borderId="26"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49" fontId="1" fillId="3" borderId="37" xfId="0" applyNumberFormat="1" applyFont="1" applyFill="1" applyBorder="1" applyAlignment="1">
      <alignment horizontal="center" vertical="top"/>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3" fontId="2" fillId="5" borderId="12" xfId="0" applyNumberFormat="1" applyFont="1" applyFill="1" applyBorder="1" applyAlignment="1">
      <alignment horizontal="left" vertical="top" wrapText="1"/>
    </xf>
    <xf numFmtId="3" fontId="5" fillId="5" borderId="11" xfId="0" applyNumberFormat="1" applyFont="1" applyFill="1" applyBorder="1" applyAlignment="1">
      <alignment horizontal="center" vertical="top" textRotation="90"/>
    </xf>
    <xf numFmtId="0" fontId="1" fillId="5" borderId="50" xfId="0" applyFont="1" applyFill="1" applyBorder="1" applyAlignment="1">
      <alignment horizontal="left" vertical="top" wrapText="1"/>
    </xf>
    <xf numFmtId="49" fontId="1" fillId="3" borderId="37" xfId="0" applyNumberFormat="1" applyFont="1" applyFill="1" applyBorder="1" applyAlignment="1">
      <alignment horizontal="center" vertical="top" wrapText="1"/>
    </xf>
    <xf numFmtId="49" fontId="2" fillId="2" borderId="36" xfId="0" applyNumberFormat="1" applyFont="1" applyFill="1" applyBorder="1" applyAlignment="1">
      <alignment horizontal="center" vertical="top"/>
    </xf>
    <xf numFmtId="3" fontId="2" fillId="5" borderId="13" xfId="0" applyNumberFormat="1" applyFont="1" applyFill="1" applyBorder="1" applyAlignment="1">
      <alignment horizontal="center" vertical="top" wrapText="1"/>
    </xf>
    <xf numFmtId="3" fontId="2" fillId="5" borderId="46" xfId="0" applyNumberFormat="1" applyFont="1" applyFill="1" applyBorder="1" applyAlignment="1">
      <alignment horizontal="left" vertical="top" wrapText="1"/>
    </xf>
    <xf numFmtId="3" fontId="1" fillId="5" borderId="62"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wrapText="1"/>
    </xf>
    <xf numFmtId="49" fontId="2" fillId="9" borderId="44"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1" fillId="3" borderId="31" xfId="0" applyNumberFormat="1" applyFont="1" applyFill="1" applyBorder="1" applyAlignment="1">
      <alignment horizontal="center" vertical="top"/>
    </xf>
    <xf numFmtId="3" fontId="2" fillId="5" borderId="28"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1" fillId="0" borderId="29" xfId="0" applyNumberFormat="1" applyFont="1" applyFill="1" applyBorder="1" applyAlignment="1">
      <alignment horizontal="left" vertical="top" wrapText="1"/>
    </xf>
    <xf numFmtId="164" fontId="1" fillId="5" borderId="53" xfId="0" applyNumberFormat="1" applyFont="1" applyFill="1" applyBorder="1" applyAlignment="1">
      <alignment horizontal="center" vertical="top"/>
    </xf>
    <xf numFmtId="1" fontId="15" fillId="5" borderId="55" xfId="0" applyNumberFormat="1" applyFont="1" applyFill="1" applyBorder="1" applyAlignment="1">
      <alignment horizontal="center" vertical="top"/>
    </xf>
    <xf numFmtId="1" fontId="15" fillId="5" borderId="24" xfId="0" applyNumberFormat="1" applyFont="1" applyFill="1" applyBorder="1" applyAlignment="1">
      <alignment horizontal="center" vertical="top"/>
    </xf>
    <xf numFmtId="1" fontId="15" fillId="5" borderId="10" xfId="0" applyNumberFormat="1" applyFont="1" applyFill="1" applyBorder="1" applyAlignment="1">
      <alignment horizontal="center" vertical="top"/>
    </xf>
    <xf numFmtId="1" fontId="15" fillId="5" borderId="57" xfId="0" applyNumberFormat="1" applyFont="1" applyFill="1" applyBorder="1" applyAlignment="1">
      <alignment horizontal="center" vertical="top"/>
    </xf>
    <xf numFmtId="3" fontId="1" fillId="5" borderId="6" xfId="0" applyNumberFormat="1" applyFont="1" applyFill="1" applyBorder="1" applyAlignment="1">
      <alignment horizontal="center" vertical="top"/>
    </xf>
    <xf numFmtId="164" fontId="2" fillId="5" borderId="6" xfId="0" applyNumberFormat="1" applyFont="1" applyFill="1" applyBorder="1" applyAlignment="1">
      <alignment horizontal="center" vertical="top"/>
    </xf>
    <xf numFmtId="164" fontId="2" fillId="5" borderId="3" xfId="0" applyNumberFormat="1" applyFont="1" applyFill="1" applyBorder="1" applyAlignment="1">
      <alignment horizontal="center" vertical="top"/>
    </xf>
    <xf numFmtId="164" fontId="2" fillId="5" borderId="8" xfId="0" applyNumberFormat="1" applyFont="1" applyFill="1" applyBorder="1" applyAlignment="1">
      <alignment horizontal="center" vertical="top"/>
    </xf>
    <xf numFmtId="3" fontId="1" fillId="0" borderId="29" xfId="0" applyNumberFormat="1" applyFont="1" applyFill="1" applyBorder="1" applyAlignment="1">
      <alignment horizontal="center" vertical="top" wrapText="1"/>
    </xf>
    <xf numFmtId="164" fontId="2" fillId="4" borderId="16" xfId="0" applyNumberFormat="1" applyFont="1" applyFill="1" applyBorder="1" applyAlignment="1">
      <alignment horizontal="center" vertical="top"/>
    </xf>
    <xf numFmtId="164" fontId="2" fillId="4" borderId="41" xfId="0" applyNumberFormat="1" applyFont="1" applyFill="1" applyBorder="1" applyAlignment="1">
      <alignment horizontal="center" vertical="top"/>
    </xf>
    <xf numFmtId="3" fontId="1" fillId="0" borderId="1"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textRotation="90"/>
    </xf>
    <xf numFmtId="3" fontId="1" fillId="0" borderId="1" xfId="0" applyNumberFormat="1" applyFont="1" applyFill="1" applyBorder="1" applyAlignment="1">
      <alignment horizontal="center" vertical="top" textRotation="90"/>
    </xf>
    <xf numFmtId="3" fontId="2" fillId="4" borderId="32" xfId="0" applyNumberFormat="1" applyFont="1" applyFill="1" applyBorder="1" applyAlignment="1">
      <alignment horizontal="right" vertical="top"/>
    </xf>
    <xf numFmtId="3" fontId="1" fillId="5" borderId="6" xfId="0" applyNumberFormat="1" applyFont="1" applyFill="1" applyBorder="1" applyAlignment="1">
      <alignment vertical="top" wrapText="1"/>
    </xf>
    <xf numFmtId="3" fontId="1" fillId="5" borderId="71" xfId="0" applyNumberFormat="1" applyFont="1" applyFill="1" applyBorder="1" applyAlignment="1">
      <alignment horizontal="center" vertical="top" wrapText="1"/>
    </xf>
    <xf numFmtId="3" fontId="1" fillId="5" borderId="7" xfId="0" applyNumberFormat="1" applyFont="1" applyFill="1" applyBorder="1" applyAlignment="1">
      <alignment horizontal="center" vertical="top" wrapText="1"/>
    </xf>
    <xf numFmtId="3" fontId="1" fillId="5" borderId="3" xfId="0" applyNumberFormat="1" applyFont="1" applyFill="1" applyBorder="1" applyAlignment="1">
      <alignment horizontal="center" vertical="top" wrapText="1"/>
    </xf>
    <xf numFmtId="0" fontId="1" fillId="5" borderId="46" xfId="0" applyFont="1" applyFill="1" applyBorder="1" applyAlignment="1">
      <alignment vertical="top" wrapText="1"/>
    </xf>
    <xf numFmtId="49" fontId="1" fillId="0" borderId="49" xfId="0" applyNumberFormat="1" applyFont="1" applyBorder="1" applyAlignment="1">
      <alignment vertical="top"/>
    </xf>
    <xf numFmtId="49" fontId="1" fillId="0" borderId="56" xfId="0" applyNumberFormat="1" applyFont="1" applyBorder="1" applyAlignment="1">
      <alignment vertical="top"/>
    </xf>
    <xf numFmtId="3" fontId="1" fillId="0" borderId="46" xfId="0" applyNumberFormat="1" applyFont="1" applyFill="1" applyBorder="1" applyAlignment="1">
      <alignment vertical="top" wrapText="1"/>
    </xf>
    <xf numFmtId="3" fontId="1" fillId="0" borderId="50" xfId="0" applyNumberFormat="1" applyFont="1" applyFill="1" applyBorder="1" applyAlignment="1">
      <alignment vertical="top" wrapText="1"/>
    </xf>
    <xf numFmtId="164" fontId="2" fillId="2" borderId="58" xfId="0" applyNumberFormat="1" applyFont="1" applyFill="1" applyBorder="1" applyAlignment="1">
      <alignment horizontal="center" vertical="top"/>
    </xf>
    <xf numFmtId="164" fontId="2" fillId="2" borderId="61" xfId="0" applyNumberFormat="1" applyFont="1" applyFill="1" applyBorder="1" applyAlignment="1">
      <alignment horizontal="center" vertical="top"/>
    </xf>
    <xf numFmtId="164" fontId="2" fillId="4" borderId="58"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xf>
    <xf numFmtId="3" fontId="1" fillId="5" borderId="12" xfId="0" applyNumberFormat="1" applyFont="1" applyFill="1" applyBorder="1" applyAlignment="1">
      <alignment horizontal="center" vertical="top" wrapText="1"/>
    </xf>
    <xf numFmtId="3" fontId="2" fillId="5" borderId="37" xfId="0" applyNumberFormat="1" applyFont="1" applyFill="1" applyBorder="1" applyAlignment="1">
      <alignment horizontal="center" vertical="top" wrapText="1"/>
    </xf>
    <xf numFmtId="3" fontId="1" fillId="0" borderId="50" xfId="0" applyNumberFormat="1" applyFont="1" applyBorder="1" applyAlignment="1">
      <alignment horizontal="center" vertical="top" wrapText="1"/>
    </xf>
    <xf numFmtId="3" fontId="1" fillId="5" borderId="52"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2" fillId="5" borderId="37" xfId="0" applyNumberFormat="1" applyFont="1" applyFill="1" applyBorder="1" applyAlignment="1">
      <alignment horizontal="center" vertical="top" wrapText="1"/>
    </xf>
    <xf numFmtId="3" fontId="2" fillId="5" borderId="12" xfId="0" applyNumberFormat="1" applyFont="1" applyFill="1" applyBorder="1" applyAlignment="1">
      <alignment horizontal="left" vertical="top" wrapText="1"/>
    </xf>
    <xf numFmtId="49" fontId="1" fillId="3" borderId="37" xfId="0" applyNumberFormat="1" applyFont="1" applyFill="1" applyBorder="1" applyAlignment="1">
      <alignment horizontal="center" vertical="top" wrapText="1"/>
    </xf>
    <xf numFmtId="164" fontId="1" fillId="5" borderId="8" xfId="0" applyNumberFormat="1" applyFont="1" applyFill="1" applyBorder="1" applyAlignment="1">
      <alignment horizontal="center" vertical="top"/>
    </xf>
    <xf numFmtId="3" fontId="1" fillId="5" borderId="34" xfId="0" applyNumberFormat="1" applyFont="1" applyFill="1" applyBorder="1" applyAlignment="1">
      <alignment horizontal="left" vertical="top" wrapText="1"/>
    </xf>
    <xf numFmtId="3" fontId="1" fillId="5" borderId="46" xfId="0" applyNumberFormat="1" applyFont="1" applyFill="1" applyBorder="1" applyAlignment="1">
      <alignment horizontal="center" vertical="top" wrapText="1"/>
    </xf>
    <xf numFmtId="3" fontId="1" fillId="5" borderId="12" xfId="0" applyNumberFormat="1" applyFont="1" applyFill="1" applyBorder="1" applyAlignment="1">
      <alignment horizontal="center" vertical="top" wrapText="1"/>
    </xf>
    <xf numFmtId="3" fontId="1" fillId="5" borderId="26" xfId="0" applyNumberFormat="1" applyFont="1" applyFill="1" applyBorder="1" applyAlignment="1">
      <alignment horizontal="left" vertical="top" wrapText="1"/>
    </xf>
    <xf numFmtId="164" fontId="1" fillId="5" borderId="53" xfId="0" applyNumberFormat="1" applyFont="1" applyFill="1" applyBorder="1" applyAlignment="1">
      <alignment horizontal="center" vertical="top"/>
    </xf>
    <xf numFmtId="49" fontId="1" fillId="3" borderId="37" xfId="0" applyNumberFormat="1" applyFont="1" applyFill="1" applyBorder="1" applyAlignment="1">
      <alignment horizontal="center" vertical="top" wrapText="1"/>
    </xf>
    <xf numFmtId="3" fontId="2" fillId="5" borderId="13" xfId="0" applyNumberFormat="1" applyFont="1" applyFill="1" applyBorder="1" applyAlignment="1">
      <alignment horizontal="center" vertical="top" wrapText="1"/>
    </xf>
    <xf numFmtId="3" fontId="1" fillId="5" borderId="34" xfId="0" applyNumberFormat="1" applyFont="1" applyFill="1" applyBorder="1" applyAlignment="1">
      <alignment horizontal="left" vertical="top" wrapText="1"/>
    </xf>
    <xf numFmtId="3" fontId="2" fillId="5" borderId="49" xfId="0" applyNumberFormat="1" applyFont="1" applyFill="1" applyBorder="1" applyAlignment="1">
      <alignment horizontal="center" vertical="top" wrapText="1"/>
    </xf>
    <xf numFmtId="164" fontId="1" fillId="5" borderId="53" xfId="0" applyNumberFormat="1" applyFont="1" applyFill="1" applyBorder="1" applyAlignment="1">
      <alignment horizontal="center" vertical="top"/>
    </xf>
    <xf numFmtId="49" fontId="1" fillId="3" borderId="49" xfId="0" applyNumberFormat="1" applyFont="1" applyFill="1" applyBorder="1" applyAlignment="1">
      <alignment horizontal="center" vertical="top" wrapText="1"/>
    </xf>
    <xf numFmtId="164" fontId="1" fillId="5" borderId="48" xfId="0" applyNumberFormat="1" applyFont="1" applyFill="1" applyBorder="1" applyAlignment="1">
      <alignment horizontal="center" vertical="top" wrapText="1"/>
    </xf>
    <xf numFmtId="164" fontId="2" fillId="4" borderId="16" xfId="0" applyNumberFormat="1" applyFont="1" applyFill="1" applyBorder="1" applyAlignment="1">
      <alignment horizontal="center" vertical="top" wrapText="1"/>
    </xf>
    <xf numFmtId="164" fontId="2" fillId="4" borderId="41" xfId="0" applyNumberFormat="1" applyFont="1" applyFill="1" applyBorder="1" applyAlignment="1">
      <alignment horizontal="center" vertical="top" wrapText="1"/>
    </xf>
    <xf numFmtId="0" fontId="1" fillId="5" borderId="10" xfId="0" applyFont="1" applyFill="1" applyBorder="1" applyAlignment="1">
      <alignment horizontal="center" vertical="top"/>
    </xf>
    <xf numFmtId="0" fontId="1" fillId="5" borderId="15" xfId="0" applyFont="1" applyFill="1" applyBorder="1" applyAlignment="1">
      <alignment horizontal="center" vertical="top"/>
    </xf>
    <xf numFmtId="164" fontId="13" fillId="0" borderId="0" xfId="0" applyNumberFormat="1" applyFont="1" applyAlignment="1">
      <alignment horizontal="center"/>
    </xf>
    <xf numFmtId="3" fontId="1" fillId="3" borderId="12" xfId="0" applyNumberFormat="1" applyFont="1" applyFill="1" applyBorder="1" applyAlignment="1">
      <alignment horizontal="left" vertical="top" wrapText="1"/>
    </xf>
    <xf numFmtId="49" fontId="2" fillId="2" borderId="11" xfId="0" applyNumberFormat="1" applyFont="1" applyFill="1" applyBorder="1" applyAlignment="1">
      <alignment horizontal="center" vertical="top"/>
    </xf>
    <xf numFmtId="49" fontId="1" fillId="3" borderId="37"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3" fontId="1" fillId="0" borderId="4"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1" fillId="5" borderId="56"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1" fillId="3" borderId="12" xfId="0" applyNumberFormat="1" applyFont="1" applyFill="1" applyBorder="1" applyAlignment="1">
      <alignment horizontal="left" vertical="top" wrapText="1"/>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16" xfId="0" applyNumberFormat="1" applyFont="1" applyFill="1" applyBorder="1" applyAlignment="1">
      <alignment horizontal="center" vertical="center" textRotation="90" wrapText="1"/>
    </xf>
    <xf numFmtId="49" fontId="2" fillId="3" borderId="0" xfId="0" applyNumberFormat="1" applyFont="1" applyFill="1" applyBorder="1" applyAlignment="1">
      <alignment horizontal="center" vertical="top"/>
    </xf>
    <xf numFmtId="3" fontId="1" fillId="0" borderId="47" xfId="0" applyNumberFormat="1" applyFont="1" applyFill="1" applyBorder="1" applyAlignment="1">
      <alignment horizontal="center" vertical="top" wrapText="1"/>
    </xf>
    <xf numFmtId="49" fontId="2" fillId="9" borderId="26" xfId="0" applyNumberFormat="1" applyFont="1" applyFill="1" applyBorder="1" applyAlignment="1">
      <alignment horizontal="center" vertical="top"/>
    </xf>
    <xf numFmtId="3" fontId="2" fillId="4" borderId="34" xfId="0" applyNumberFormat="1" applyFont="1" applyFill="1" applyBorder="1" applyAlignment="1">
      <alignment horizontal="right" vertical="top"/>
    </xf>
    <xf numFmtId="3" fontId="2" fillId="4" borderId="32" xfId="0" applyNumberFormat="1" applyFont="1" applyFill="1" applyBorder="1" applyAlignment="1">
      <alignment horizontal="right" vertical="top"/>
    </xf>
    <xf numFmtId="49" fontId="2" fillId="2" borderId="16" xfId="0" applyNumberFormat="1" applyFont="1" applyFill="1" applyBorder="1" applyAlignment="1">
      <alignment horizontal="center" vertical="top"/>
    </xf>
    <xf numFmtId="3" fontId="1" fillId="5" borderId="26" xfId="0" applyNumberFormat="1" applyFont="1" applyFill="1" applyBorder="1" applyAlignment="1">
      <alignment horizontal="left" vertical="top" wrapText="1"/>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3" fontId="2" fillId="4" borderId="35" xfId="0" applyNumberFormat="1" applyFont="1" applyFill="1" applyBorder="1" applyAlignment="1">
      <alignment horizontal="right" vertical="top"/>
    </xf>
    <xf numFmtId="49" fontId="2" fillId="2" borderId="36" xfId="0" applyNumberFormat="1" applyFont="1" applyFill="1" applyBorder="1" applyAlignment="1">
      <alignment horizontal="center" vertical="top"/>
    </xf>
    <xf numFmtId="3" fontId="2" fillId="5" borderId="13" xfId="0" applyNumberFormat="1" applyFont="1" applyFill="1" applyBorder="1" applyAlignment="1">
      <alignment horizontal="center" vertical="top" wrapText="1"/>
    </xf>
    <xf numFmtId="3" fontId="2" fillId="5" borderId="46" xfId="0" applyNumberFormat="1" applyFont="1" applyFill="1" applyBorder="1" applyAlignment="1">
      <alignment horizontal="left" vertical="top" wrapText="1"/>
    </xf>
    <xf numFmtId="49" fontId="2" fillId="9" borderId="44" xfId="0" applyNumberFormat="1" applyFont="1" applyFill="1" applyBorder="1" applyAlignment="1">
      <alignment horizontal="center" vertical="top"/>
    </xf>
    <xf numFmtId="3" fontId="2" fillId="5" borderId="28"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1" fillId="0" borderId="29" xfId="0" applyNumberFormat="1" applyFont="1" applyFill="1" applyBorder="1" applyAlignment="1">
      <alignment horizontal="left" vertical="top" wrapText="1"/>
    </xf>
    <xf numFmtId="3" fontId="7" fillId="0" borderId="0" xfId="0" applyNumberFormat="1" applyFont="1" applyAlignment="1">
      <alignment horizontal="left" vertical="top" wrapText="1"/>
    </xf>
    <xf numFmtId="3" fontId="1" fillId="5" borderId="46" xfId="0" applyNumberFormat="1" applyFont="1" applyFill="1" applyBorder="1" applyAlignment="1">
      <alignment horizontal="left" vertical="top" wrapText="1"/>
    </xf>
    <xf numFmtId="3" fontId="1" fillId="5" borderId="50"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3" fontId="1" fillId="0" borderId="13" xfId="0" applyNumberFormat="1" applyFont="1" applyFill="1" applyBorder="1" applyAlignment="1">
      <alignment horizontal="center" vertical="top" wrapText="1"/>
    </xf>
    <xf numFmtId="1" fontId="1" fillId="5" borderId="48"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5" borderId="17" xfId="0" applyNumberFormat="1" applyFont="1" applyFill="1" applyBorder="1" applyAlignment="1">
      <alignment horizontal="left" vertical="top" wrapText="1"/>
    </xf>
    <xf numFmtId="49" fontId="2" fillId="2" borderId="11" xfId="0" applyNumberFormat="1" applyFont="1" applyFill="1" applyBorder="1" applyAlignment="1">
      <alignment horizontal="center" vertical="top"/>
    </xf>
    <xf numFmtId="3" fontId="1" fillId="3" borderId="12" xfId="0" applyNumberFormat="1" applyFont="1" applyFill="1" applyBorder="1" applyAlignment="1">
      <alignment horizontal="left" vertical="top" wrapText="1"/>
    </xf>
    <xf numFmtId="3" fontId="1" fillId="0" borderId="49" xfId="0" applyNumberFormat="1" applyFont="1" applyFill="1" applyBorder="1" applyAlignment="1">
      <alignment horizontal="center" vertical="top" wrapText="1"/>
    </xf>
    <xf numFmtId="3" fontId="1" fillId="3" borderId="46" xfId="0" applyNumberFormat="1" applyFont="1" applyFill="1" applyBorder="1" applyAlignment="1">
      <alignment horizontal="left" vertical="top" wrapText="1"/>
    </xf>
    <xf numFmtId="3" fontId="2" fillId="3" borderId="12" xfId="0" applyNumberFormat="1" applyFont="1" applyFill="1" applyBorder="1" applyAlignment="1">
      <alignment horizontal="left" vertical="top" wrapText="1"/>
    </xf>
    <xf numFmtId="3" fontId="2" fillId="5" borderId="12" xfId="0" applyNumberFormat="1" applyFont="1" applyFill="1" applyBorder="1" applyAlignment="1">
      <alignment horizontal="left" vertical="top" wrapText="1"/>
    </xf>
    <xf numFmtId="3" fontId="2" fillId="5" borderId="13" xfId="0" applyNumberFormat="1" applyFont="1" applyFill="1" applyBorder="1" applyAlignment="1">
      <alignment horizontal="center" vertical="top" wrapText="1"/>
    </xf>
    <xf numFmtId="3" fontId="1" fillId="0" borderId="46" xfId="0" applyNumberFormat="1" applyFont="1" applyBorder="1" applyAlignment="1">
      <alignment horizontal="left" vertical="top" wrapText="1"/>
    </xf>
    <xf numFmtId="3" fontId="1" fillId="0" borderId="50" xfId="0" applyNumberFormat="1" applyFont="1" applyFill="1" applyBorder="1" applyAlignment="1">
      <alignment horizontal="left" vertical="top" wrapText="1"/>
    </xf>
    <xf numFmtId="49" fontId="2" fillId="9" borderId="44" xfId="0" applyNumberFormat="1" applyFont="1" applyFill="1" applyBorder="1" applyAlignment="1">
      <alignment horizontal="center" vertical="top"/>
    </xf>
    <xf numFmtId="3" fontId="7" fillId="0" borderId="0" xfId="0" applyNumberFormat="1" applyFont="1" applyAlignment="1">
      <alignment vertical="top" wrapText="1"/>
    </xf>
    <xf numFmtId="3" fontId="1" fillId="0" borderId="32" xfId="0" applyNumberFormat="1" applyFont="1" applyBorder="1" applyAlignment="1">
      <alignment horizontal="center" vertical="center" textRotation="90"/>
    </xf>
    <xf numFmtId="3" fontId="1" fillId="5" borderId="13"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3" fontId="1" fillId="0" borderId="73" xfId="0" applyNumberFormat="1" applyFont="1" applyFill="1" applyBorder="1" applyAlignment="1">
      <alignment horizontal="center" vertical="top" wrapText="1"/>
    </xf>
    <xf numFmtId="0" fontId="8" fillId="0" borderId="32" xfId="0" applyFont="1" applyBorder="1" applyAlignment="1">
      <alignment horizontal="center" vertical="top" wrapText="1"/>
    </xf>
    <xf numFmtId="0" fontId="1" fillId="5" borderId="32" xfId="0" applyFont="1" applyFill="1" applyBorder="1" applyAlignment="1">
      <alignment horizontal="center" vertical="top" wrapText="1"/>
    </xf>
    <xf numFmtId="3" fontId="16" fillId="5" borderId="12" xfId="0" applyNumberFormat="1" applyFont="1" applyFill="1" applyBorder="1" applyAlignment="1">
      <alignment horizontal="center" vertical="top"/>
    </xf>
    <xf numFmtId="164" fontId="16" fillId="5" borderId="26" xfId="0" applyNumberFormat="1" applyFont="1" applyFill="1" applyBorder="1" applyAlignment="1">
      <alignment horizontal="center" vertical="top"/>
    </xf>
    <xf numFmtId="164" fontId="16" fillId="5" borderId="11" xfId="0" applyNumberFormat="1" applyFont="1" applyFill="1" applyBorder="1" applyAlignment="1">
      <alignment horizontal="center" vertical="top"/>
    </xf>
    <xf numFmtId="164" fontId="16" fillId="5" borderId="45" xfId="0" applyNumberFormat="1" applyFont="1" applyFill="1" applyBorder="1" applyAlignment="1">
      <alignment horizontal="center" vertical="top"/>
    </xf>
    <xf numFmtId="164" fontId="17" fillId="5" borderId="11" xfId="0" applyNumberFormat="1" applyFont="1" applyFill="1" applyBorder="1" applyAlignment="1">
      <alignment horizontal="center" vertical="top"/>
    </xf>
    <xf numFmtId="3" fontId="2" fillId="0" borderId="36" xfId="0" applyNumberFormat="1" applyFont="1" applyBorder="1" applyAlignment="1">
      <alignment horizontal="center" vertical="top"/>
    </xf>
    <xf numFmtId="3" fontId="1" fillId="5" borderId="14" xfId="0" applyNumberFormat="1" applyFont="1" applyFill="1" applyBorder="1" applyAlignment="1">
      <alignment vertical="top" wrapText="1"/>
    </xf>
    <xf numFmtId="0" fontId="1" fillId="5" borderId="15" xfId="0" applyNumberFormat="1" applyFont="1" applyFill="1" applyBorder="1" applyAlignment="1">
      <alignment vertical="top" wrapText="1"/>
    </xf>
    <xf numFmtId="164" fontId="16" fillId="5" borderId="0" xfId="0" applyNumberFormat="1" applyFont="1" applyFill="1" applyBorder="1" applyAlignment="1">
      <alignment horizontal="center" vertical="top"/>
    </xf>
    <xf numFmtId="164" fontId="17" fillId="5" borderId="0" xfId="0" applyNumberFormat="1" applyFont="1" applyFill="1" applyBorder="1" applyAlignment="1">
      <alignment horizontal="center" vertical="top"/>
    </xf>
    <xf numFmtId="3" fontId="2" fillId="0" borderId="27" xfId="0" applyNumberFormat="1" applyFont="1" applyBorder="1" applyAlignment="1">
      <alignment horizontal="center" vertical="top"/>
    </xf>
    <xf numFmtId="3" fontId="2" fillId="0" borderId="38" xfId="0" applyNumberFormat="1" applyFont="1" applyBorder="1" applyAlignment="1">
      <alignment horizontal="center" vertical="top"/>
    </xf>
    <xf numFmtId="3" fontId="1" fillId="3" borderId="5" xfId="0" applyNumberFormat="1" applyFont="1" applyFill="1" applyBorder="1" applyAlignment="1">
      <alignment horizontal="center" vertical="top" wrapText="1"/>
    </xf>
    <xf numFmtId="1" fontId="1" fillId="0" borderId="53" xfId="0" applyNumberFormat="1" applyFont="1" applyBorder="1" applyAlignment="1">
      <alignment horizontal="center" vertical="top"/>
    </xf>
    <xf numFmtId="1" fontId="1" fillId="0" borderId="15" xfId="0" applyNumberFormat="1" applyFont="1" applyBorder="1" applyAlignment="1">
      <alignment horizontal="center" vertical="top"/>
    </xf>
    <xf numFmtId="3" fontId="1" fillId="5" borderId="15" xfId="0" applyNumberFormat="1" applyFont="1" applyFill="1" applyBorder="1" applyAlignment="1">
      <alignment vertical="top" wrapText="1"/>
    </xf>
    <xf numFmtId="164" fontId="16" fillId="5" borderId="0" xfId="0" applyNumberFormat="1" applyFont="1" applyFill="1" applyBorder="1" applyAlignment="1">
      <alignment horizontal="center" vertical="top" wrapText="1"/>
    </xf>
    <xf numFmtId="164" fontId="1" fillId="3" borderId="29" xfId="0" applyNumberFormat="1" applyFont="1" applyFill="1" applyBorder="1" applyAlignment="1">
      <alignment horizontal="center" vertical="top"/>
    </xf>
    <xf numFmtId="3" fontId="1" fillId="0" borderId="5" xfId="0" applyNumberFormat="1" applyFont="1" applyBorder="1" applyAlignment="1">
      <alignment horizontal="center" vertical="top"/>
    </xf>
    <xf numFmtId="3" fontId="16" fillId="0" borderId="12" xfId="0" applyNumberFormat="1" applyFont="1" applyBorder="1" applyAlignment="1">
      <alignment horizontal="center" vertical="top"/>
    </xf>
    <xf numFmtId="164" fontId="16" fillId="5" borderId="11" xfId="0" applyNumberFormat="1" applyFont="1" applyFill="1" applyBorder="1" applyAlignment="1">
      <alignment horizontal="center" vertical="top" wrapText="1"/>
    </xf>
    <xf numFmtId="3" fontId="1" fillId="0" borderId="50" xfId="0" applyNumberFormat="1" applyFont="1" applyBorder="1" applyAlignment="1">
      <alignment vertical="top" wrapText="1"/>
    </xf>
    <xf numFmtId="0" fontId="1" fillId="5" borderId="22" xfId="0" applyFont="1" applyFill="1" applyBorder="1" applyAlignment="1">
      <alignment horizontal="center" vertical="top" wrapText="1"/>
    </xf>
    <xf numFmtId="0" fontId="1" fillId="5" borderId="55" xfId="0" applyFont="1" applyFill="1" applyBorder="1" applyAlignment="1">
      <alignment horizontal="center" vertical="top" wrapText="1"/>
    </xf>
    <xf numFmtId="0" fontId="1" fillId="5" borderId="23" xfId="0" applyFont="1" applyFill="1" applyBorder="1" applyAlignment="1">
      <alignment horizontal="center" vertical="top" wrapText="1"/>
    </xf>
    <xf numFmtId="3" fontId="1" fillId="5" borderId="6"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wrapText="1"/>
    </xf>
    <xf numFmtId="3" fontId="1" fillId="0" borderId="11" xfId="0" applyNumberFormat="1" applyFont="1" applyBorder="1"/>
    <xf numFmtId="3" fontId="1" fillId="0" borderId="45" xfId="0" applyNumberFormat="1" applyFont="1" applyBorder="1"/>
    <xf numFmtId="3" fontId="2" fillId="5" borderId="72" xfId="0" applyNumberFormat="1" applyFont="1" applyFill="1" applyBorder="1" applyAlignment="1">
      <alignment horizontal="center" vertical="top" wrapText="1"/>
    </xf>
    <xf numFmtId="165" fontId="16" fillId="5" borderId="0" xfId="0" applyNumberFormat="1" applyFont="1" applyFill="1" applyBorder="1" applyAlignment="1">
      <alignment horizontal="center" vertical="top"/>
    </xf>
    <xf numFmtId="0" fontId="16" fillId="5" borderId="0" xfId="0" applyFont="1" applyFill="1" applyBorder="1" applyAlignment="1">
      <alignment horizontal="center" vertical="top"/>
    </xf>
    <xf numFmtId="3" fontId="16" fillId="0" borderId="12" xfId="0" applyNumberFormat="1" applyFont="1" applyFill="1" applyBorder="1" applyAlignment="1">
      <alignment horizontal="center" vertical="top"/>
    </xf>
    <xf numFmtId="165" fontId="16" fillId="5" borderId="11" xfId="0" applyNumberFormat="1" applyFont="1" applyFill="1" applyBorder="1" applyAlignment="1">
      <alignment horizontal="center" vertical="top"/>
    </xf>
    <xf numFmtId="0" fontId="16" fillId="5" borderId="11" xfId="0" applyFont="1" applyFill="1" applyBorder="1" applyAlignment="1">
      <alignment horizontal="center" vertical="top"/>
    </xf>
    <xf numFmtId="3" fontId="1" fillId="5" borderId="71" xfId="0" applyNumberFormat="1" applyFont="1" applyFill="1" applyBorder="1" applyAlignment="1">
      <alignment vertical="top" wrapText="1"/>
    </xf>
    <xf numFmtId="164" fontId="1" fillId="5" borderId="22" xfId="0" applyNumberFormat="1" applyFont="1" applyFill="1" applyBorder="1"/>
    <xf numFmtId="164" fontId="1" fillId="5" borderId="55" xfId="0" applyNumberFormat="1" applyFont="1" applyFill="1" applyBorder="1"/>
    <xf numFmtId="164" fontId="1" fillId="5" borderId="24" xfId="0" applyNumberFormat="1" applyFont="1" applyFill="1" applyBorder="1"/>
    <xf numFmtId="3" fontId="1" fillId="0" borderId="24" xfId="0" applyNumberFormat="1" applyFont="1" applyFill="1" applyBorder="1" applyAlignment="1">
      <alignment horizontal="left" vertical="top" wrapText="1"/>
    </xf>
    <xf numFmtId="3" fontId="1" fillId="0" borderId="15" xfId="0" applyNumberFormat="1" applyFont="1" applyFill="1" applyBorder="1" applyAlignment="1">
      <alignment horizontal="left" vertical="top" wrapText="1"/>
    </xf>
    <xf numFmtId="3" fontId="1" fillId="0" borderId="54" xfId="0" applyNumberFormat="1" applyFont="1" applyFill="1" applyBorder="1" applyAlignment="1">
      <alignment horizontal="left" vertical="top" wrapText="1"/>
    </xf>
    <xf numFmtId="0" fontId="1" fillId="5" borderId="15" xfId="0" applyFont="1" applyFill="1" applyBorder="1" applyAlignment="1">
      <alignment vertical="top" wrapText="1"/>
    </xf>
    <xf numFmtId="0" fontId="1" fillId="5" borderId="24" xfId="0" applyFont="1" applyFill="1" applyBorder="1" applyAlignment="1">
      <alignment horizontal="left" vertical="top" wrapText="1"/>
    </xf>
    <xf numFmtId="0" fontId="1" fillId="5" borderId="54" xfId="0" applyFont="1" applyFill="1" applyBorder="1" applyAlignment="1">
      <alignment vertical="top" wrapText="1"/>
    </xf>
    <xf numFmtId="0" fontId="1" fillId="5" borderId="54" xfId="0" applyFont="1" applyFill="1" applyBorder="1" applyAlignment="1">
      <alignment horizontal="left" vertical="top" wrapText="1"/>
    </xf>
    <xf numFmtId="164" fontId="16" fillId="5" borderId="45" xfId="0" applyNumberFormat="1" applyFont="1" applyFill="1" applyBorder="1" applyAlignment="1">
      <alignment horizontal="center" vertical="top" wrapText="1"/>
    </xf>
    <xf numFmtId="164" fontId="16" fillId="3" borderId="11" xfId="0" applyNumberFormat="1" applyFont="1" applyFill="1" applyBorder="1" applyAlignment="1">
      <alignment horizontal="center" vertical="top" wrapText="1"/>
    </xf>
    <xf numFmtId="164" fontId="16" fillId="3" borderId="45" xfId="0" applyNumberFormat="1" applyFont="1" applyFill="1" applyBorder="1" applyAlignment="1">
      <alignment horizontal="center" vertical="top" wrapText="1"/>
    </xf>
    <xf numFmtId="3" fontId="1" fillId="0" borderId="28" xfId="0" applyNumberFormat="1" applyFont="1" applyFill="1" applyBorder="1" applyAlignment="1">
      <alignment vertical="center" textRotation="90" wrapText="1"/>
    </xf>
    <xf numFmtId="3" fontId="5" fillId="0" borderId="4" xfId="0" applyNumberFormat="1" applyFont="1" applyFill="1" applyBorder="1" applyAlignment="1">
      <alignment vertical="center" textRotation="90" wrapText="1"/>
    </xf>
    <xf numFmtId="3" fontId="2" fillId="0" borderId="27" xfId="0" applyNumberFormat="1" applyFont="1" applyFill="1" applyBorder="1" applyAlignment="1">
      <alignment horizontal="center" vertical="top" wrapText="1"/>
    </xf>
    <xf numFmtId="164" fontId="2" fillId="9" borderId="21" xfId="0" applyNumberFormat="1" applyFont="1" applyFill="1" applyBorder="1" applyAlignment="1">
      <alignment horizontal="center" vertical="top"/>
    </xf>
    <xf numFmtId="164" fontId="2" fillId="7" borderId="41" xfId="0" applyNumberFormat="1" applyFont="1" applyFill="1" applyBorder="1" applyAlignment="1">
      <alignment horizontal="center" vertical="top"/>
    </xf>
    <xf numFmtId="164" fontId="16" fillId="3" borderId="26" xfId="0" applyNumberFormat="1" applyFont="1" applyFill="1" applyBorder="1" applyAlignment="1">
      <alignment horizontal="center" vertical="top" wrapText="1"/>
    </xf>
    <xf numFmtId="164" fontId="16" fillId="5" borderId="26" xfId="0" applyNumberFormat="1" applyFont="1" applyFill="1" applyBorder="1" applyAlignment="1">
      <alignment horizontal="center" vertical="top" wrapText="1"/>
    </xf>
    <xf numFmtId="164" fontId="2" fillId="2" borderId="33" xfId="0" applyNumberFormat="1" applyFont="1" applyFill="1" applyBorder="1" applyAlignment="1">
      <alignment horizontal="center" vertical="top"/>
    </xf>
    <xf numFmtId="3" fontId="6" fillId="0" borderId="12" xfId="0" applyNumberFormat="1" applyFont="1" applyBorder="1" applyAlignment="1">
      <alignment horizontal="center" vertical="top"/>
    </xf>
    <xf numFmtId="164" fontId="6" fillId="5" borderId="0" xfId="0" applyNumberFormat="1" applyFont="1" applyFill="1" applyBorder="1" applyAlignment="1">
      <alignment horizontal="center" vertical="top"/>
    </xf>
    <xf numFmtId="164" fontId="6" fillId="5" borderId="11" xfId="0" applyNumberFormat="1" applyFont="1" applyFill="1" applyBorder="1" applyAlignment="1">
      <alignment horizontal="center" vertical="top"/>
    </xf>
    <xf numFmtId="164" fontId="18" fillId="0" borderId="0" xfId="0" applyNumberFormat="1" applyFont="1" applyBorder="1" applyAlignment="1">
      <alignment horizontal="center" vertical="top"/>
    </xf>
    <xf numFmtId="164" fontId="18" fillId="0" borderId="55" xfId="0" applyNumberFormat="1" applyFont="1" applyBorder="1" applyAlignment="1">
      <alignment horizontal="center" vertical="top"/>
    </xf>
    <xf numFmtId="3" fontId="1" fillId="0" borderId="50" xfId="0" applyNumberFormat="1" applyFont="1" applyBorder="1" applyAlignment="1">
      <alignment horizontal="center" vertical="top"/>
    </xf>
    <xf numFmtId="3" fontId="1" fillId="0" borderId="0" xfId="0" applyNumberFormat="1" applyFont="1" applyFill="1" applyBorder="1" applyAlignment="1">
      <alignment vertical="top" wrapText="1"/>
    </xf>
    <xf numFmtId="164" fontId="1" fillId="3" borderId="34" xfId="0" applyNumberFormat="1" applyFont="1" applyFill="1" applyBorder="1" applyAlignment="1">
      <alignment horizontal="center" vertical="top" wrapText="1"/>
    </xf>
    <xf numFmtId="164" fontId="1" fillId="3" borderId="48" xfId="0" applyNumberFormat="1" applyFont="1" applyFill="1" applyBorder="1" applyAlignment="1">
      <alignment horizontal="center" vertical="top" wrapText="1"/>
    </xf>
    <xf numFmtId="164" fontId="1" fillId="3" borderId="54"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textRotation="90" wrapText="1"/>
    </xf>
    <xf numFmtId="1" fontId="1" fillId="5" borderId="48"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textRotation="90" wrapText="1"/>
    </xf>
    <xf numFmtId="1" fontId="1" fillId="5" borderId="34" xfId="0" applyNumberFormat="1" applyFont="1" applyFill="1" applyBorder="1" applyAlignment="1">
      <alignment horizontal="center" vertical="top" wrapText="1"/>
    </xf>
    <xf numFmtId="1" fontId="1" fillId="5" borderId="54" xfId="0" applyNumberFormat="1" applyFont="1" applyFill="1" applyBorder="1" applyAlignment="1">
      <alignment horizontal="center" vertical="top" wrapText="1"/>
    </xf>
    <xf numFmtId="0" fontId="1" fillId="5" borderId="43" xfId="0" applyFont="1" applyFill="1" applyBorder="1" applyAlignment="1">
      <alignment horizontal="left" vertical="top" wrapText="1"/>
    </xf>
    <xf numFmtId="3" fontId="1" fillId="0" borderId="65" xfId="0" applyNumberFormat="1" applyFont="1" applyBorder="1" applyAlignment="1">
      <alignment horizontal="center"/>
    </xf>
    <xf numFmtId="164" fontId="1" fillId="3" borderId="3" xfId="0" applyNumberFormat="1" applyFont="1" applyFill="1" applyBorder="1" applyAlignment="1">
      <alignment horizontal="center" vertical="top" wrapText="1"/>
    </xf>
    <xf numFmtId="3" fontId="2" fillId="5" borderId="13" xfId="0" applyNumberFormat="1" applyFont="1" applyFill="1" applyBorder="1" applyAlignment="1">
      <alignment horizontal="center" vertical="top" wrapText="1"/>
    </xf>
    <xf numFmtId="3" fontId="1" fillId="0" borderId="52" xfId="0" applyNumberFormat="1" applyFont="1" applyBorder="1" applyAlignment="1">
      <alignment horizontal="center" vertical="top"/>
    </xf>
    <xf numFmtId="3" fontId="1" fillId="0" borderId="0" xfId="0" applyNumberFormat="1" applyFont="1" applyBorder="1" applyAlignment="1">
      <alignment horizontal="center" vertical="top"/>
    </xf>
    <xf numFmtId="3" fontId="1" fillId="0" borderId="0" xfId="0" applyNumberFormat="1" applyFont="1" applyBorder="1" applyAlignment="1">
      <alignment horizontal="right"/>
    </xf>
    <xf numFmtId="3" fontId="1" fillId="0" borderId="0" xfId="0" applyNumberFormat="1" applyFont="1" applyBorder="1" applyAlignment="1">
      <alignment horizontal="center" vertical="top" wrapText="1"/>
    </xf>
    <xf numFmtId="3" fontId="1" fillId="0" borderId="0" xfId="0" applyNumberFormat="1" applyFont="1" applyFill="1" applyBorder="1" applyAlignment="1">
      <alignment horizontal="center" vertical="top" wrapText="1"/>
    </xf>
    <xf numFmtId="1" fontId="1" fillId="5" borderId="0" xfId="0" applyNumberFormat="1" applyFont="1" applyFill="1" applyBorder="1" applyAlignment="1">
      <alignment horizontal="center" vertical="top" wrapText="1"/>
    </xf>
    <xf numFmtId="3" fontId="19" fillId="0" borderId="0" xfId="0" applyNumberFormat="1" applyFont="1" applyAlignment="1">
      <alignment horizontal="center" vertical="top" wrapText="1"/>
    </xf>
    <xf numFmtId="164" fontId="1" fillId="5" borderId="27"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164" fontId="1" fillId="0" borderId="27"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2" fillId="2" borderId="42" xfId="0" applyNumberFormat="1" applyFont="1" applyFill="1" applyBorder="1" applyAlignment="1">
      <alignment horizontal="center" vertical="top"/>
    </xf>
    <xf numFmtId="164" fontId="1" fillId="5" borderId="31" xfId="0" applyNumberFormat="1" applyFont="1" applyFill="1" applyBorder="1" applyAlignment="1">
      <alignment horizontal="center" vertical="top"/>
    </xf>
    <xf numFmtId="164" fontId="1" fillId="5" borderId="49" xfId="0" applyNumberFormat="1" applyFont="1" applyFill="1" applyBorder="1" applyAlignment="1">
      <alignment horizontal="center" vertical="top"/>
    </xf>
    <xf numFmtId="164" fontId="2" fillId="4" borderId="76" xfId="0" applyNumberFormat="1" applyFont="1" applyFill="1" applyBorder="1" applyAlignment="1">
      <alignment horizontal="center" vertical="top"/>
    </xf>
    <xf numFmtId="164" fontId="1" fillId="5" borderId="56" xfId="0" applyNumberFormat="1" applyFont="1" applyFill="1" applyBorder="1" applyAlignment="1">
      <alignment horizontal="center" vertical="top"/>
    </xf>
    <xf numFmtId="164" fontId="2" fillId="4" borderId="38" xfId="0" applyNumberFormat="1" applyFont="1" applyFill="1" applyBorder="1" applyAlignment="1">
      <alignment horizontal="center" vertical="top"/>
    </xf>
    <xf numFmtId="164" fontId="2" fillId="4" borderId="77" xfId="0" applyNumberFormat="1" applyFont="1" applyFill="1" applyBorder="1" applyAlignment="1">
      <alignment horizontal="center" vertical="top"/>
    </xf>
    <xf numFmtId="164" fontId="1" fillId="5" borderId="78" xfId="0" applyNumberFormat="1" applyFont="1" applyFill="1" applyBorder="1" applyAlignment="1">
      <alignment horizontal="center" vertical="top"/>
    </xf>
    <xf numFmtId="164" fontId="1" fillId="5" borderId="37" xfId="0" applyNumberFormat="1" applyFont="1" applyFill="1" applyBorder="1" applyAlignment="1">
      <alignment horizontal="center" vertical="top"/>
    </xf>
    <xf numFmtId="164" fontId="2" fillId="4" borderId="67" xfId="0" applyNumberFormat="1" applyFont="1" applyFill="1" applyBorder="1" applyAlignment="1">
      <alignment horizontal="center" vertical="top" wrapText="1"/>
    </xf>
    <xf numFmtId="0" fontId="1" fillId="5" borderId="62" xfId="0" applyFont="1" applyFill="1" applyBorder="1" applyAlignment="1">
      <alignment horizontal="center" vertical="top" wrapText="1"/>
    </xf>
    <xf numFmtId="164" fontId="2" fillId="4" borderId="36" xfId="0" applyNumberFormat="1" applyFont="1" applyFill="1" applyBorder="1" applyAlignment="1">
      <alignment horizontal="center" vertical="top"/>
    </xf>
    <xf numFmtId="164" fontId="1" fillId="5" borderId="64" xfId="0" applyNumberFormat="1" applyFont="1" applyFill="1" applyBorder="1" applyAlignment="1">
      <alignment horizontal="center" vertical="top"/>
    </xf>
    <xf numFmtId="164" fontId="2" fillId="4" borderId="63" xfId="0" applyNumberFormat="1" applyFont="1" applyFill="1" applyBorder="1" applyAlignment="1">
      <alignment horizontal="center" vertical="top"/>
    </xf>
    <xf numFmtId="164" fontId="2" fillId="2" borderId="38" xfId="0" applyNumberFormat="1" applyFont="1" applyFill="1" applyBorder="1" applyAlignment="1">
      <alignment horizontal="center" vertical="top"/>
    </xf>
    <xf numFmtId="164" fontId="2" fillId="2" borderId="16" xfId="0" applyNumberFormat="1" applyFont="1" applyFill="1" applyBorder="1" applyAlignment="1">
      <alignment horizontal="center" vertical="top"/>
    </xf>
    <xf numFmtId="164" fontId="1" fillId="5" borderId="73" xfId="0" applyNumberFormat="1" applyFont="1" applyFill="1" applyBorder="1" applyAlignment="1">
      <alignment horizontal="center" vertical="top"/>
    </xf>
    <xf numFmtId="164" fontId="2" fillId="5" borderId="73" xfId="0" applyNumberFormat="1" applyFont="1" applyFill="1" applyBorder="1" applyAlignment="1">
      <alignment horizontal="center" vertical="top"/>
    </xf>
    <xf numFmtId="164" fontId="2" fillId="4" borderId="39" xfId="0" applyNumberFormat="1" applyFont="1" applyFill="1" applyBorder="1" applyAlignment="1">
      <alignment horizontal="center" vertical="top" wrapText="1"/>
    </xf>
    <xf numFmtId="164" fontId="1" fillId="3" borderId="31" xfId="0" applyNumberFormat="1" applyFont="1" applyFill="1" applyBorder="1" applyAlignment="1">
      <alignment horizontal="center" vertical="top"/>
    </xf>
    <xf numFmtId="0" fontId="1" fillId="5" borderId="37" xfId="0" applyFont="1" applyFill="1" applyBorder="1" applyAlignment="1">
      <alignment horizontal="center" vertical="top" wrapText="1"/>
    </xf>
    <xf numFmtId="0" fontId="1" fillId="5" borderId="56" xfId="0" applyFont="1" applyFill="1" applyBorder="1" applyAlignment="1">
      <alignment horizontal="center" vertical="top" wrapText="1"/>
    </xf>
    <xf numFmtId="164" fontId="1" fillId="5" borderId="73" xfId="0" applyNumberFormat="1" applyFont="1" applyFill="1" applyBorder="1" applyAlignment="1">
      <alignment horizontal="center" vertical="top" wrapText="1"/>
    </xf>
    <xf numFmtId="164" fontId="1" fillId="5" borderId="62" xfId="0" applyNumberFormat="1" applyFont="1" applyFill="1" applyBorder="1" applyAlignment="1">
      <alignment horizontal="center" vertical="top" wrapText="1"/>
    </xf>
    <xf numFmtId="164" fontId="1" fillId="5" borderId="72" xfId="0" applyNumberFormat="1" applyFont="1" applyFill="1" applyBorder="1" applyAlignment="1">
      <alignment horizontal="center" vertical="top" wrapText="1"/>
    </xf>
    <xf numFmtId="164" fontId="1" fillId="5" borderId="36" xfId="0" applyNumberFormat="1" applyFont="1" applyFill="1" applyBorder="1" applyAlignment="1">
      <alignment horizontal="center" vertical="top" wrapText="1"/>
    </xf>
    <xf numFmtId="164" fontId="1" fillId="3" borderId="63" xfId="0" applyNumberFormat="1" applyFont="1" applyFill="1" applyBorder="1" applyAlignment="1">
      <alignment horizontal="center" vertical="top" wrapText="1"/>
    </xf>
    <xf numFmtId="164" fontId="2" fillId="4" borderId="72" xfId="0" applyNumberFormat="1" applyFont="1" applyFill="1" applyBorder="1" applyAlignment="1">
      <alignment horizontal="center" vertical="top"/>
    </xf>
    <xf numFmtId="164" fontId="1" fillId="5" borderId="56" xfId="0" applyNumberFormat="1" applyFont="1" applyFill="1" applyBorder="1" applyAlignment="1">
      <alignment horizontal="center" vertical="top" wrapText="1"/>
    </xf>
    <xf numFmtId="164" fontId="1" fillId="5" borderId="37" xfId="0" applyNumberFormat="1" applyFont="1" applyFill="1" applyBorder="1" applyAlignment="1">
      <alignment horizontal="center" vertical="top" wrapText="1"/>
    </xf>
    <xf numFmtId="164" fontId="1" fillId="3" borderId="36" xfId="0" applyNumberFormat="1" applyFont="1" applyFill="1" applyBorder="1" applyAlignment="1">
      <alignment horizontal="center" vertical="top" wrapText="1"/>
    </xf>
    <xf numFmtId="164" fontId="1" fillId="5" borderId="57" xfId="0" applyNumberFormat="1" applyFont="1" applyFill="1" applyBorder="1" applyAlignment="1">
      <alignment horizontal="center" vertical="top" wrapText="1"/>
    </xf>
    <xf numFmtId="164" fontId="2" fillId="9" borderId="42" xfId="0" applyNumberFormat="1" applyFont="1" applyFill="1" applyBorder="1" applyAlignment="1">
      <alignment horizontal="center" vertical="top"/>
    </xf>
    <xf numFmtId="164" fontId="2" fillId="7" borderId="38" xfId="0" applyNumberFormat="1" applyFont="1" applyFill="1" applyBorder="1" applyAlignment="1">
      <alignment horizontal="center" vertical="top"/>
    </xf>
    <xf numFmtId="164" fontId="1" fillId="3" borderId="26" xfId="0" applyNumberFormat="1" applyFont="1" applyFill="1" applyBorder="1" applyAlignment="1">
      <alignment horizontal="center" vertical="top" wrapText="1"/>
    </xf>
    <xf numFmtId="49" fontId="2" fillId="9" borderId="47" xfId="0" applyNumberFormat="1" applyFont="1" applyFill="1" applyBorder="1" applyAlignment="1">
      <alignment horizontal="center" vertical="top" wrapText="1"/>
    </xf>
    <xf numFmtId="49" fontId="2" fillId="2" borderId="42" xfId="0" applyNumberFormat="1" applyFont="1" applyFill="1" applyBorder="1" applyAlignment="1">
      <alignment horizontal="center" vertical="top"/>
    </xf>
    <xf numFmtId="3" fontId="1" fillId="3" borderId="12" xfId="0" applyNumberFormat="1" applyFont="1" applyFill="1" applyBorder="1" applyAlignment="1">
      <alignment horizontal="center" vertical="top" wrapText="1"/>
    </xf>
    <xf numFmtId="164" fontId="2" fillId="2" borderId="34" xfId="0" applyNumberFormat="1" applyFont="1" applyFill="1" applyBorder="1" applyAlignment="1">
      <alignment horizontal="center" vertical="top"/>
    </xf>
    <xf numFmtId="164" fontId="2" fillId="2" borderId="63" xfId="0" applyNumberFormat="1" applyFont="1" applyFill="1" applyBorder="1" applyAlignment="1">
      <alignment horizontal="center" vertical="top"/>
    </xf>
    <xf numFmtId="3" fontId="2" fillId="0" borderId="44" xfId="0" applyNumberFormat="1" applyFont="1" applyFill="1" applyBorder="1" applyAlignment="1">
      <alignment horizontal="center" vertical="top" textRotation="90"/>
    </xf>
    <xf numFmtId="3" fontId="5" fillId="0" borderId="11" xfId="0" applyNumberFormat="1" applyFont="1" applyFill="1" applyBorder="1" applyAlignment="1">
      <alignment horizontal="center" vertical="top" textRotation="90"/>
    </xf>
    <xf numFmtId="3" fontId="1" fillId="0" borderId="29" xfId="0" applyNumberFormat="1" applyFont="1" applyBorder="1"/>
    <xf numFmtId="164" fontId="1" fillId="5" borderId="23" xfId="0" applyNumberFormat="1" applyFont="1" applyFill="1" applyBorder="1"/>
    <xf numFmtId="3" fontId="1" fillId="5" borderId="14" xfId="0" applyNumberFormat="1" applyFont="1" applyFill="1" applyBorder="1" applyAlignment="1">
      <alignment horizontal="center" vertical="top" wrapText="1"/>
    </xf>
    <xf numFmtId="164" fontId="1" fillId="0" borderId="1" xfId="0" applyNumberFormat="1" applyFont="1" applyBorder="1"/>
    <xf numFmtId="3" fontId="1" fillId="0" borderId="52" xfId="0" applyNumberFormat="1" applyFont="1" applyFill="1" applyBorder="1" applyAlignment="1">
      <alignment horizontal="center" vertical="top" wrapText="1"/>
    </xf>
    <xf numFmtId="3" fontId="1" fillId="0" borderId="64" xfId="0" applyNumberFormat="1" applyFont="1" applyFill="1" applyBorder="1" applyAlignment="1">
      <alignment horizontal="center" vertical="top" wrapText="1"/>
    </xf>
    <xf numFmtId="3" fontId="1" fillId="0" borderId="31" xfId="0" applyNumberFormat="1" applyFont="1" applyBorder="1" applyAlignment="1">
      <alignment horizontal="center" vertical="top" wrapText="1"/>
    </xf>
    <xf numFmtId="3" fontId="1" fillId="0" borderId="37" xfId="0" applyNumberFormat="1" applyFont="1" applyFill="1" applyBorder="1" applyAlignment="1">
      <alignment horizontal="center" vertical="top" wrapText="1"/>
    </xf>
    <xf numFmtId="0" fontId="1" fillId="0" borderId="39" xfId="0" applyFont="1" applyBorder="1" applyAlignment="1">
      <alignment horizontal="center" vertical="top" wrapText="1"/>
    </xf>
    <xf numFmtId="0" fontId="8" fillId="0" borderId="39" xfId="0" applyFont="1" applyBorder="1" applyAlignment="1">
      <alignment horizontal="center" vertical="top" wrapText="1"/>
    </xf>
    <xf numFmtId="0" fontId="1" fillId="5" borderId="39" xfId="0" applyFont="1" applyFill="1" applyBorder="1" applyAlignment="1">
      <alignment horizontal="center" vertical="top" wrapText="1"/>
    </xf>
    <xf numFmtId="1" fontId="1" fillId="5" borderId="29" xfId="0" applyNumberFormat="1" applyFont="1" applyFill="1" applyBorder="1" applyAlignment="1">
      <alignment horizontal="center" vertical="top" wrapText="1"/>
    </xf>
    <xf numFmtId="1" fontId="1" fillId="5" borderId="23" xfId="0" applyNumberFormat="1" applyFont="1" applyFill="1" applyBorder="1" applyAlignment="1">
      <alignment horizontal="center" vertical="top" wrapText="1"/>
    </xf>
    <xf numFmtId="1" fontId="1" fillId="5" borderId="14" xfId="0" applyNumberFormat="1" applyFont="1" applyFill="1" applyBorder="1" applyAlignment="1">
      <alignment horizontal="center" vertical="top" wrapText="1"/>
    </xf>
    <xf numFmtId="1" fontId="1" fillId="0" borderId="14" xfId="0" applyNumberFormat="1" applyFont="1" applyBorder="1" applyAlignment="1">
      <alignment horizontal="center" vertical="top"/>
    </xf>
    <xf numFmtId="1" fontId="15" fillId="5" borderId="23" xfId="0" applyNumberFormat="1" applyFont="1" applyFill="1" applyBorder="1" applyAlignment="1">
      <alignment horizontal="center" vertical="top"/>
    </xf>
    <xf numFmtId="1" fontId="1" fillId="5" borderId="52" xfId="0" applyNumberFormat="1"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3" fontId="1" fillId="0" borderId="27" xfId="0" applyNumberFormat="1" applyFont="1" applyFill="1" applyBorder="1" applyAlignment="1">
      <alignment horizontal="center" vertical="top" wrapText="1"/>
    </xf>
    <xf numFmtId="3" fontId="1" fillId="0" borderId="62" xfId="0" applyNumberFormat="1" applyFont="1" applyFill="1" applyBorder="1" applyAlignment="1">
      <alignment horizontal="center" vertical="top" wrapText="1"/>
    </xf>
    <xf numFmtId="0" fontId="1" fillId="0" borderId="52"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0" fontId="1" fillId="5" borderId="52" xfId="0" applyFont="1" applyFill="1" applyBorder="1" applyAlignment="1">
      <alignment horizontal="center" vertical="top" wrapText="1"/>
    </xf>
    <xf numFmtId="1" fontId="1" fillId="5" borderId="31" xfId="0" applyNumberFormat="1" applyFont="1" applyFill="1" applyBorder="1" applyAlignment="1">
      <alignment horizontal="center" vertical="top" wrapText="1"/>
    </xf>
    <xf numFmtId="1" fontId="1" fillId="5" borderId="37" xfId="0" applyNumberFormat="1" applyFont="1" applyFill="1" applyBorder="1" applyAlignment="1">
      <alignment horizontal="center" vertical="top" wrapText="1"/>
    </xf>
    <xf numFmtId="1" fontId="1" fillId="5" borderId="56" xfId="0" applyNumberFormat="1" applyFont="1" applyFill="1" applyBorder="1" applyAlignment="1">
      <alignment horizontal="center" vertical="top" wrapText="1"/>
    </xf>
    <xf numFmtId="1" fontId="15" fillId="5" borderId="56" xfId="0" applyNumberFormat="1" applyFont="1" applyFill="1" applyBorder="1" applyAlignment="1">
      <alignment horizontal="center" vertical="top"/>
    </xf>
    <xf numFmtId="3" fontId="1" fillId="0" borderId="57" xfId="0" applyNumberFormat="1" applyFont="1" applyFill="1" applyBorder="1" applyAlignment="1">
      <alignment horizontal="center" vertical="top" wrapText="1"/>
    </xf>
    <xf numFmtId="3" fontId="1" fillId="5" borderId="72" xfId="0" applyNumberFormat="1" applyFont="1" applyFill="1" applyBorder="1" applyAlignment="1">
      <alignment horizontal="center" vertical="top" wrapText="1"/>
    </xf>
    <xf numFmtId="3" fontId="1" fillId="5" borderId="63" xfId="0" applyNumberFormat="1" applyFont="1" applyFill="1" applyBorder="1" applyAlignment="1">
      <alignment horizontal="center" vertical="top" wrapText="1"/>
    </xf>
    <xf numFmtId="3" fontId="1" fillId="5" borderId="23" xfId="0" applyNumberFormat="1" applyFont="1" applyFill="1" applyBorder="1" applyAlignment="1">
      <alignment vertical="top" wrapText="1"/>
    </xf>
    <xf numFmtId="3" fontId="1" fillId="0" borderId="31" xfId="0" applyNumberFormat="1" applyFont="1" applyBorder="1"/>
    <xf numFmtId="3" fontId="1" fillId="0" borderId="37" xfId="0" applyNumberFormat="1" applyFont="1" applyBorder="1"/>
    <xf numFmtId="164" fontId="1" fillId="5" borderId="56" xfId="0" applyNumberFormat="1" applyFont="1" applyFill="1" applyBorder="1"/>
    <xf numFmtId="164" fontId="1" fillId="0" borderId="39" xfId="0" applyNumberFormat="1" applyFont="1" applyBorder="1"/>
    <xf numFmtId="164" fontId="11" fillId="0" borderId="64" xfId="0" applyNumberFormat="1" applyFont="1" applyBorder="1" applyAlignment="1">
      <alignment horizontal="center" vertical="center" textRotation="90" wrapText="1"/>
    </xf>
    <xf numFmtId="164" fontId="2" fillId="7" borderId="72"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wrapText="1"/>
    </xf>
    <xf numFmtId="164" fontId="1" fillId="0" borderId="62" xfId="0" applyNumberFormat="1" applyFont="1" applyBorder="1" applyAlignment="1">
      <alignment horizontal="center" vertical="top"/>
    </xf>
    <xf numFmtId="164" fontId="1" fillId="4" borderId="62" xfId="0" applyNumberFormat="1" applyFont="1" applyFill="1" applyBorder="1" applyAlignment="1">
      <alignment horizontal="center" vertical="top"/>
    </xf>
    <xf numFmtId="164" fontId="2" fillId="7" borderId="72" xfId="0" applyNumberFormat="1" applyFont="1" applyFill="1" applyBorder="1" applyAlignment="1">
      <alignment horizontal="center" vertical="top"/>
    </xf>
    <xf numFmtId="164" fontId="1" fillId="0" borderId="36" xfId="0" applyNumberFormat="1" applyFont="1" applyBorder="1" applyAlignment="1">
      <alignment horizontal="center" vertical="top"/>
    </xf>
    <xf numFmtId="164" fontId="2" fillId="7" borderId="57" xfId="0" applyNumberFormat="1" applyFont="1" applyFill="1" applyBorder="1" applyAlignment="1">
      <alignment horizontal="center" vertical="top" wrapText="1"/>
    </xf>
    <xf numFmtId="164" fontId="2" fillId="4" borderId="56" xfId="0" applyNumberFormat="1" applyFont="1" applyFill="1" applyBorder="1" applyAlignment="1">
      <alignment horizontal="center" vertical="top" wrapText="1"/>
    </xf>
    <xf numFmtId="164" fontId="1" fillId="0" borderId="56" xfId="0" applyNumberFormat="1" applyFont="1" applyBorder="1" applyAlignment="1">
      <alignment horizontal="center" vertical="top"/>
    </xf>
    <xf numFmtId="164" fontId="1" fillId="4" borderId="56" xfId="0" applyNumberFormat="1" applyFont="1" applyFill="1" applyBorder="1" applyAlignment="1">
      <alignment horizontal="center" vertical="top"/>
    </xf>
    <xf numFmtId="164" fontId="2" fillId="7" borderId="57" xfId="0" applyNumberFormat="1" applyFont="1" applyFill="1" applyBorder="1" applyAlignment="1">
      <alignment horizontal="center" vertical="top"/>
    </xf>
    <xf numFmtId="164" fontId="1" fillId="0" borderId="37" xfId="0" applyNumberFormat="1" applyFont="1" applyBorder="1" applyAlignment="1">
      <alignment horizontal="center" vertical="top"/>
    </xf>
    <xf numFmtId="164" fontId="2" fillId="7" borderId="65" xfId="0" applyNumberFormat="1" applyFont="1" applyFill="1" applyBorder="1" applyAlignment="1">
      <alignment horizontal="center" vertical="top" wrapText="1"/>
    </xf>
    <xf numFmtId="164" fontId="2" fillId="4" borderId="78" xfId="0" applyNumberFormat="1" applyFont="1" applyFill="1" applyBorder="1" applyAlignment="1">
      <alignment horizontal="center" vertical="top" wrapText="1"/>
    </xf>
    <xf numFmtId="164" fontId="1" fillId="0" borderId="78" xfId="0" applyNumberFormat="1" applyFont="1" applyBorder="1" applyAlignment="1">
      <alignment horizontal="center" vertical="top"/>
    </xf>
    <xf numFmtId="164" fontId="1" fillId="4" borderId="78" xfId="0" applyNumberFormat="1" applyFont="1" applyFill="1" applyBorder="1" applyAlignment="1">
      <alignment horizontal="center" vertical="top"/>
    </xf>
    <xf numFmtId="164" fontId="2" fillId="7" borderId="65" xfId="0" applyNumberFormat="1" applyFont="1" applyFill="1" applyBorder="1" applyAlignment="1">
      <alignment horizontal="center" vertical="top"/>
    </xf>
    <xf numFmtId="164" fontId="1" fillId="0" borderId="66" xfId="0" applyNumberFormat="1" applyFont="1" applyBorder="1" applyAlignment="1">
      <alignment horizontal="center" vertical="top"/>
    </xf>
    <xf numFmtId="164" fontId="2" fillId="7" borderId="9" xfId="0" applyNumberFormat="1" applyFont="1" applyFill="1" applyBorder="1" applyAlignment="1">
      <alignment horizontal="center" vertical="top" wrapText="1"/>
    </xf>
    <xf numFmtId="164" fontId="2" fillId="4" borderId="47" xfId="0" applyNumberFormat="1" applyFont="1" applyFill="1" applyBorder="1" applyAlignment="1">
      <alignment horizontal="center" vertical="top" wrapText="1"/>
    </xf>
    <xf numFmtId="164" fontId="1" fillId="5" borderId="47" xfId="0" applyNumberFormat="1" applyFont="1" applyFill="1" applyBorder="1" applyAlignment="1">
      <alignment horizontal="center" vertical="top"/>
    </xf>
    <xf numFmtId="164" fontId="1" fillId="0" borderId="47" xfId="0" applyNumberFormat="1" applyFont="1" applyBorder="1" applyAlignment="1">
      <alignment horizontal="center" vertical="top"/>
    </xf>
    <xf numFmtId="164" fontId="1" fillId="4" borderId="47" xfId="0" applyNumberFormat="1" applyFont="1" applyFill="1" applyBorder="1" applyAlignment="1">
      <alignment horizontal="center" vertical="top"/>
    </xf>
    <xf numFmtId="164" fontId="2" fillId="7" borderId="9" xfId="0" applyNumberFormat="1" applyFont="1" applyFill="1" applyBorder="1" applyAlignment="1">
      <alignment horizontal="center" vertical="top"/>
    </xf>
    <xf numFmtId="164" fontId="1" fillId="0" borderId="44" xfId="0" applyNumberFormat="1" applyFont="1" applyBorder="1" applyAlignment="1">
      <alignment horizontal="center" vertical="top"/>
    </xf>
    <xf numFmtId="164" fontId="2" fillId="4" borderId="79" xfId="0" applyNumberFormat="1" applyFont="1" applyFill="1" applyBorder="1" applyAlignment="1">
      <alignment horizontal="center" vertical="top"/>
    </xf>
    <xf numFmtId="164" fontId="2" fillId="7" borderId="22" xfId="0" applyNumberFormat="1" applyFont="1" applyFill="1" applyBorder="1" applyAlignment="1">
      <alignment horizontal="center" vertical="top" wrapText="1"/>
    </xf>
    <xf numFmtId="164" fontId="2" fillId="7" borderId="55" xfId="0" applyNumberFormat="1" applyFont="1" applyFill="1" applyBorder="1" applyAlignment="1">
      <alignment horizontal="center" vertical="top" wrapText="1"/>
    </xf>
    <xf numFmtId="164" fontId="2" fillId="7" borderId="24" xfId="0" applyNumberFormat="1" applyFont="1" applyFill="1" applyBorder="1" applyAlignment="1">
      <alignment horizontal="center" vertical="top" wrapText="1"/>
    </xf>
    <xf numFmtId="164" fontId="11" fillId="0" borderId="19" xfId="0" applyNumberFormat="1" applyFont="1" applyBorder="1" applyAlignment="1">
      <alignment horizontal="center" vertical="center" textRotation="90" wrapText="1"/>
    </xf>
    <xf numFmtId="164" fontId="11" fillId="0" borderId="75" xfId="0" applyNumberFormat="1" applyFont="1" applyBorder="1" applyAlignment="1">
      <alignment horizontal="center" vertical="center" textRotation="90" wrapText="1"/>
    </xf>
    <xf numFmtId="164" fontId="11" fillId="0" borderId="51" xfId="0" applyNumberFormat="1" applyFont="1" applyBorder="1" applyAlignment="1">
      <alignment horizontal="center" vertical="center" textRotation="90" wrapText="1"/>
    </xf>
    <xf numFmtId="3" fontId="1" fillId="0" borderId="74" xfId="0" applyNumberFormat="1" applyFont="1" applyFill="1" applyBorder="1" applyAlignment="1">
      <alignment horizontal="center" vertical="top" wrapText="1"/>
    </xf>
    <xf numFmtId="1" fontId="1" fillId="0" borderId="52"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0" borderId="78" xfId="0" applyNumberFormat="1" applyFont="1" applyBorder="1" applyAlignment="1">
      <alignment horizontal="center" vertical="top"/>
    </xf>
    <xf numFmtId="0" fontId="1" fillId="5" borderId="68" xfId="0" applyFont="1" applyFill="1" applyBorder="1" applyAlignment="1">
      <alignment horizontal="center" vertical="top" wrapText="1"/>
    </xf>
    <xf numFmtId="3" fontId="15" fillId="5" borderId="14" xfId="0" applyNumberFormat="1" applyFont="1" applyFill="1" applyBorder="1" applyAlignment="1">
      <alignment horizontal="center" vertical="top"/>
    </xf>
    <xf numFmtId="3" fontId="1" fillId="5" borderId="68"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1" fillId="0" borderId="72" xfId="0" applyNumberFormat="1" applyFont="1" applyFill="1" applyBorder="1" applyAlignment="1">
      <alignment horizontal="center" vertical="top" wrapText="1"/>
    </xf>
    <xf numFmtId="3" fontId="1" fillId="0" borderId="14" xfId="0" applyNumberFormat="1" applyFont="1" applyBorder="1" applyAlignment="1">
      <alignment horizontal="center"/>
    </xf>
    <xf numFmtId="3" fontId="2" fillId="0" borderId="1" xfId="0" applyNumberFormat="1" applyFont="1" applyBorder="1" applyAlignment="1">
      <alignment horizontal="center" vertical="center" textRotation="90"/>
    </xf>
    <xf numFmtId="3" fontId="1" fillId="0" borderId="59" xfId="0" applyNumberFormat="1" applyFont="1" applyBorder="1" applyAlignment="1">
      <alignment horizontal="center" vertical="center" textRotation="90"/>
    </xf>
    <xf numFmtId="3" fontId="2" fillId="0" borderId="39" xfId="0" applyNumberFormat="1" applyFont="1" applyBorder="1" applyAlignment="1">
      <alignment horizontal="center" vertical="center" textRotation="90"/>
    </xf>
    <xf numFmtId="3" fontId="1" fillId="0" borderId="6" xfId="0" applyNumberFormat="1" applyFont="1" applyFill="1" applyBorder="1" applyAlignment="1">
      <alignment horizontal="center" vertical="top" wrapText="1"/>
    </xf>
    <xf numFmtId="3" fontId="1" fillId="0" borderId="66" xfId="0" applyNumberFormat="1" applyFont="1" applyBorder="1" applyAlignment="1">
      <alignment horizontal="center" vertical="top" wrapText="1"/>
    </xf>
    <xf numFmtId="3" fontId="1" fillId="5" borderId="59" xfId="0" applyNumberFormat="1" applyFont="1" applyFill="1" applyBorder="1" applyAlignment="1">
      <alignment horizontal="center" vertical="top" wrapText="1"/>
    </xf>
    <xf numFmtId="0" fontId="8" fillId="0" borderId="59" xfId="0" applyFont="1" applyBorder="1" applyAlignment="1">
      <alignment horizontal="center" vertical="top" wrapText="1"/>
    </xf>
    <xf numFmtId="3" fontId="1" fillId="5" borderId="60" xfId="0" applyNumberFormat="1" applyFont="1" applyFill="1" applyBorder="1" applyAlignment="1">
      <alignment horizontal="center" vertical="top" wrapText="1"/>
    </xf>
    <xf numFmtId="3" fontId="1" fillId="5" borderId="66" xfId="0" applyNumberFormat="1" applyFont="1" applyFill="1" applyBorder="1" applyAlignment="1">
      <alignment horizontal="center" vertical="top" wrapText="1"/>
    </xf>
    <xf numFmtId="0" fontId="1" fillId="5" borderId="59" xfId="0" applyFont="1" applyFill="1" applyBorder="1" applyAlignment="1">
      <alignment horizontal="center" vertical="top" wrapText="1"/>
    </xf>
    <xf numFmtId="3" fontId="1" fillId="0" borderId="28" xfId="0" applyNumberFormat="1" applyFont="1" applyBorder="1" applyAlignment="1">
      <alignment horizontal="center" vertical="top" wrapText="1"/>
    </xf>
    <xf numFmtId="3" fontId="1" fillId="5" borderId="49" xfId="0" applyNumberFormat="1" applyFont="1" applyFill="1" applyBorder="1" applyAlignment="1">
      <alignment vertical="top" wrapText="1"/>
    </xf>
    <xf numFmtId="3" fontId="1" fillId="5" borderId="39" xfId="0" applyNumberFormat="1" applyFont="1" applyFill="1" applyBorder="1" applyAlignment="1">
      <alignment vertical="top" wrapText="1"/>
    </xf>
    <xf numFmtId="3" fontId="1" fillId="0" borderId="73" xfId="0" applyNumberFormat="1" applyFont="1" applyBorder="1" applyAlignment="1">
      <alignment horizontal="center" vertical="top" wrapText="1"/>
    </xf>
    <xf numFmtId="3" fontId="1" fillId="5" borderId="78" xfId="0" applyNumberFormat="1" applyFont="1" applyFill="1" applyBorder="1" applyAlignment="1">
      <alignment horizontal="center" vertical="top" wrapText="1"/>
    </xf>
    <xf numFmtId="1" fontId="1" fillId="5" borderId="60" xfId="0" applyNumberFormat="1" applyFont="1" applyFill="1" applyBorder="1" applyAlignment="1">
      <alignment horizontal="center" vertical="top" wrapText="1"/>
    </xf>
    <xf numFmtId="1" fontId="1" fillId="5" borderId="66" xfId="0" applyNumberFormat="1" applyFont="1" applyFill="1" applyBorder="1" applyAlignment="1">
      <alignment horizontal="center" vertical="top" wrapText="1"/>
    </xf>
    <xf numFmtId="1" fontId="1" fillId="5" borderId="78" xfId="0" applyNumberFormat="1" applyFont="1" applyFill="1" applyBorder="1" applyAlignment="1">
      <alignment horizontal="center" vertical="top" wrapText="1"/>
    </xf>
    <xf numFmtId="1" fontId="1" fillId="5" borderId="65" xfId="0" applyNumberFormat="1" applyFont="1" applyFill="1" applyBorder="1" applyAlignment="1">
      <alignment horizontal="center" vertical="top" wrapText="1"/>
    </xf>
    <xf numFmtId="1" fontId="1" fillId="0" borderId="65" xfId="0" applyNumberFormat="1" applyFont="1" applyBorder="1" applyAlignment="1">
      <alignment horizontal="center" vertical="top"/>
    </xf>
    <xf numFmtId="1" fontId="15" fillId="5" borderId="78" xfId="0" applyNumberFormat="1" applyFont="1" applyFill="1" applyBorder="1" applyAlignment="1">
      <alignment horizontal="center" vertical="top"/>
    </xf>
    <xf numFmtId="3" fontId="1" fillId="0" borderId="68" xfId="0" applyNumberFormat="1" applyFont="1" applyBorder="1" applyAlignment="1">
      <alignment horizontal="center" vertical="top"/>
    </xf>
    <xf numFmtId="1" fontId="1" fillId="0" borderId="68" xfId="0" applyNumberFormat="1" applyFont="1" applyFill="1" applyBorder="1" applyAlignment="1">
      <alignment horizontal="center" vertical="top" wrapText="1"/>
    </xf>
    <xf numFmtId="0" fontId="1" fillId="0" borderId="65" xfId="0" applyNumberFormat="1" applyFont="1" applyFill="1" applyBorder="1" applyAlignment="1">
      <alignment horizontal="center" vertical="top" wrapText="1"/>
    </xf>
    <xf numFmtId="3" fontId="1" fillId="0" borderId="66" xfId="0" applyNumberFormat="1" applyFont="1" applyFill="1" applyBorder="1" applyAlignment="1">
      <alignment horizontal="center" vertical="top" wrapText="1"/>
    </xf>
    <xf numFmtId="1" fontId="1" fillId="5" borderId="56" xfId="0" applyNumberFormat="1" applyFont="1" applyFill="1" applyBorder="1" applyAlignment="1">
      <alignment horizontal="center" vertical="top"/>
    </xf>
    <xf numFmtId="3" fontId="1" fillId="5" borderId="49" xfId="0" applyNumberFormat="1" applyFont="1" applyFill="1" applyBorder="1" applyAlignment="1">
      <alignment horizontal="center" vertical="top"/>
    </xf>
    <xf numFmtId="1" fontId="1" fillId="0" borderId="49" xfId="0" applyNumberFormat="1" applyFont="1" applyFill="1" applyBorder="1" applyAlignment="1">
      <alignment horizontal="center" vertical="top" wrapText="1"/>
    </xf>
    <xf numFmtId="0" fontId="1" fillId="0" borderId="49" xfId="0" applyNumberFormat="1" applyFont="1" applyFill="1" applyBorder="1" applyAlignment="1">
      <alignment horizontal="center" vertical="top" wrapText="1"/>
    </xf>
    <xf numFmtId="3" fontId="15" fillId="0" borderId="57" xfId="0" applyNumberFormat="1" applyFont="1" applyFill="1" applyBorder="1" applyAlignment="1">
      <alignment horizontal="center" vertical="top" wrapText="1"/>
    </xf>
    <xf numFmtId="0" fontId="1" fillId="5" borderId="49" xfId="0" applyFont="1" applyFill="1" applyBorder="1" applyAlignment="1">
      <alignment horizontal="center" vertical="top" wrapText="1"/>
    </xf>
    <xf numFmtId="1" fontId="15" fillId="5" borderId="22" xfId="0" applyNumberFormat="1" applyFont="1" applyFill="1" applyBorder="1" applyAlignment="1">
      <alignment horizontal="center" vertical="top"/>
    </xf>
    <xf numFmtId="3" fontId="1" fillId="0" borderId="60" xfId="0" applyNumberFormat="1" applyFont="1" applyBorder="1"/>
    <xf numFmtId="3" fontId="1" fillId="0" borderId="66" xfId="0" applyNumberFormat="1" applyFont="1" applyBorder="1"/>
    <xf numFmtId="164" fontId="1" fillId="5" borderId="78" xfId="0" applyNumberFormat="1" applyFont="1" applyFill="1" applyBorder="1"/>
    <xf numFmtId="3" fontId="15" fillId="5" borderId="65" xfId="0" applyNumberFormat="1" applyFont="1" applyFill="1" applyBorder="1" applyAlignment="1">
      <alignment horizontal="center" vertical="top"/>
    </xf>
    <xf numFmtId="3" fontId="1" fillId="5" borderId="65" xfId="0" applyNumberFormat="1" applyFont="1" applyFill="1" applyBorder="1" applyAlignment="1">
      <alignment horizontal="center" vertical="top"/>
    </xf>
    <xf numFmtId="164" fontId="1" fillId="0" borderId="59" xfId="0" applyNumberFormat="1" applyFont="1" applyBorder="1"/>
    <xf numFmtId="3" fontId="1" fillId="5" borderId="78" xfId="0" applyNumberFormat="1" applyFont="1" applyFill="1" applyBorder="1" applyAlignment="1">
      <alignment vertical="top" wrapText="1"/>
    </xf>
    <xf numFmtId="3" fontId="1" fillId="5" borderId="73" xfId="0" applyNumberFormat="1" applyFont="1" applyFill="1" applyBorder="1" applyAlignment="1">
      <alignment horizontal="center" vertical="top" wrapText="1"/>
    </xf>
    <xf numFmtId="3" fontId="15" fillId="5" borderId="57" xfId="0" applyNumberFormat="1" applyFont="1" applyFill="1" applyBorder="1" applyAlignment="1">
      <alignment horizontal="center" vertical="top"/>
    </xf>
    <xf numFmtId="3" fontId="1" fillId="5" borderId="57" xfId="0" applyNumberFormat="1" applyFont="1" applyFill="1" applyBorder="1" applyAlignment="1">
      <alignment horizontal="center" vertical="top"/>
    </xf>
    <xf numFmtId="3" fontId="1" fillId="0" borderId="45" xfId="0" applyNumberFormat="1" applyFont="1" applyBorder="1" applyAlignment="1">
      <alignment horizontal="center" vertical="top" wrapText="1"/>
    </xf>
    <xf numFmtId="3" fontId="1" fillId="0" borderId="53" xfId="0" applyNumberFormat="1" applyFont="1" applyBorder="1" applyAlignment="1">
      <alignment horizontal="center" vertical="top" wrapText="1"/>
    </xf>
    <xf numFmtId="3" fontId="1" fillId="0" borderId="53" xfId="0" applyNumberFormat="1" applyFont="1" applyBorder="1" applyAlignment="1">
      <alignment horizontal="center"/>
    </xf>
    <xf numFmtId="3" fontId="1" fillId="0" borderId="73" xfId="0" applyNumberFormat="1" applyFont="1" applyBorder="1" applyAlignment="1">
      <alignment horizontal="center" vertical="top"/>
    </xf>
    <xf numFmtId="164" fontId="20" fillId="0" borderId="73" xfId="0" applyNumberFormat="1" applyFont="1" applyBorder="1" applyAlignment="1">
      <alignment horizontal="center" vertical="center" textRotation="90" wrapText="1"/>
    </xf>
    <xf numFmtId="164" fontId="20" fillId="0" borderId="64" xfId="0" applyNumberFormat="1" applyFont="1" applyBorder="1" applyAlignment="1">
      <alignment horizontal="center" vertical="center" textRotation="90" wrapText="1"/>
    </xf>
    <xf numFmtId="49" fontId="2" fillId="2" borderId="11"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2" fillId="5" borderId="12" xfId="0" applyNumberFormat="1" applyFont="1" applyFill="1" applyBorder="1" applyAlignment="1">
      <alignment horizontal="left" vertical="top" wrapText="1"/>
    </xf>
    <xf numFmtId="3" fontId="21" fillId="5" borderId="12"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164" fontId="1" fillId="0" borderId="72" xfId="0" applyNumberFormat="1" applyFont="1" applyBorder="1" applyAlignment="1">
      <alignment horizontal="center" vertical="top"/>
    </xf>
    <xf numFmtId="164" fontId="1" fillId="0" borderId="57" xfId="0" applyNumberFormat="1" applyFont="1" applyBorder="1" applyAlignment="1">
      <alignment horizontal="center" vertical="top"/>
    </xf>
    <xf numFmtId="164" fontId="1" fillId="0" borderId="65" xfId="0" applyNumberFormat="1" applyFont="1" applyBorder="1" applyAlignment="1">
      <alignment horizontal="center" vertical="top"/>
    </xf>
    <xf numFmtId="164" fontId="1" fillId="0" borderId="9" xfId="0" applyNumberFormat="1" applyFont="1" applyBorder="1" applyAlignment="1">
      <alignment horizontal="center" vertical="top"/>
    </xf>
    <xf numFmtId="3" fontId="6" fillId="5" borderId="26" xfId="0" applyNumberFormat="1" applyFont="1" applyFill="1" applyBorder="1" applyAlignment="1">
      <alignment horizontal="center" vertical="top" wrapText="1"/>
    </xf>
    <xf numFmtId="3" fontId="2" fillId="5" borderId="22"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5" fillId="0" borderId="11" xfId="0" applyNumberFormat="1" applyFont="1" applyFill="1" applyBorder="1" applyAlignment="1">
      <alignment horizontal="center" vertical="center" textRotation="90" wrapText="1"/>
    </xf>
    <xf numFmtId="3" fontId="16" fillId="0" borderId="12" xfId="0" applyNumberFormat="1" applyFont="1" applyBorder="1" applyAlignment="1">
      <alignment horizontal="center" vertical="top"/>
    </xf>
    <xf numFmtId="3" fontId="2" fillId="5" borderId="26" xfId="0" applyNumberFormat="1" applyFont="1" applyFill="1" applyBorder="1" applyAlignment="1">
      <alignment vertical="center" textRotation="90"/>
    </xf>
    <xf numFmtId="3" fontId="5" fillId="5" borderId="66" xfId="0" applyNumberFormat="1" applyFont="1" applyFill="1" applyBorder="1" applyAlignment="1">
      <alignment horizontal="center" vertical="top" textRotation="90"/>
    </xf>
    <xf numFmtId="164" fontId="2" fillId="2" borderId="25" xfId="0" applyNumberFormat="1" applyFont="1" applyFill="1" applyBorder="1" applyAlignment="1">
      <alignment horizontal="center" vertical="top"/>
    </xf>
    <xf numFmtId="164" fontId="2" fillId="9" borderId="25" xfId="0" applyNumberFormat="1" applyFont="1" applyFill="1" applyBorder="1" applyAlignment="1">
      <alignment horizontal="center" vertical="top"/>
    </xf>
    <xf numFmtId="164" fontId="2" fillId="7" borderId="18" xfId="0" applyNumberFormat="1" applyFont="1" applyFill="1" applyBorder="1" applyAlignment="1">
      <alignment horizontal="center" vertical="top"/>
    </xf>
    <xf numFmtId="164" fontId="1" fillId="5" borderId="30"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2" fillId="4" borderId="79" xfId="0" applyNumberFormat="1" applyFont="1" applyFill="1" applyBorder="1" applyAlignment="1">
      <alignment horizontal="center" vertical="top" wrapText="1"/>
    </xf>
    <xf numFmtId="164" fontId="1" fillId="3" borderId="30" xfId="0" applyNumberFormat="1" applyFont="1" applyFill="1" applyBorder="1" applyAlignment="1">
      <alignment horizontal="center" vertical="top"/>
    </xf>
    <xf numFmtId="164" fontId="1" fillId="5" borderId="44" xfId="0" applyNumberFormat="1" applyFont="1" applyFill="1" applyBorder="1" applyAlignment="1">
      <alignment horizontal="center" vertical="top"/>
    </xf>
    <xf numFmtId="0" fontId="1" fillId="5" borderId="47" xfId="0" applyFont="1" applyFill="1" applyBorder="1" applyAlignment="1">
      <alignment horizontal="center" vertical="top" wrapText="1"/>
    </xf>
    <xf numFmtId="0" fontId="1" fillId="5" borderId="24" xfId="0"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164" fontId="1" fillId="5" borderId="8" xfId="0" applyNumberFormat="1" applyFont="1" applyFill="1" applyBorder="1" applyAlignment="1">
      <alignment horizontal="center" vertical="top" wrapText="1"/>
    </xf>
    <xf numFmtId="164" fontId="2" fillId="4" borderId="44" xfId="0" applyNumberFormat="1" applyFont="1" applyFill="1" applyBorder="1" applyAlignment="1">
      <alignment horizontal="center" vertical="top"/>
    </xf>
    <xf numFmtId="164" fontId="1" fillId="5" borderId="9" xfId="0" applyNumberFormat="1" applyFont="1" applyFill="1" applyBorder="1" applyAlignment="1">
      <alignment horizontal="center" vertical="top"/>
    </xf>
    <xf numFmtId="164" fontId="2" fillId="4" borderId="13" xfId="0" applyNumberFormat="1" applyFont="1" applyFill="1" applyBorder="1" applyAlignment="1">
      <alignment horizontal="center" vertical="top"/>
    </xf>
    <xf numFmtId="164" fontId="2" fillId="5" borderId="2" xfId="0" applyNumberFormat="1" applyFont="1" applyFill="1" applyBorder="1" applyAlignment="1">
      <alignment horizontal="center" vertical="top"/>
    </xf>
    <xf numFmtId="164" fontId="2" fillId="4" borderId="18" xfId="0" applyNumberFormat="1" applyFont="1" applyFill="1" applyBorder="1" applyAlignment="1">
      <alignment horizontal="center" vertical="top"/>
    </xf>
    <xf numFmtId="164" fontId="1" fillId="5" borderId="30" xfId="0" applyNumberFormat="1" applyFont="1" applyFill="1" applyBorder="1" applyAlignment="1">
      <alignment horizontal="center" vertical="top" wrapText="1"/>
    </xf>
    <xf numFmtId="164" fontId="1" fillId="5" borderId="47" xfId="0" applyNumberFormat="1" applyFont="1" applyFill="1" applyBorder="1" applyAlignment="1">
      <alignment horizontal="center" vertical="top" wrapText="1"/>
    </xf>
    <xf numFmtId="164" fontId="1" fillId="3" borderId="13" xfId="0" applyNumberFormat="1" applyFont="1" applyFill="1" applyBorder="1" applyAlignment="1">
      <alignment horizontal="center" vertical="top" wrapText="1"/>
    </xf>
    <xf numFmtId="164" fontId="2" fillId="4" borderId="9" xfId="0" applyNumberFormat="1" applyFont="1" applyFill="1" applyBorder="1" applyAlignment="1">
      <alignment horizontal="center" vertical="top"/>
    </xf>
    <xf numFmtId="164" fontId="2" fillId="2" borderId="79" xfId="0" applyNumberFormat="1" applyFont="1" applyFill="1" applyBorder="1" applyAlignment="1">
      <alignment horizontal="center" vertical="top"/>
    </xf>
    <xf numFmtId="164" fontId="2" fillId="0" borderId="0" xfId="0" applyNumberFormat="1" applyFont="1" applyFill="1" applyBorder="1" applyAlignment="1">
      <alignment horizontal="center" vertical="top" wrapText="1"/>
    </xf>
    <xf numFmtId="3" fontId="5" fillId="0" borderId="52" xfId="0" applyNumberFormat="1" applyFont="1" applyFill="1" applyBorder="1" applyAlignment="1">
      <alignment horizontal="center" vertical="top" textRotation="90" wrapText="1"/>
    </xf>
    <xf numFmtId="3" fontId="1" fillId="0" borderId="66" xfId="0" applyNumberFormat="1" applyFont="1" applyBorder="1" applyAlignment="1">
      <alignment horizontal="center" vertical="top"/>
    </xf>
    <xf numFmtId="3" fontId="5" fillId="0" borderId="60" xfId="0" applyNumberFormat="1" applyFont="1" applyFill="1" applyBorder="1" applyAlignment="1">
      <alignment vertical="center" textRotation="90" wrapText="1"/>
    </xf>
    <xf numFmtId="3" fontId="5" fillId="0" borderId="66" xfId="0" applyNumberFormat="1" applyFont="1" applyFill="1" applyBorder="1" applyAlignment="1">
      <alignment vertical="center" textRotation="90" wrapText="1"/>
    </xf>
    <xf numFmtId="3" fontId="5" fillId="0" borderId="66" xfId="0" applyNumberFormat="1" applyFont="1" applyFill="1" applyBorder="1" applyAlignment="1">
      <alignment horizontal="center" vertical="center" textRotation="90" wrapText="1"/>
    </xf>
    <xf numFmtId="49" fontId="5" fillId="0" borderId="68" xfId="0" applyNumberFormat="1" applyFont="1" applyBorder="1" applyAlignment="1">
      <alignment vertical="top" textRotation="90"/>
    </xf>
    <xf numFmtId="49" fontId="5" fillId="0" borderId="66" xfId="0" applyNumberFormat="1" applyFont="1" applyBorder="1" applyAlignment="1">
      <alignment vertical="top" textRotation="90"/>
    </xf>
    <xf numFmtId="3" fontId="5" fillId="0" borderId="68" xfId="0" applyNumberFormat="1" applyFont="1" applyFill="1" applyBorder="1" applyAlignment="1">
      <alignment horizontal="center" vertical="top" textRotation="90" wrapText="1"/>
    </xf>
    <xf numFmtId="3" fontId="1" fillId="0" borderId="5" xfId="0" applyNumberFormat="1" applyFont="1" applyFill="1" applyBorder="1" applyAlignment="1">
      <alignment vertical="center" textRotation="90" wrapText="1"/>
    </xf>
    <xf numFmtId="3" fontId="1" fillId="0" borderId="12" xfId="0" applyNumberFormat="1" applyFont="1" applyFill="1" applyBorder="1" applyAlignment="1">
      <alignment vertical="center" textRotation="90" wrapText="1"/>
    </xf>
    <xf numFmtId="49" fontId="2" fillId="0" borderId="12" xfId="0" applyNumberFormat="1" applyFont="1" applyBorder="1" applyAlignment="1">
      <alignment vertical="top" textRotation="90"/>
    </xf>
    <xf numFmtId="3" fontId="1" fillId="0" borderId="12" xfId="0" applyNumberFormat="1" applyFont="1" applyFill="1" applyBorder="1" applyAlignment="1">
      <alignment horizontal="center" vertical="top" textRotation="90" wrapText="1"/>
    </xf>
    <xf numFmtId="3" fontId="1" fillId="0" borderId="50" xfId="0" applyNumberFormat="1" applyFont="1" applyFill="1" applyBorder="1" applyAlignment="1">
      <alignment horizontal="center" vertical="top" textRotation="90" wrapText="1"/>
    </xf>
    <xf numFmtId="164" fontId="1" fillId="3" borderId="62" xfId="0" applyNumberFormat="1" applyFont="1" applyFill="1" applyBorder="1" applyAlignment="1">
      <alignment horizontal="center" vertical="top" wrapText="1"/>
    </xf>
    <xf numFmtId="3" fontId="1" fillId="0" borderId="5" xfId="0" applyNumberFormat="1" applyFont="1" applyFill="1" applyBorder="1" applyAlignment="1">
      <alignment vertical="top" wrapText="1"/>
    </xf>
    <xf numFmtId="49" fontId="1" fillId="5" borderId="43" xfId="0" applyNumberFormat="1" applyFont="1" applyFill="1" applyBorder="1" applyAlignment="1">
      <alignment vertical="top" wrapText="1"/>
    </xf>
    <xf numFmtId="3" fontId="1" fillId="0" borderId="43" xfId="0" applyNumberFormat="1" applyFont="1" applyBorder="1" applyAlignment="1">
      <alignment vertical="top" wrapText="1"/>
    </xf>
    <xf numFmtId="3" fontId="1" fillId="0" borderId="65" xfId="0" applyNumberFormat="1" applyFont="1" applyBorder="1" applyAlignment="1">
      <alignment horizontal="center" vertical="top"/>
    </xf>
    <xf numFmtId="3" fontId="1" fillId="0" borderId="14" xfId="0" applyNumberFormat="1" applyFont="1" applyBorder="1" applyAlignment="1">
      <alignment horizontal="center" vertical="top"/>
    </xf>
    <xf numFmtId="164" fontId="22" fillId="5" borderId="26" xfId="0" applyNumberFormat="1" applyFont="1" applyFill="1" applyBorder="1" applyAlignment="1">
      <alignment horizontal="center" vertical="top" wrapText="1"/>
    </xf>
    <xf numFmtId="164" fontId="22" fillId="5" borderId="36" xfId="0" applyNumberFormat="1" applyFont="1" applyFill="1" applyBorder="1" applyAlignment="1">
      <alignment horizontal="center" vertical="top" wrapText="1"/>
    </xf>
    <xf numFmtId="164" fontId="22" fillId="5" borderId="44" xfId="0" applyNumberFormat="1" applyFont="1" applyFill="1" applyBorder="1" applyAlignment="1">
      <alignment horizontal="center" vertical="top" wrapText="1"/>
    </xf>
    <xf numFmtId="164" fontId="22" fillId="5" borderId="11" xfId="0" applyNumberFormat="1" applyFont="1" applyFill="1" applyBorder="1" applyAlignment="1">
      <alignment horizontal="center" vertical="top" wrapText="1"/>
    </xf>
    <xf numFmtId="164" fontId="22" fillId="5" borderId="45" xfId="0" applyNumberFormat="1" applyFont="1" applyFill="1" applyBorder="1" applyAlignment="1">
      <alignment horizontal="center" vertical="top" wrapText="1"/>
    </xf>
    <xf numFmtId="164" fontId="22" fillId="5" borderId="62" xfId="0" applyNumberFormat="1" applyFont="1" applyFill="1" applyBorder="1" applyAlignment="1">
      <alignment horizontal="center" vertical="top" wrapText="1"/>
    </xf>
    <xf numFmtId="3" fontId="2" fillId="5" borderId="26" xfId="0" applyNumberFormat="1" applyFont="1" applyFill="1" applyBorder="1" applyAlignment="1">
      <alignment horizontal="left" vertical="top" wrapText="1"/>
    </xf>
    <xf numFmtId="164" fontId="1" fillId="3" borderId="44" xfId="0" applyNumberFormat="1" applyFont="1" applyFill="1" applyBorder="1" applyAlignment="1">
      <alignment horizontal="center" vertical="top" wrapText="1"/>
    </xf>
    <xf numFmtId="164" fontId="1" fillId="3" borderId="11" xfId="0" applyNumberFormat="1" applyFont="1" applyFill="1" applyBorder="1" applyAlignment="1">
      <alignment horizontal="center" vertical="top" wrapText="1"/>
    </xf>
    <xf numFmtId="164" fontId="1" fillId="3" borderId="45" xfId="0" applyNumberFormat="1" applyFont="1" applyFill="1" applyBorder="1" applyAlignment="1">
      <alignment horizontal="center" vertical="top" wrapText="1"/>
    </xf>
    <xf numFmtId="3" fontId="1" fillId="0" borderId="53" xfId="0" applyNumberFormat="1" applyFont="1" applyBorder="1" applyAlignment="1">
      <alignment vertical="top" wrapText="1"/>
    </xf>
    <xf numFmtId="3" fontId="16" fillId="0" borderId="12" xfId="0" applyNumberFormat="1" applyFont="1" applyBorder="1" applyAlignment="1">
      <alignment horizontal="center" vertical="top"/>
    </xf>
    <xf numFmtId="164" fontId="22" fillId="5" borderId="11" xfId="0" applyNumberFormat="1" applyFont="1" applyFill="1" applyBorder="1" applyAlignment="1">
      <alignment horizontal="center" vertical="top"/>
    </xf>
    <xf numFmtId="164" fontId="22" fillId="5" borderId="0" xfId="0" applyNumberFormat="1" applyFont="1" applyFill="1" applyBorder="1" applyAlignment="1">
      <alignment horizontal="center" vertical="top"/>
    </xf>
    <xf numFmtId="164" fontId="16" fillId="0" borderId="0" xfId="0" applyNumberFormat="1" applyFont="1" applyFill="1" applyBorder="1" applyAlignment="1">
      <alignment horizontal="center" vertical="top" wrapText="1"/>
    </xf>
    <xf numFmtId="3" fontId="16" fillId="0" borderId="50"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1" fillId="5" borderId="55" xfId="0" applyNumberFormat="1" applyFont="1" applyFill="1" applyBorder="1" applyAlignment="1">
      <alignment horizontal="center" vertical="top" wrapText="1"/>
    </xf>
    <xf numFmtId="164" fontId="1" fillId="0" borderId="62" xfId="0" applyNumberFormat="1" applyFont="1" applyFill="1" applyBorder="1" applyAlignment="1">
      <alignment horizontal="center" vertical="top"/>
    </xf>
    <xf numFmtId="3" fontId="6" fillId="5" borderId="11"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3" fontId="5" fillId="0" borderId="11" xfId="0" applyNumberFormat="1" applyFont="1" applyFill="1" applyBorder="1" applyAlignment="1">
      <alignment horizontal="center" vertical="center" textRotation="90" wrapText="1"/>
    </xf>
    <xf numFmtId="3" fontId="1" fillId="5" borderId="37" xfId="0" applyNumberFormat="1" applyFont="1" applyFill="1" applyBorder="1" applyAlignment="1">
      <alignment horizontal="center" vertical="top" wrapText="1"/>
    </xf>
    <xf numFmtId="3" fontId="6" fillId="5" borderId="53"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xf>
    <xf numFmtId="3" fontId="1" fillId="5" borderId="12"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3" fontId="1" fillId="0" borderId="34" xfId="0" applyNumberFormat="1" applyFont="1" applyFill="1" applyBorder="1" applyAlignment="1">
      <alignment horizontal="center" vertical="top" wrapText="1"/>
    </xf>
    <xf numFmtId="3" fontId="6" fillId="5" borderId="10" xfId="0" applyNumberFormat="1" applyFont="1" applyFill="1" applyBorder="1" applyAlignment="1">
      <alignment horizontal="center" vertical="top" wrapText="1"/>
    </xf>
    <xf numFmtId="3" fontId="1" fillId="0" borderId="43"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5" fillId="0" borderId="11" xfId="0" applyNumberFormat="1" applyFont="1" applyFill="1" applyBorder="1" applyAlignment="1">
      <alignment horizontal="center" vertical="center" textRotation="90" wrapText="1"/>
    </xf>
    <xf numFmtId="3" fontId="16" fillId="0" borderId="12" xfId="0" applyNumberFormat="1" applyFont="1" applyBorder="1" applyAlignment="1">
      <alignment horizontal="center" vertical="top"/>
    </xf>
    <xf numFmtId="164" fontId="1" fillId="3" borderId="27" xfId="0" applyNumberFormat="1" applyFont="1" applyFill="1" applyBorder="1" applyAlignment="1">
      <alignment horizontal="center" vertical="top"/>
    </xf>
    <xf numFmtId="164" fontId="1" fillId="5" borderId="64" xfId="0" applyNumberFormat="1" applyFont="1" applyFill="1" applyBorder="1" applyAlignment="1">
      <alignment horizontal="center" vertical="top" wrapText="1"/>
    </xf>
    <xf numFmtId="3" fontId="16" fillId="5" borderId="12" xfId="0" applyNumberFormat="1" applyFont="1" applyFill="1" applyBorder="1" applyAlignment="1">
      <alignment horizontal="center" vertical="top"/>
    </xf>
    <xf numFmtId="164" fontId="1" fillId="5" borderId="63" xfId="0" applyNumberFormat="1" applyFont="1" applyFill="1" applyBorder="1" applyAlignment="1">
      <alignment horizontal="center" vertical="top" wrapText="1"/>
    </xf>
    <xf numFmtId="3" fontId="2" fillId="3" borderId="50" xfId="0" applyNumberFormat="1" applyFont="1" applyFill="1" applyBorder="1" applyAlignment="1">
      <alignment horizontal="left" vertical="top" wrapText="1"/>
    </xf>
    <xf numFmtId="3" fontId="1" fillId="3" borderId="43" xfId="0" applyNumberFormat="1" applyFont="1" applyFill="1" applyBorder="1" applyAlignment="1">
      <alignment horizontal="left" vertical="top" wrapText="1"/>
    </xf>
    <xf numFmtId="164" fontId="21" fillId="5" borderId="0" xfId="0" applyNumberFormat="1" applyFont="1" applyFill="1" applyBorder="1" applyAlignment="1">
      <alignment horizontal="center" vertical="top"/>
    </xf>
    <xf numFmtId="164" fontId="6" fillId="5" borderId="0" xfId="0" applyNumberFormat="1" applyFont="1" applyFill="1" applyBorder="1" applyAlignment="1">
      <alignment horizontal="center" vertical="top" wrapText="1"/>
    </xf>
    <xf numFmtId="3" fontId="2" fillId="4" borderId="17" xfId="0" applyNumberFormat="1" applyFont="1" applyFill="1" applyBorder="1" applyAlignment="1">
      <alignment horizontal="right" vertical="top"/>
    </xf>
    <xf numFmtId="164" fontId="1" fillId="5" borderId="78" xfId="0" applyNumberFormat="1" applyFont="1" applyFill="1" applyBorder="1" applyAlignment="1">
      <alignment horizontal="center" vertical="top" wrapText="1"/>
    </xf>
    <xf numFmtId="164" fontId="1" fillId="5" borderId="65" xfId="0" applyNumberFormat="1" applyFont="1" applyFill="1" applyBorder="1" applyAlignment="1">
      <alignment horizontal="center" vertical="top" wrapText="1"/>
    </xf>
    <xf numFmtId="164" fontId="1" fillId="5" borderId="66" xfId="0" applyNumberFormat="1" applyFont="1" applyFill="1" applyBorder="1" applyAlignment="1">
      <alignment horizontal="center" vertical="top" wrapText="1"/>
    </xf>
    <xf numFmtId="164" fontId="2" fillId="4" borderId="77" xfId="0" applyNumberFormat="1" applyFont="1" applyFill="1" applyBorder="1" applyAlignment="1">
      <alignment horizontal="center" vertical="top" wrapText="1"/>
    </xf>
    <xf numFmtId="164" fontId="22" fillId="5" borderId="37" xfId="0" applyNumberFormat="1" applyFont="1" applyFill="1" applyBorder="1" applyAlignment="1">
      <alignment horizontal="center" vertical="top" wrapText="1"/>
    </xf>
    <xf numFmtId="164" fontId="22" fillId="5" borderId="37" xfId="0" applyNumberFormat="1" applyFont="1" applyFill="1" applyBorder="1" applyAlignment="1">
      <alignment horizontal="center" vertical="top"/>
    </xf>
    <xf numFmtId="164" fontId="2" fillId="4" borderId="76" xfId="0" applyNumberFormat="1" applyFont="1" applyFill="1" applyBorder="1" applyAlignment="1">
      <alignment horizontal="center" vertical="top" wrapText="1"/>
    </xf>
    <xf numFmtId="49" fontId="1" fillId="0" borderId="26" xfId="0" applyNumberFormat="1" applyFont="1" applyBorder="1" applyAlignment="1">
      <alignment vertical="top" wrapText="1"/>
    </xf>
    <xf numFmtId="3" fontId="1" fillId="0" borderId="31" xfId="0" applyNumberFormat="1" applyFont="1" applyFill="1" applyBorder="1" applyAlignment="1">
      <alignment vertical="top" wrapText="1"/>
    </xf>
    <xf numFmtId="3" fontId="1" fillId="0" borderId="37" xfId="0" applyNumberFormat="1" applyFont="1" applyFill="1" applyBorder="1" applyAlignment="1">
      <alignment vertical="top" wrapText="1"/>
    </xf>
    <xf numFmtId="3" fontId="1" fillId="0" borderId="56" xfId="0" applyNumberFormat="1" applyFont="1" applyFill="1" applyBorder="1" applyAlignment="1">
      <alignment vertical="top" wrapText="1"/>
    </xf>
    <xf numFmtId="1" fontId="1" fillId="0" borderId="15" xfId="0" applyNumberFormat="1" applyFont="1" applyBorder="1" applyAlignment="1">
      <alignment horizontal="left" vertical="top" wrapText="1"/>
    </xf>
    <xf numFmtId="1" fontId="1" fillId="5" borderId="15"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16" fillId="5" borderId="12" xfId="0" applyNumberFormat="1" applyFont="1" applyFill="1" applyBorder="1" applyAlignment="1">
      <alignment horizontal="center" vertical="top"/>
    </xf>
    <xf numFmtId="164" fontId="22" fillId="5" borderId="44" xfId="0" applyNumberFormat="1" applyFont="1" applyFill="1" applyBorder="1" applyAlignment="1">
      <alignment horizontal="center" vertical="top"/>
    </xf>
    <xf numFmtId="164" fontId="22" fillId="5" borderId="45" xfId="0" applyNumberFormat="1" applyFont="1" applyFill="1" applyBorder="1" applyAlignment="1">
      <alignment horizontal="center" vertical="top"/>
    </xf>
    <xf numFmtId="164" fontId="22" fillId="5" borderId="26" xfId="0" applyNumberFormat="1" applyFont="1" applyFill="1" applyBorder="1" applyAlignment="1">
      <alignment horizontal="center" vertical="top"/>
    </xf>
    <xf numFmtId="3" fontId="22" fillId="5" borderId="12" xfId="0" applyNumberFormat="1" applyFont="1" applyFill="1" applyBorder="1" applyAlignment="1">
      <alignment horizontal="center" vertical="top"/>
    </xf>
    <xf numFmtId="164" fontId="22" fillId="5" borderId="36" xfId="0" applyNumberFormat="1" applyFont="1" applyFill="1" applyBorder="1" applyAlignment="1">
      <alignment horizontal="center" vertical="top"/>
    </xf>
    <xf numFmtId="164" fontId="22" fillId="5" borderId="66" xfId="0" applyNumberFormat="1" applyFont="1" applyFill="1" applyBorder="1" applyAlignment="1">
      <alignment horizontal="center" vertical="top"/>
    </xf>
    <xf numFmtId="3" fontId="22" fillId="0" borderId="12" xfId="0" applyNumberFormat="1" applyFont="1" applyBorder="1" applyAlignment="1">
      <alignment horizontal="center" vertical="top"/>
    </xf>
    <xf numFmtId="164" fontId="22" fillId="3" borderId="26" xfId="0" applyNumberFormat="1" applyFont="1" applyFill="1" applyBorder="1" applyAlignment="1">
      <alignment horizontal="center" vertical="top" wrapText="1"/>
    </xf>
    <xf numFmtId="164" fontId="22" fillId="3" borderId="36" xfId="0" applyNumberFormat="1" applyFont="1" applyFill="1" applyBorder="1" applyAlignment="1">
      <alignment horizontal="center" vertical="top" wrapText="1"/>
    </xf>
    <xf numFmtId="164" fontId="22" fillId="3" borderId="44" xfId="0" applyNumberFormat="1" applyFont="1" applyFill="1" applyBorder="1" applyAlignment="1">
      <alignment horizontal="center" vertical="top" wrapText="1"/>
    </xf>
    <xf numFmtId="164" fontId="22" fillId="3" borderId="11" xfId="0" applyNumberFormat="1" applyFont="1" applyFill="1" applyBorder="1" applyAlignment="1">
      <alignment horizontal="center" vertical="top" wrapText="1"/>
    </xf>
    <xf numFmtId="164" fontId="22" fillId="3" borderId="45" xfId="0" applyNumberFormat="1" applyFont="1" applyFill="1" applyBorder="1" applyAlignment="1">
      <alignment horizontal="center" vertical="top" wrapText="1"/>
    </xf>
    <xf numFmtId="1" fontId="1" fillId="5" borderId="49" xfId="0" applyNumberFormat="1" applyFont="1" applyFill="1" applyBorder="1" applyAlignment="1">
      <alignment horizontal="center" vertical="top" wrapText="1"/>
    </xf>
    <xf numFmtId="1" fontId="1" fillId="5" borderId="39" xfId="0" applyNumberFormat="1" applyFont="1" applyFill="1" applyBorder="1" applyAlignment="1">
      <alignment horizontal="center" vertical="top" wrapText="1"/>
    </xf>
    <xf numFmtId="3" fontId="1" fillId="5" borderId="46" xfId="0" applyNumberFormat="1" applyFont="1" applyFill="1" applyBorder="1" applyAlignment="1">
      <alignment horizontal="left" vertical="top" wrapText="1"/>
    </xf>
    <xf numFmtId="3" fontId="1" fillId="5" borderId="50"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164" fontId="1" fillId="5" borderId="72" xfId="0" applyNumberFormat="1" applyFont="1" applyFill="1" applyBorder="1" applyAlignment="1">
      <alignment horizontal="center" vertical="top"/>
    </xf>
    <xf numFmtId="3" fontId="1" fillId="5" borderId="17"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56"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3" fontId="1" fillId="5" borderId="31" xfId="0" applyNumberFormat="1" applyFont="1" applyFill="1" applyBorder="1" applyAlignment="1">
      <alignment horizontal="center" vertical="top" wrapText="1"/>
    </xf>
    <xf numFmtId="3" fontId="1" fillId="5" borderId="56"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1" fillId="3" borderId="12" xfId="0" applyNumberFormat="1" applyFont="1" applyFill="1" applyBorder="1" applyAlignment="1">
      <alignment horizontal="left" vertical="top" wrapText="1"/>
    </xf>
    <xf numFmtId="3" fontId="2" fillId="0" borderId="45" xfId="0" applyNumberFormat="1" applyFont="1" applyFill="1" applyBorder="1" applyAlignment="1">
      <alignment horizontal="center" vertical="top"/>
    </xf>
    <xf numFmtId="3" fontId="1" fillId="0" borderId="12" xfId="0" applyNumberFormat="1" applyFont="1" applyFill="1" applyBorder="1" applyAlignment="1">
      <alignment horizontal="left" vertical="top" wrapText="1"/>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16" xfId="0" applyNumberFormat="1" applyFont="1" applyFill="1" applyBorder="1" applyAlignment="1">
      <alignment horizontal="center" vertical="center" textRotation="90" wrapText="1"/>
    </xf>
    <xf numFmtId="3" fontId="1" fillId="0" borderId="49"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49" fontId="2" fillId="3" borderId="0" xfId="0" applyNumberFormat="1" applyFont="1" applyFill="1" applyBorder="1" applyAlignment="1">
      <alignment horizontal="center" vertical="top"/>
    </xf>
    <xf numFmtId="3" fontId="1" fillId="3" borderId="46"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3" fontId="8" fillId="0" borderId="0" xfId="0" applyNumberFormat="1" applyFont="1" applyAlignment="1">
      <alignment horizontal="center" vertical="top" wrapText="1"/>
    </xf>
    <xf numFmtId="49" fontId="2" fillId="9" borderId="26" xfId="0" applyNumberFormat="1" applyFont="1" applyFill="1" applyBorder="1" applyAlignment="1">
      <alignment horizontal="center" vertical="top"/>
    </xf>
    <xf numFmtId="3" fontId="2" fillId="0" borderId="0" xfId="0" applyNumberFormat="1" applyFont="1" applyFill="1" applyBorder="1" applyAlignment="1">
      <alignment horizontal="center" wrapText="1"/>
    </xf>
    <xf numFmtId="3" fontId="2" fillId="4" borderId="34" xfId="0" applyNumberFormat="1" applyFont="1" applyFill="1" applyBorder="1" applyAlignment="1">
      <alignment horizontal="right" vertical="top"/>
    </xf>
    <xf numFmtId="3" fontId="2" fillId="4" borderId="32" xfId="0" applyNumberFormat="1" applyFont="1" applyFill="1" applyBorder="1" applyAlignment="1">
      <alignment horizontal="right" vertical="top"/>
    </xf>
    <xf numFmtId="49" fontId="2" fillId="2" borderId="16" xfId="0" applyNumberFormat="1" applyFont="1" applyFill="1" applyBorder="1" applyAlignment="1">
      <alignment horizontal="center" vertical="top"/>
    </xf>
    <xf numFmtId="3" fontId="1" fillId="5" borderId="26" xfId="0" applyNumberFormat="1" applyFont="1" applyFill="1" applyBorder="1" applyAlignment="1">
      <alignment horizontal="left" vertical="top" wrapText="1"/>
    </xf>
    <xf numFmtId="3" fontId="10" fillId="0" borderId="0" xfId="0" applyNumberFormat="1" applyFont="1" applyAlignment="1">
      <alignment horizontal="center" vertical="top" wrapText="1"/>
    </xf>
    <xf numFmtId="3" fontId="8" fillId="0" borderId="0" xfId="0" applyNumberFormat="1" applyFont="1" applyAlignment="1">
      <alignment horizontal="center" vertical="top"/>
    </xf>
    <xf numFmtId="3" fontId="2" fillId="3" borderId="12" xfId="0" applyNumberFormat="1" applyFont="1" applyFill="1" applyBorder="1" applyAlignment="1">
      <alignment horizontal="left" vertical="top" wrapText="1"/>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3" fontId="2" fillId="4" borderId="35" xfId="0" applyNumberFormat="1" applyFont="1" applyFill="1" applyBorder="1" applyAlignment="1">
      <alignment horizontal="right" vertical="top"/>
    </xf>
    <xf numFmtId="3" fontId="2" fillId="5" borderId="12" xfId="0" applyNumberFormat="1" applyFont="1" applyFill="1" applyBorder="1" applyAlignment="1">
      <alignment horizontal="left" vertical="top" wrapText="1"/>
    </xf>
    <xf numFmtId="3" fontId="1" fillId="0" borderId="46" xfId="0" applyNumberFormat="1" applyFont="1" applyFill="1" applyBorder="1" applyAlignment="1">
      <alignment horizontal="left" vertical="top" wrapText="1"/>
    </xf>
    <xf numFmtId="49" fontId="2" fillId="2" borderId="36" xfId="0" applyNumberFormat="1" applyFont="1" applyFill="1" applyBorder="1" applyAlignment="1">
      <alignment horizontal="center" vertical="top"/>
    </xf>
    <xf numFmtId="3" fontId="2" fillId="5" borderId="13" xfId="0" applyNumberFormat="1" applyFont="1" applyFill="1" applyBorder="1" applyAlignment="1">
      <alignment horizontal="center" vertical="top" wrapText="1"/>
    </xf>
    <xf numFmtId="3" fontId="1" fillId="0" borderId="46" xfId="0" applyNumberFormat="1" applyFont="1" applyBorder="1" applyAlignment="1">
      <alignment horizontal="left" vertical="top" wrapText="1"/>
    </xf>
    <xf numFmtId="3" fontId="2" fillId="5" borderId="46" xfId="0" applyNumberFormat="1" applyFont="1" applyFill="1" applyBorder="1" applyAlignment="1">
      <alignment horizontal="left" vertical="top" wrapText="1"/>
    </xf>
    <xf numFmtId="0" fontId="1" fillId="5" borderId="46" xfId="0" applyFont="1" applyFill="1" applyBorder="1" applyAlignment="1">
      <alignment horizontal="left" vertical="top" wrapText="1"/>
    </xf>
    <xf numFmtId="0" fontId="1" fillId="5" borderId="50" xfId="0" applyFont="1" applyFill="1" applyBorder="1" applyAlignment="1">
      <alignment horizontal="left" vertical="top" wrapText="1"/>
    </xf>
    <xf numFmtId="49" fontId="2" fillId="0" borderId="36" xfId="0" applyNumberFormat="1" applyFont="1" applyBorder="1" applyAlignment="1">
      <alignment horizontal="center" vertical="top"/>
    </xf>
    <xf numFmtId="3" fontId="1" fillId="5" borderId="12" xfId="0" applyNumberFormat="1" applyFont="1" applyFill="1" applyBorder="1" applyAlignment="1">
      <alignment vertical="top" wrapText="1"/>
    </xf>
    <xf numFmtId="3" fontId="1" fillId="5" borderId="49" xfId="0" applyNumberFormat="1" applyFont="1" applyFill="1" applyBorder="1" applyAlignment="1">
      <alignment horizontal="center" vertical="top" wrapText="1"/>
    </xf>
    <xf numFmtId="3" fontId="1" fillId="5" borderId="37" xfId="0" applyNumberFormat="1" applyFont="1" applyFill="1" applyBorder="1" applyAlignment="1">
      <alignment horizontal="center" vertical="top" wrapText="1"/>
    </xf>
    <xf numFmtId="3" fontId="1" fillId="0" borderId="50" xfId="0" applyNumberFormat="1" applyFont="1" applyFill="1" applyBorder="1" applyAlignment="1">
      <alignment horizontal="left" vertical="top" wrapText="1"/>
    </xf>
    <xf numFmtId="1" fontId="1" fillId="5" borderId="34" xfId="0" applyNumberFormat="1" applyFont="1" applyFill="1" applyBorder="1" applyAlignment="1">
      <alignment horizontal="center" vertical="top" wrapText="1"/>
    </xf>
    <xf numFmtId="3" fontId="7" fillId="0" borderId="0" xfId="0" applyNumberFormat="1" applyFont="1" applyAlignment="1">
      <alignment horizontal="left" vertical="top" wrapText="1"/>
    </xf>
    <xf numFmtId="3" fontId="1" fillId="0" borderId="68" xfId="0" applyNumberFormat="1" applyFont="1" applyFill="1" applyBorder="1" applyAlignment="1">
      <alignment horizontal="center" vertical="top" wrapText="1"/>
    </xf>
    <xf numFmtId="3" fontId="1" fillId="0" borderId="59" xfId="0" applyNumberFormat="1" applyFont="1" applyFill="1" applyBorder="1" applyAlignment="1">
      <alignment horizontal="center" vertical="top" wrapText="1"/>
    </xf>
    <xf numFmtId="3" fontId="1" fillId="0" borderId="34"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1" fontId="1" fillId="5" borderId="68" xfId="0" applyNumberFormat="1" applyFont="1" applyFill="1" applyBorder="1" applyAlignment="1">
      <alignment horizontal="center" vertical="top" wrapText="1"/>
    </xf>
    <xf numFmtId="3" fontId="1" fillId="0" borderId="28"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wrapText="1"/>
    </xf>
    <xf numFmtId="3" fontId="1" fillId="0" borderId="5" xfId="0" applyNumberFormat="1" applyFont="1" applyBorder="1" applyAlignment="1">
      <alignment horizontal="left" vertical="top" wrapText="1"/>
    </xf>
    <xf numFmtId="3" fontId="1" fillId="5" borderId="46" xfId="0" applyNumberFormat="1" applyFont="1" applyFill="1" applyBorder="1" applyAlignment="1">
      <alignment horizontal="center" vertical="top" wrapText="1"/>
    </xf>
    <xf numFmtId="3" fontId="22" fillId="5" borderId="12" xfId="0" applyNumberFormat="1" applyFont="1" applyFill="1" applyBorder="1" applyAlignment="1">
      <alignment horizontal="center" vertical="top"/>
    </xf>
    <xf numFmtId="164" fontId="23" fillId="5" borderId="44" xfId="0" applyNumberFormat="1" applyFont="1" applyFill="1" applyBorder="1" applyAlignment="1">
      <alignment horizontal="center" vertical="top"/>
    </xf>
    <xf numFmtId="164" fontId="23" fillId="5" borderId="11" xfId="0" applyNumberFormat="1" applyFont="1" applyFill="1" applyBorder="1" applyAlignment="1">
      <alignment horizontal="center" vertical="top"/>
    </xf>
    <xf numFmtId="164" fontId="23" fillId="5" borderId="45" xfId="0" applyNumberFormat="1" applyFont="1" applyFill="1" applyBorder="1" applyAlignment="1">
      <alignment horizontal="center" vertical="top"/>
    </xf>
    <xf numFmtId="164" fontId="23" fillId="5" borderId="26" xfId="0" applyNumberFormat="1" applyFont="1" applyFill="1" applyBorder="1" applyAlignment="1">
      <alignment horizontal="center" vertical="top"/>
    </xf>
    <xf numFmtId="164" fontId="23" fillId="5" borderId="37" xfId="0" applyNumberFormat="1" applyFont="1" applyFill="1" applyBorder="1" applyAlignment="1">
      <alignment horizontal="center" vertical="top"/>
    </xf>
    <xf numFmtId="164" fontId="23" fillId="5" borderId="36" xfId="0" applyNumberFormat="1" applyFont="1" applyFill="1" applyBorder="1" applyAlignment="1">
      <alignment horizontal="center" vertical="top"/>
    </xf>
    <xf numFmtId="164" fontId="24" fillId="0" borderId="26" xfId="0" applyNumberFormat="1" applyFont="1" applyBorder="1" applyAlignment="1">
      <alignment horizontal="center" vertical="top"/>
    </xf>
    <xf numFmtId="164" fontId="24" fillId="0" borderId="47" xfId="0" applyNumberFormat="1" applyFont="1" applyBorder="1" applyAlignment="1">
      <alignment horizontal="center" vertical="top"/>
    </xf>
    <xf numFmtId="164" fontId="24" fillId="0" borderId="55" xfId="0" applyNumberFormat="1" applyFont="1" applyBorder="1" applyAlignment="1">
      <alignment horizontal="center" vertical="top"/>
    </xf>
    <xf numFmtId="164" fontId="24" fillId="0" borderId="45" xfId="0" applyNumberFormat="1" applyFont="1" applyBorder="1" applyAlignment="1">
      <alignment horizontal="center" vertical="top"/>
    </xf>
    <xf numFmtId="164" fontId="24" fillId="0" borderId="11" xfId="0" applyNumberFormat="1" applyFont="1" applyBorder="1" applyAlignment="1">
      <alignment horizontal="center" vertical="top"/>
    </xf>
    <xf numFmtId="164" fontId="24" fillId="0" borderId="56" xfId="0" applyNumberFormat="1" applyFont="1" applyBorder="1" applyAlignment="1">
      <alignment horizontal="center" vertical="top"/>
    </xf>
    <xf numFmtId="164" fontId="22" fillId="5" borderId="56" xfId="0" applyNumberFormat="1" applyFont="1" applyFill="1" applyBorder="1" applyAlignment="1">
      <alignment horizontal="center" vertical="top" wrapText="1"/>
    </xf>
    <xf numFmtId="3" fontId="1" fillId="0" borderId="56" xfId="0" applyNumberFormat="1" applyFont="1" applyBorder="1" applyAlignment="1">
      <alignment horizontal="center" vertical="top"/>
    </xf>
    <xf numFmtId="164" fontId="22" fillId="5" borderId="66" xfId="0" applyNumberFormat="1" applyFont="1" applyFill="1" applyBorder="1" applyAlignment="1">
      <alignment horizontal="center" vertical="top" wrapText="1"/>
    </xf>
    <xf numFmtId="164" fontId="22" fillId="0" borderId="26" xfId="0" applyNumberFormat="1" applyFont="1" applyFill="1" applyBorder="1" applyAlignment="1">
      <alignment horizontal="center" vertical="top" wrapText="1"/>
    </xf>
    <xf numFmtId="165" fontId="22" fillId="5" borderId="37" xfId="0" applyNumberFormat="1" applyFont="1" applyFill="1" applyBorder="1" applyAlignment="1">
      <alignment horizontal="center" vertical="top"/>
    </xf>
    <xf numFmtId="165" fontId="22" fillId="5" borderId="56"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164" fontId="1" fillId="0" borderId="0" xfId="0" applyNumberFormat="1" applyFont="1" applyAlignment="1">
      <alignment horizontal="center"/>
    </xf>
    <xf numFmtId="3" fontId="16" fillId="0" borderId="12" xfId="0" applyNumberFormat="1" applyFont="1" applyBorder="1" applyAlignment="1">
      <alignment horizontal="center" vertical="top"/>
    </xf>
    <xf numFmtId="164" fontId="21" fillId="0" borderId="26" xfId="0" applyNumberFormat="1" applyFont="1" applyFill="1" applyBorder="1" applyAlignment="1">
      <alignment horizontal="center" vertical="top" wrapText="1"/>
    </xf>
    <xf numFmtId="164" fontId="21" fillId="5" borderId="36" xfId="0" applyNumberFormat="1" applyFont="1" applyFill="1" applyBorder="1" applyAlignment="1">
      <alignment horizontal="center" vertical="top" wrapText="1"/>
    </xf>
    <xf numFmtId="164" fontId="21" fillId="5" borderId="37" xfId="0" applyNumberFormat="1" applyFont="1" applyFill="1" applyBorder="1" applyAlignment="1">
      <alignment horizontal="center" vertical="top" wrapText="1"/>
    </xf>
    <xf numFmtId="164" fontId="6" fillId="5" borderId="36" xfId="0" applyNumberFormat="1" applyFont="1" applyFill="1" applyBorder="1" applyAlignment="1">
      <alignment horizontal="center" vertical="top"/>
    </xf>
    <xf numFmtId="3" fontId="6" fillId="0" borderId="71" xfId="0" applyNumberFormat="1" applyFont="1" applyFill="1" applyBorder="1" applyAlignment="1">
      <alignment horizontal="left" vertical="top" wrapText="1"/>
    </xf>
    <xf numFmtId="3" fontId="6" fillId="0" borderId="6" xfId="0" applyNumberFormat="1" applyFont="1" applyFill="1" applyBorder="1" applyAlignment="1">
      <alignment horizontal="center" vertical="top" wrapText="1"/>
    </xf>
    <xf numFmtId="3" fontId="16" fillId="5" borderId="12" xfId="0" applyNumberFormat="1" applyFont="1" applyFill="1" applyBorder="1" applyAlignment="1">
      <alignment horizontal="center" vertical="top"/>
    </xf>
    <xf numFmtId="164" fontId="16" fillId="5" borderId="44" xfId="0" applyNumberFormat="1" applyFont="1" applyFill="1" applyBorder="1" applyAlignment="1">
      <alignment horizontal="center" vertical="top"/>
    </xf>
    <xf numFmtId="164" fontId="13" fillId="5" borderId="44" xfId="0" applyNumberFormat="1" applyFont="1" applyFill="1" applyBorder="1" applyAlignment="1">
      <alignment horizontal="center" vertical="top"/>
    </xf>
    <xf numFmtId="164" fontId="13" fillId="5" borderId="11" xfId="0" applyNumberFormat="1" applyFont="1" applyFill="1" applyBorder="1" applyAlignment="1">
      <alignment horizontal="center" vertical="top"/>
    </xf>
    <xf numFmtId="164" fontId="13" fillId="5" borderId="45" xfId="0" applyNumberFormat="1" applyFont="1" applyFill="1" applyBorder="1" applyAlignment="1">
      <alignment horizontal="center" vertical="top"/>
    </xf>
    <xf numFmtId="164" fontId="13" fillId="5" borderId="26" xfId="0" applyNumberFormat="1" applyFont="1" applyFill="1" applyBorder="1" applyAlignment="1">
      <alignment horizontal="center" vertical="top"/>
    </xf>
    <xf numFmtId="164" fontId="16" fillId="5" borderId="36" xfId="0" applyNumberFormat="1" applyFont="1" applyFill="1" applyBorder="1" applyAlignment="1">
      <alignment horizontal="center" vertical="top"/>
    </xf>
    <xf numFmtId="164" fontId="17" fillId="5" borderId="44" xfId="0" applyNumberFormat="1" applyFont="1" applyFill="1" applyBorder="1" applyAlignment="1">
      <alignment horizontal="center" vertical="top"/>
    </xf>
    <xf numFmtId="164" fontId="17" fillId="5" borderId="45" xfId="0" applyNumberFormat="1" applyFont="1" applyFill="1" applyBorder="1" applyAlignment="1">
      <alignment horizontal="center" vertical="top"/>
    </xf>
    <xf numFmtId="164" fontId="17" fillId="5" borderId="26" xfId="0" applyNumberFormat="1" applyFont="1" applyFill="1" applyBorder="1" applyAlignment="1">
      <alignment horizontal="center" vertical="top"/>
    </xf>
    <xf numFmtId="164" fontId="21" fillId="5" borderId="26" xfId="0" applyNumberFormat="1" applyFont="1" applyFill="1" applyBorder="1" applyAlignment="1">
      <alignment horizontal="center" vertical="top"/>
    </xf>
    <xf numFmtId="164" fontId="21" fillId="5" borderId="36" xfId="0" applyNumberFormat="1" applyFont="1" applyFill="1" applyBorder="1" applyAlignment="1">
      <alignment horizontal="center" vertical="top"/>
    </xf>
    <xf numFmtId="164" fontId="26" fillId="0" borderId="36" xfId="0" applyNumberFormat="1" applyFont="1" applyBorder="1" applyAlignment="1">
      <alignment horizontal="center" vertical="top"/>
    </xf>
    <xf numFmtId="1" fontId="6" fillId="5" borderId="49" xfId="0" applyNumberFormat="1" applyFont="1" applyFill="1" applyBorder="1" applyAlignment="1">
      <alignment horizontal="center" vertical="top" wrapText="1"/>
    </xf>
    <xf numFmtId="1" fontId="6" fillId="5" borderId="39" xfId="0" applyNumberFormat="1" applyFont="1" applyFill="1" applyBorder="1" applyAlignment="1">
      <alignment horizontal="center" vertical="top" wrapText="1"/>
    </xf>
    <xf numFmtId="3" fontId="6" fillId="0" borderId="46" xfId="0" applyNumberFormat="1" applyFont="1" applyBorder="1" applyAlignment="1">
      <alignment horizontal="center" vertical="top"/>
    </xf>
    <xf numFmtId="164" fontId="6" fillId="5" borderId="34" xfId="0" applyNumberFormat="1" applyFont="1" applyFill="1" applyBorder="1" applyAlignment="1">
      <alignment horizontal="center" vertical="top"/>
    </xf>
    <xf numFmtId="164" fontId="6" fillId="5" borderId="63" xfId="0" applyNumberFormat="1" applyFont="1" applyFill="1" applyBorder="1" applyAlignment="1">
      <alignment horizontal="center" vertical="top"/>
    </xf>
    <xf numFmtId="164" fontId="16" fillId="5" borderId="36" xfId="0" applyNumberFormat="1" applyFont="1" applyFill="1" applyBorder="1" applyAlignment="1">
      <alignment horizontal="center" vertical="top" wrapText="1"/>
    </xf>
    <xf numFmtId="164" fontId="16" fillId="5" borderId="44" xfId="0" applyNumberFormat="1" applyFont="1" applyFill="1" applyBorder="1" applyAlignment="1">
      <alignment horizontal="center" vertical="top" wrapText="1"/>
    </xf>
    <xf numFmtId="3" fontId="16" fillId="0" borderId="12" xfId="0" applyNumberFormat="1" applyFont="1" applyBorder="1" applyAlignment="1">
      <alignment horizontal="center" vertical="top"/>
    </xf>
    <xf numFmtId="3" fontId="16" fillId="5" borderId="12" xfId="0" applyNumberFormat="1" applyFont="1" applyFill="1" applyBorder="1" applyAlignment="1">
      <alignment horizontal="center" vertical="top"/>
    </xf>
    <xf numFmtId="164" fontId="16" fillId="5" borderId="11" xfId="0" applyNumberFormat="1" applyFont="1" applyFill="1" applyBorder="1" applyAlignment="1">
      <alignment horizontal="center" vertical="top"/>
    </xf>
    <xf numFmtId="164" fontId="16" fillId="5" borderId="37" xfId="0" applyNumberFormat="1" applyFont="1" applyFill="1" applyBorder="1" applyAlignment="1">
      <alignment horizontal="center" vertical="top"/>
    </xf>
    <xf numFmtId="164" fontId="6" fillId="5" borderId="64" xfId="0" applyNumberFormat="1" applyFont="1" applyFill="1" applyBorder="1" applyAlignment="1">
      <alignment horizontal="center" vertical="top" wrapText="1"/>
    </xf>
    <xf numFmtId="3" fontId="6" fillId="0" borderId="37" xfId="0" applyNumberFormat="1" applyFont="1" applyFill="1" applyBorder="1" applyAlignment="1">
      <alignment horizontal="center" vertical="top" wrapText="1"/>
    </xf>
    <xf numFmtId="3" fontId="6" fillId="0" borderId="39" xfId="0" applyNumberFormat="1" applyFont="1" applyFill="1" applyBorder="1" applyAlignment="1">
      <alignment horizontal="center" vertical="top" wrapText="1"/>
    </xf>
    <xf numFmtId="3" fontId="6" fillId="5" borderId="46" xfId="0" applyNumberFormat="1" applyFont="1" applyFill="1" applyBorder="1" applyAlignment="1">
      <alignment horizontal="center" vertical="top"/>
    </xf>
    <xf numFmtId="164" fontId="6" fillId="5" borderId="53" xfId="0" applyNumberFormat="1" applyFont="1" applyFill="1" applyBorder="1" applyAlignment="1">
      <alignment horizontal="center" vertical="top" wrapText="1"/>
    </xf>
    <xf numFmtId="164" fontId="6" fillId="5" borderId="72" xfId="0" applyNumberFormat="1" applyFont="1" applyFill="1" applyBorder="1" applyAlignment="1">
      <alignment horizontal="center" vertical="top" wrapText="1"/>
    </xf>
    <xf numFmtId="164" fontId="6" fillId="5" borderId="57" xfId="0" applyNumberFormat="1" applyFont="1" applyFill="1" applyBorder="1" applyAlignment="1">
      <alignment horizontal="center" vertical="top" wrapText="1"/>
    </xf>
    <xf numFmtId="3" fontId="1" fillId="0" borderId="12" xfId="0" applyNumberFormat="1" applyFont="1" applyBorder="1" applyAlignment="1">
      <alignment vertical="top" wrapText="1"/>
    </xf>
    <xf numFmtId="0" fontId="6" fillId="5" borderId="43" xfId="0" applyNumberFormat="1" applyFont="1" applyFill="1" applyBorder="1" applyAlignment="1">
      <alignment vertical="top" wrapText="1"/>
    </xf>
    <xf numFmtId="3" fontId="6" fillId="0" borderId="53" xfId="0" applyNumberFormat="1" applyFont="1" applyFill="1" applyBorder="1" applyAlignment="1">
      <alignment horizontal="center" vertical="top" wrapText="1"/>
    </xf>
    <xf numFmtId="3" fontId="6" fillId="0" borderId="57" xfId="0" applyNumberFormat="1" applyFont="1" applyFill="1" applyBorder="1" applyAlignment="1">
      <alignment horizontal="center" vertical="top" wrapText="1"/>
    </xf>
    <xf numFmtId="3" fontId="6" fillId="0" borderId="65" xfId="0" applyNumberFormat="1" applyFont="1" applyFill="1" applyBorder="1" applyAlignment="1">
      <alignment horizontal="center" vertical="top" wrapText="1"/>
    </xf>
    <xf numFmtId="3" fontId="6" fillId="0" borderId="14" xfId="0" applyNumberFormat="1" applyFont="1" applyFill="1" applyBorder="1" applyAlignment="1">
      <alignment horizontal="center" vertical="top" wrapText="1"/>
    </xf>
    <xf numFmtId="164" fontId="21" fillId="5" borderId="44" xfId="0" applyNumberFormat="1" applyFont="1" applyFill="1" applyBorder="1" applyAlignment="1">
      <alignment horizontal="center" vertical="top"/>
    </xf>
    <xf numFmtId="164" fontId="21" fillId="5" borderId="11" xfId="0" applyNumberFormat="1" applyFont="1" applyFill="1" applyBorder="1" applyAlignment="1">
      <alignment horizontal="center" vertical="top"/>
    </xf>
    <xf numFmtId="164" fontId="21" fillId="5" borderId="45" xfId="0" applyNumberFormat="1" applyFont="1" applyFill="1" applyBorder="1" applyAlignment="1">
      <alignment horizontal="center" vertical="top"/>
    </xf>
    <xf numFmtId="0" fontId="27" fillId="5" borderId="43" xfId="0" applyFont="1" applyFill="1" applyBorder="1" applyAlignment="1">
      <alignment horizontal="left" vertical="top" wrapText="1"/>
    </xf>
    <xf numFmtId="3" fontId="27" fillId="5" borderId="53" xfId="0" applyNumberFormat="1" applyFont="1" applyFill="1" applyBorder="1" applyAlignment="1">
      <alignment horizontal="center" vertical="top" wrapText="1"/>
    </xf>
    <xf numFmtId="3" fontId="6" fillId="0" borderId="5" xfId="0" applyNumberFormat="1" applyFont="1" applyBorder="1" applyAlignment="1">
      <alignment horizontal="center" vertical="top"/>
    </xf>
    <xf numFmtId="164" fontId="6" fillId="3" borderId="28" xfId="0" applyNumberFormat="1" applyFont="1" applyFill="1" applyBorder="1" applyAlignment="1">
      <alignment horizontal="center" vertical="top" wrapText="1"/>
    </xf>
    <xf numFmtId="164" fontId="6" fillId="3" borderId="27" xfId="0" applyNumberFormat="1" applyFont="1" applyFill="1" applyBorder="1" applyAlignment="1">
      <alignment horizontal="center" vertical="top" wrapText="1"/>
    </xf>
    <xf numFmtId="164" fontId="6" fillId="5" borderId="27" xfId="0" applyNumberFormat="1" applyFont="1" applyFill="1" applyBorder="1" applyAlignment="1">
      <alignment horizontal="center" vertical="top" wrapText="1"/>
    </xf>
    <xf numFmtId="164" fontId="6" fillId="3" borderId="30" xfId="0" applyNumberFormat="1" applyFont="1" applyFill="1" applyBorder="1" applyAlignment="1">
      <alignment horizontal="center" vertical="top" wrapText="1"/>
    </xf>
    <xf numFmtId="164" fontId="6" fillId="3" borderId="4" xfId="0" applyNumberFormat="1" applyFont="1" applyFill="1" applyBorder="1" applyAlignment="1">
      <alignment horizontal="center" vertical="top" wrapText="1"/>
    </xf>
    <xf numFmtId="164" fontId="6" fillId="3" borderId="40"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164" fontId="16" fillId="5" borderId="66" xfId="0" applyNumberFormat="1" applyFont="1" applyFill="1" applyBorder="1" applyAlignment="1">
      <alignment horizontal="center" vertical="top"/>
    </xf>
    <xf numFmtId="165" fontId="16" fillId="5" borderId="26" xfId="0" applyNumberFormat="1" applyFont="1" applyFill="1" applyBorder="1" applyAlignment="1">
      <alignment horizontal="center" vertical="top"/>
    </xf>
    <xf numFmtId="165" fontId="16" fillId="5" borderId="36" xfId="0" applyNumberFormat="1" applyFont="1" applyFill="1" applyBorder="1" applyAlignment="1">
      <alignment horizontal="center" vertical="top"/>
    </xf>
    <xf numFmtId="165" fontId="16" fillId="5" borderId="37" xfId="0" applyNumberFormat="1" applyFont="1" applyFill="1" applyBorder="1" applyAlignment="1">
      <alignment horizontal="center" vertical="top"/>
    </xf>
    <xf numFmtId="165" fontId="16" fillId="5" borderId="66" xfId="0" applyNumberFormat="1" applyFont="1" applyFill="1" applyBorder="1" applyAlignment="1">
      <alignment horizontal="center" vertical="top"/>
    </xf>
    <xf numFmtId="165" fontId="16" fillId="5" borderId="45" xfId="0" applyNumberFormat="1" applyFont="1" applyFill="1" applyBorder="1" applyAlignment="1">
      <alignment horizontal="center" vertical="top"/>
    </xf>
    <xf numFmtId="0" fontId="16" fillId="5" borderId="26" xfId="0" applyFont="1" applyFill="1" applyBorder="1" applyAlignment="1">
      <alignment horizontal="center" vertical="top"/>
    </xf>
    <xf numFmtId="0" fontId="16" fillId="5" borderId="36" xfId="0" applyFont="1" applyFill="1" applyBorder="1" applyAlignment="1">
      <alignment horizontal="center" vertical="top"/>
    </xf>
    <xf numFmtId="0" fontId="16" fillId="5" borderId="37" xfId="0" applyFont="1" applyFill="1" applyBorder="1" applyAlignment="1">
      <alignment horizontal="center" vertical="top"/>
    </xf>
    <xf numFmtId="0" fontId="16" fillId="5" borderId="66" xfId="0" applyFont="1" applyFill="1" applyBorder="1" applyAlignment="1">
      <alignment horizontal="center" vertical="top"/>
    </xf>
    <xf numFmtId="0" fontId="16" fillId="5" borderId="45" xfId="0" applyFont="1" applyFill="1" applyBorder="1" applyAlignment="1">
      <alignment horizontal="center" vertical="top"/>
    </xf>
    <xf numFmtId="3" fontId="16" fillId="5" borderId="50" xfId="0" applyNumberFormat="1" applyFont="1" applyFill="1" applyBorder="1" applyAlignment="1">
      <alignment horizontal="center" vertical="top"/>
    </xf>
    <xf numFmtId="164" fontId="16" fillId="5" borderId="44" xfId="0" applyNumberFormat="1" applyFont="1" applyFill="1" applyBorder="1" applyAlignment="1">
      <alignment horizontal="center" vertical="top"/>
    </xf>
    <xf numFmtId="164" fontId="16" fillId="5" borderId="11" xfId="0" applyNumberFormat="1" applyFont="1" applyFill="1" applyBorder="1" applyAlignment="1">
      <alignment horizontal="center" vertical="top"/>
    </xf>
    <xf numFmtId="3" fontId="6" fillId="5" borderId="28" xfId="0" applyNumberFormat="1" applyFont="1" applyFill="1" applyBorder="1" applyAlignment="1">
      <alignment horizontal="center" vertical="top"/>
    </xf>
    <xf numFmtId="164" fontId="6" fillId="5" borderId="28" xfId="0" applyNumberFormat="1" applyFont="1" applyFill="1" applyBorder="1" applyAlignment="1">
      <alignment horizontal="center" vertical="top"/>
    </xf>
    <xf numFmtId="164" fontId="6" fillId="5" borderId="27" xfId="0" applyNumberFormat="1" applyFont="1" applyFill="1" applyBorder="1" applyAlignment="1">
      <alignment horizontal="center" vertical="top"/>
    </xf>
    <xf numFmtId="3" fontId="6" fillId="5" borderId="73" xfId="0" applyNumberFormat="1" applyFont="1" applyFill="1" applyBorder="1" applyAlignment="1">
      <alignment horizontal="center" vertical="top" wrapText="1"/>
    </xf>
    <xf numFmtId="164" fontId="18" fillId="0" borderId="26" xfId="0" applyNumberFormat="1" applyFont="1" applyBorder="1" applyAlignment="1">
      <alignment horizontal="center" vertical="top"/>
    </xf>
    <xf numFmtId="164" fontId="18" fillId="0" borderId="36" xfId="0" applyNumberFormat="1" applyFont="1" applyBorder="1" applyAlignment="1">
      <alignment horizontal="center" vertical="top"/>
    </xf>
    <xf numFmtId="3" fontId="16" fillId="0" borderId="12" xfId="0" applyNumberFormat="1" applyFont="1" applyBorder="1" applyAlignment="1">
      <alignment horizontal="center" vertical="top"/>
    </xf>
    <xf numFmtId="3" fontId="16" fillId="5" borderId="12" xfId="0" applyNumberFormat="1" applyFont="1" applyFill="1" applyBorder="1" applyAlignment="1">
      <alignment horizontal="center" vertical="top"/>
    </xf>
    <xf numFmtId="164" fontId="16" fillId="5" borderId="11" xfId="0" applyNumberFormat="1" applyFont="1" applyFill="1" applyBorder="1" applyAlignment="1">
      <alignment horizontal="center" vertical="top"/>
    </xf>
    <xf numFmtId="3" fontId="16" fillId="0" borderId="45" xfId="0" applyNumberFormat="1" applyFont="1" applyFill="1" applyBorder="1" applyAlignment="1">
      <alignment horizontal="center" vertical="top"/>
    </xf>
    <xf numFmtId="164" fontId="23" fillId="5" borderId="0" xfId="0" applyNumberFormat="1" applyFont="1" applyFill="1" applyBorder="1" applyAlignment="1">
      <alignment horizontal="center" vertical="top"/>
    </xf>
    <xf numFmtId="164" fontId="22" fillId="0" borderId="0" xfId="0" applyNumberFormat="1" applyFont="1" applyFill="1" applyBorder="1" applyAlignment="1">
      <alignment horizontal="center" vertical="top" wrapText="1"/>
    </xf>
    <xf numFmtId="3" fontId="2" fillId="0" borderId="26" xfId="0" applyNumberFormat="1" applyFont="1" applyFill="1" applyBorder="1" applyAlignment="1">
      <alignment horizontal="center" vertical="top" wrapText="1"/>
    </xf>
    <xf numFmtId="164" fontId="13" fillId="5" borderId="0" xfId="0" applyNumberFormat="1" applyFont="1" applyFill="1" applyBorder="1" applyAlignment="1">
      <alignment horizontal="center"/>
    </xf>
    <xf numFmtId="49" fontId="1" fillId="5" borderId="46" xfId="0" applyNumberFormat="1" applyFont="1" applyFill="1" applyBorder="1" applyAlignment="1">
      <alignment horizontal="left" vertical="top" wrapText="1"/>
    </xf>
    <xf numFmtId="49" fontId="1" fillId="5" borderId="12" xfId="0" applyNumberFormat="1" applyFont="1" applyFill="1" applyBorder="1" applyAlignment="1">
      <alignment horizontal="left" vertical="top" wrapText="1"/>
    </xf>
    <xf numFmtId="3" fontId="1" fillId="5" borderId="46" xfId="0" applyNumberFormat="1" applyFont="1" applyFill="1" applyBorder="1" applyAlignment="1">
      <alignment horizontal="left" vertical="top" wrapText="1"/>
    </xf>
    <xf numFmtId="3" fontId="1" fillId="5" borderId="50" xfId="0" applyNumberFormat="1" applyFont="1" applyFill="1" applyBorder="1" applyAlignment="1">
      <alignment horizontal="left" vertical="top" wrapText="1"/>
    </xf>
    <xf numFmtId="3" fontId="2" fillId="2" borderId="58"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49" fontId="1" fillId="5" borderId="50" xfId="0" applyNumberFormat="1" applyFont="1" applyFill="1" applyBorder="1" applyAlignment="1">
      <alignment horizontal="left" vertical="top" wrapText="1"/>
    </xf>
    <xf numFmtId="3" fontId="2" fillId="5" borderId="13" xfId="0" applyNumberFormat="1" applyFont="1" applyFill="1" applyBorder="1" applyAlignment="1">
      <alignment horizontal="center" vertical="top" wrapText="1"/>
    </xf>
    <xf numFmtId="3" fontId="2" fillId="5" borderId="47" xfId="0" applyNumberFormat="1" applyFont="1" applyFill="1" applyBorder="1" applyAlignment="1">
      <alignment horizontal="center" vertical="top" wrapText="1"/>
    </xf>
    <xf numFmtId="3" fontId="1" fillId="0" borderId="46"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2" fillId="5" borderId="46" xfId="0" applyNumberFormat="1" applyFont="1" applyFill="1" applyBorder="1" applyAlignment="1">
      <alignment horizontal="left" vertical="top" wrapText="1"/>
    </xf>
    <xf numFmtId="3" fontId="2" fillId="5" borderId="17"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0" fontId="1" fillId="5" borderId="46" xfId="0" applyFont="1" applyFill="1" applyBorder="1" applyAlignment="1">
      <alignment horizontal="left" vertical="top" wrapText="1"/>
    </xf>
    <xf numFmtId="0" fontId="1" fillId="5" borderId="50" xfId="0" applyFont="1" applyFill="1" applyBorder="1" applyAlignment="1">
      <alignment horizontal="left" vertical="top" wrapText="1"/>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49" fontId="2" fillId="3" borderId="16" xfId="0" applyNumberFormat="1" applyFont="1" applyFill="1" applyBorder="1" applyAlignment="1">
      <alignment horizontal="center" vertical="top"/>
    </xf>
    <xf numFmtId="3" fontId="1" fillId="0" borderId="5"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49" fontId="2" fillId="2" borderId="27" xfId="0" applyNumberFormat="1" applyFont="1" applyFill="1" applyBorder="1" applyAlignment="1">
      <alignment horizontal="center" vertical="top"/>
    </xf>
    <xf numFmtId="49" fontId="2" fillId="2" borderId="36" xfId="0" applyNumberFormat="1" applyFont="1" applyFill="1" applyBorder="1" applyAlignment="1">
      <alignment horizontal="center" vertical="top"/>
    </xf>
    <xf numFmtId="49" fontId="2" fillId="0" borderId="4"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6" xfId="0" applyNumberFormat="1" applyFont="1" applyBorder="1" applyAlignment="1">
      <alignment horizontal="center" vertical="top"/>
    </xf>
    <xf numFmtId="3" fontId="1" fillId="5" borderId="5" xfId="0" applyNumberFormat="1" applyFont="1" applyFill="1" applyBorder="1" applyAlignment="1">
      <alignment horizontal="left" vertical="top" wrapText="1"/>
    </xf>
    <xf numFmtId="3" fontId="1" fillId="5" borderId="17"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0" fontId="1" fillId="5" borderId="5" xfId="0" applyFont="1" applyFill="1" applyBorder="1" applyAlignment="1">
      <alignment horizontal="left" vertical="top" wrapText="1"/>
    </xf>
    <xf numFmtId="0" fontId="1" fillId="5" borderId="17" xfId="0" applyFont="1" applyFill="1" applyBorder="1" applyAlignment="1">
      <alignment horizontal="left" vertical="top" wrapText="1"/>
    </xf>
    <xf numFmtId="49" fontId="2" fillId="9" borderId="28" xfId="0" applyNumberFormat="1" applyFont="1" applyFill="1" applyBorder="1" applyAlignment="1">
      <alignment horizontal="center" vertical="top"/>
    </xf>
    <xf numFmtId="49" fontId="2" fillId="9" borderId="26" xfId="0" applyNumberFormat="1" applyFont="1" applyFill="1" applyBorder="1" applyAlignment="1">
      <alignment horizontal="center" vertical="top"/>
    </xf>
    <xf numFmtId="49" fontId="2" fillId="9" borderId="32" xfId="0" applyNumberFormat="1" applyFont="1" applyFill="1" applyBorder="1" applyAlignment="1">
      <alignment horizontal="center" vertical="top"/>
    </xf>
    <xf numFmtId="3" fontId="2" fillId="0" borderId="8"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3" fontId="2" fillId="0" borderId="54" xfId="0" applyNumberFormat="1" applyFont="1" applyFill="1" applyBorder="1" applyAlignment="1">
      <alignment horizontal="center" vertical="top"/>
    </xf>
    <xf numFmtId="3" fontId="1" fillId="0" borderId="5" xfId="0" applyNumberFormat="1" applyFont="1" applyFill="1" applyBorder="1" applyAlignment="1">
      <alignment horizontal="center" vertical="top" wrapText="1"/>
    </xf>
    <xf numFmtId="3" fontId="1" fillId="3" borderId="46"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49" fontId="2" fillId="2" borderId="11" xfId="0" applyNumberFormat="1" applyFont="1" applyFill="1" applyBorder="1" applyAlignment="1">
      <alignment horizontal="center" vertical="top"/>
    </xf>
    <xf numFmtId="3" fontId="1" fillId="0" borderId="46"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2" fillId="5" borderId="5" xfId="0" applyNumberFormat="1" applyFont="1" applyFill="1" applyBorder="1" applyAlignment="1">
      <alignment horizontal="left" vertical="top" wrapText="1"/>
    </xf>
    <xf numFmtId="3" fontId="2" fillId="5" borderId="50" xfId="0" applyNumberFormat="1" applyFont="1" applyFill="1" applyBorder="1" applyAlignment="1">
      <alignment horizontal="left" vertical="top" wrapText="1"/>
    </xf>
    <xf numFmtId="49" fontId="1" fillId="3" borderId="37" xfId="0" applyNumberFormat="1" applyFont="1" applyFill="1" applyBorder="1" applyAlignment="1">
      <alignment horizontal="center" vertical="top"/>
    </xf>
    <xf numFmtId="3" fontId="1" fillId="0" borderId="12" xfId="0" applyNumberFormat="1" applyFont="1" applyBorder="1" applyAlignment="1">
      <alignment horizontal="center" vertical="top" wrapText="1"/>
    </xf>
    <xf numFmtId="3" fontId="2" fillId="4" borderId="35" xfId="0" applyNumberFormat="1" applyFont="1" applyFill="1" applyBorder="1" applyAlignment="1">
      <alignment horizontal="right" vertical="top"/>
    </xf>
    <xf numFmtId="3" fontId="2" fillId="4" borderId="58" xfId="0" applyNumberFormat="1" applyFont="1" applyFill="1" applyBorder="1" applyAlignment="1">
      <alignment horizontal="right" vertical="top"/>
    </xf>
    <xf numFmtId="3" fontId="2" fillId="4" borderId="33" xfId="0" applyNumberFormat="1" applyFont="1" applyFill="1" applyBorder="1" applyAlignment="1">
      <alignment horizontal="right" vertical="top"/>
    </xf>
    <xf numFmtId="3" fontId="2" fillId="7" borderId="53" xfId="0" applyNumberFormat="1" applyFont="1" applyFill="1" applyBorder="1" applyAlignment="1">
      <alignment horizontal="right" vertical="top"/>
    </xf>
    <xf numFmtId="3" fontId="2" fillId="7" borderId="14" xfId="0" applyNumberFormat="1" applyFont="1" applyFill="1" applyBorder="1" applyAlignment="1">
      <alignment horizontal="right" vertical="top"/>
    </xf>
    <xf numFmtId="3" fontId="2" fillId="7" borderId="15" xfId="0" applyNumberFormat="1" applyFont="1" applyFill="1" applyBorder="1" applyAlignment="1">
      <alignment horizontal="right" vertical="top"/>
    </xf>
    <xf numFmtId="3" fontId="1" fillId="4" borderId="53" xfId="0" applyNumberFormat="1" applyFont="1" applyFill="1" applyBorder="1" applyAlignment="1">
      <alignment horizontal="left" vertical="top" wrapText="1"/>
    </xf>
    <xf numFmtId="3" fontId="1" fillId="4" borderId="14" xfId="0" applyNumberFormat="1" applyFont="1" applyFill="1" applyBorder="1" applyAlignment="1">
      <alignment horizontal="left" vertical="top" wrapText="1"/>
    </xf>
    <xf numFmtId="3" fontId="1" fillId="4" borderId="15" xfId="0" applyNumberFormat="1" applyFont="1" applyFill="1" applyBorder="1" applyAlignment="1">
      <alignment horizontal="left" vertical="top" wrapText="1"/>
    </xf>
    <xf numFmtId="3" fontId="1" fillId="0" borderId="50" xfId="0" applyNumberFormat="1" applyFont="1" applyFill="1" applyBorder="1" applyAlignment="1">
      <alignment horizontal="center" vertical="top" wrapText="1"/>
    </xf>
    <xf numFmtId="3" fontId="2" fillId="5" borderId="12" xfId="0" applyNumberFormat="1" applyFont="1" applyFill="1" applyBorder="1" applyAlignment="1">
      <alignment horizontal="left" vertical="top" wrapText="1"/>
    </xf>
    <xf numFmtId="3" fontId="5" fillId="5" borderId="48" xfId="0" applyNumberFormat="1" applyFont="1" applyFill="1" applyBorder="1" applyAlignment="1">
      <alignment horizontal="center" vertical="top" textRotation="90"/>
    </xf>
    <xf numFmtId="3" fontId="5" fillId="5" borderId="11" xfId="0" applyNumberFormat="1" applyFont="1" applyFill="1" applyBorder="1" applyAlignment="1">
      <alignment horizontal="center" vertical="top" textRotation="90"/>
    </xf>
    <xf numFmtId="3" fontId="1" fillId="4" borderId="53" xfId="0" applyNumberFormat="1" applyFont="1" applyFill="1" applyBorder="1" applyAlignment="1">
      <alignment horizontal="left" vertical="top"/>
    </xf>
    <xf numFmtId="3" fontId="1" fillId="4" borderId="14" xfId="0" applyNumberFormat="1" applyFont="1" applyFill="1" applyBorder="1" applyAlignment="1">
      <alignment horizontal="left" vertical="top"/>
    </xf>
    <xf numFmtId="3" fontId="2" fillId="2" borderId="20" xfId="0" applyNumberFormat="1" applyFont="1" applyFill="1" applyBorder="1" applyAlignment="1">
      <alignment horizontal="right" vertical="top"/>
    </xf>
    <xf numFmtId="3" fontId="1" fillId="5" borderId="5" xfId="0" applyNumberFormat="1" applyFont="1" applyFill="1" applyBorder="1" applyAlignment="1">
      <alignment vertical="top" wrapText="1"/>
    </xf>
    <xf numFmtId="3" fontId="1" fillId="5" borderId="17" xfId="0" applyNumberFormat="1" applyFont="1" applyFill="1" applyBorder="1" applyAlignment="1">
      <alignment vertical="top" wrapText="1"/>
    </xf>
    <xf numFmtId="49" fontId="1" fillId="0" borderId="49" xfId="0" applyNumberFormat="1" applyFont="1" applyBorder="1" applyAlignment="1">
      <alignment horizontal="center" vertical="top"/>
    </xf>
    <xf numFmtId="49" fontId="1" fillId="0" borderId="37" xfId="0" applyNumberFormat="1" applyFont="1" applyBorder="1" applyAlignment="1">
      <alignment horizontal="center" vertical="top"/>
    </xf>
    <xf numFmtId="3" fontId="1" fillId="0" borderId="53" xfId="0" applyNumberFormat="1" applyFont="1" applyBorder="1" applyAlignment="1">
      <alignment horizontal="left" vertical="top" wrapText="1"/>
    </xf>
    <xf numFmtId="3" fontId="1" fillId="0" borderId="14" xfId="0" applyNumberFormat="1" applyFont="1" applyBorder="1" applyAlignment="1">
      <alignment horizontal="left" vertical="top" wrapText="1"/>
    </xf>
    <xf numFmtId="3" fontId="1" fillId="0" borderId="15" xfId="0" applyNumberFormat="1" applyFont="1" applyBorder="1" applyAlignment="1">
      <alignment horizontal="left" vertical="top" wrapText="1"/>
    </xf>
    <xf numFmtId="3" fontId="2" fillId="2" borderId="67" xfId="0" applyNumberFormat="1" applyFont="1" applyFill="1" applyBorder="1" applyAlignment="1">
      <alignment horizontal="right" vertical="top"/>
    </xf>
    <xf numFmtId="3" fontId="2" fillId="2" borderId="33" xfId="0" applyNumberFormat="1" applyFont="1" applyFill="1" applyBorder="1" applyAlignment="1">
      <alignment horizontal="right" vertical="top"/>
    </xf>
    <xf numFmtId="49" fontId="2" fillId="2" borderId="42" xfId="0" applyNumberFormat="1" applyFont="1" applyFill="1" applyBorder="1" applyAlignment="1">
      <alignment horizontal="left" vertical="top" wrapText="1"/>
    </xf>
    <xf numFmtId="49" fontId="2" fillId="2" borderId="20"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xf numFmtId="3" fontId="1" fillId="0" borderId="46" xfId="0" applyNumberFormat="1" applyFont="1" applyFill="1" applyBorder="1" applyAlignment="1">
      <alignment horizontal="center" vertical="top" wrapText="1"/>
    </xf>
    <xf numFmtId="49" fontId="1" fillId="5" borderId="29" xfId="0" applyNumberFormat="1" applyFont="1" applyFill="1" applyBorder="1" applyAlignment="1">
      <alignment horizontal="left" vertical="top"/>
    </xf>
    <xf numFmtId="49" fontId="2" fillId="2" borderId="20" xfId="0" applyNumberFormat="1" applyFont="1" applyFill="1" applyBorder="1" applyAlignment="1">
      <alignment horizontal="center" vertical="top" wrapText="1"/>
    </xf>
    <xf numFmtId="49" fontId="2" fillId="2" borderId="21" xfId="0" applyNumberFormat="1" applyFont="1" applyFill="1" applyBorder="1" applyAlignment="1">
      <alignment horizontal="center" vertical="top" wrapText="1"/>
    </xf>
    <xf numFmtId="3" fontId="1" fillId="0" borderId="46" xfId="0" applyNumberFormat="1" applyFont="1" applyBorder="1" applyAlignment="1">
      <alignment horizontal="center" vertical="top" wrapText="1"/>
    </xf>
    <xf numFmtId="3" fontId="1" fillId="0" borderId="50" xfId="0" applyNumberFormat="1" applyFont="1" applyBorder="1" applyAlignment="1">
      <alignment horizontal="center" vertical="top" wrapText="1"/>
    </xf>
    <xf numFmtId="3" fontId="1" fillId="0" borderId="27" xfId="0" applyNumberFormat="1" applyFont="1" applyBorder="1" applyAlignment="1">
      <alignment horizontal="center" vertical="center" wrapText="1"/>
    </xf>
    <xf numFmtId="3" fontId="1" fillId="0" borderId="36" xfId="0" applyNumberFormat="1" applyFont="1" applyBorder="1" applyAlignment="1">
      <alignment horizontal="center" vertical="center" wrapText="1"/>
    </xf>
    <xf numFmtId="3" fontId="1" fillId="0" borderId="28" xfId="0" applyNumberFormat="1" applyFont="1" applyBorder="1" applyAlignment="1">
      <alignment horizontal="center" vertical="center" textRotation="90" wrapText="1"/>
    </xf>
    <xf numFmtId="3" fontId="1" fillId="0" borderId="26" xfId="0" applyNumberFormat="1" applyFont="1" applyBorder="1" applyAlignment="1">
      <alignment horizontal="center" vertical="center" textRotation="90"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2" fillId="3" borderId="5" xfId="0" applyNumberFormat="1" applyFont="1" applyFill="1" applyBorder="1" applyAlignment="1">
      <alignment horizontal="left" vertical="top" wrapText="1"/>
    </xf>
    <xf numFmtId="3" fontId="2" fillId="3" borderId="12" xfId="0" applyNumberFormat="1" applyFont="1" applyFill="1" applyBorder="1" applyAlignment="1">
      <alignment horizontal="left" vertical="top" wrapText="1"/>
    </xf>
    <xf numFmtId="3" fontId="2" fillId="8" borderId="28" xfId="0" applyNumberFormat="1" applyFont="1" applyFill="1" applyBorder="1" applyAlignment="1">
      <alignment horizontal="left" vertical="top" wrapText="1"/>
    </xf>
    <xf numFmtId="3" fontId="2" fillId="8" borderId="29" xfId="0" applyNumberFormat="1" applyFont="1" applyFill="1" applyBorder="1" applyAlignment="1">
      <alignment horizontal="left" vertical="top" wrapText="1"/>
    </xf>
    <xf numFmtId="3" fontId="2" fillId="8" borderId="0" xfId="0" applyNumberFormat="1" applyFont="1" applyFill="1" applyBorder="1" applyAlignment="1">
      <alignment horizontal="left" vertical="top" wrapText="1"/>
    </xf>
    <xf numFmtId="3" fontId="2" fillId="8" borderId="40" xfId="0" applyNumberFormat="1" applyFont="1" applyFill="1" applyBorder="1" applyAlignment="1">
      <alignment horizontal="left" vertical="top" wrapText="1"/>
    </xf>
    <xf numFmtId="3" fontId="12" fillId="7" borderId="53" xfId="0" applyNumberFormat="1" applyFont="1" applyFill="1" applyBorder="1" applyAlignment="1">
      <alignment horizontal="left" vertical="top" wrapText="1"/>
    </xf>
    <xf numFmtId="3" fontId="12" fillId="7" borderId="14" xfId="0" applyNumberFormat="1" applyFont="1" applyFill="1" applyBorder="1" applyAlignment="1">
      <alignment horizontal="left" vertical="top" wrapText="1"/>
    </xf>
    <xf numFmtId="3" fontId="12" fillId="7" borderId="15" xfId="0" applyNumberFormat="1" applyFont="1" applyFill="1" applyBorder="1" applyAlignment="1">
      <alignment horizontal="left" vertical="top" wrapText="1"/>
    </xf>
    <xf numFmtId="3" fontId="1" fillId="0" borderId="5"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2" fillId="2" borderId="20" xfId="0" applyNumberFormat="1" applyFont="1" applyFill="1" applyBorder="1" applyAlignment="1">
      <alignment horizontal="center" vertical="top"/>
    </xf>
    <xf numFmtId="3" fontId="2" fillId="2" borderId="21" xfId="0" applyNumberFormat="1" applyFont="1" applyFill="1" applyBorder="1" applyAlignment="1">
      <alignment horizontal="center" vertical="top"/>
    </xf>
    <xf numFmtId="3" fontId="2" fillId="2" borderId="20" xfId="0" applyNumberFormat="1" applyFont="1" applyFill="1" applyBorder="1" applyAlignment="1">
      <alignment horizontal="left" vertical="top" wrapText="1"/>
    </xf>
    <xf numFmtId="3" fontId="2" fillId="2" borderId="21" xfId="0" applyNumberFormat="1" applyFont="1" applyFill="1" applyBorder="1" applyAlignment="1">
      <alignment horizontal="left" vertical="top" wrapText="1"/>
    </xf>
    <xf numFmtId="49" fontId="2" fillId="3" borderId="29" xfId="0" applyNumberFormat="1" applyFont="1" applyFill="1" applyBorder="1" applyAlignment="1">
      <alignment horizontal="center" vertical="top"/>
    </xf>
    <xf numFmtId="49" fontId="2" fillId="3" borderId="0" xfId="0" applyNumberFormat="1" applyFont="1" applyFill="1" applyBorder="1" applyAlignment="1">
      <alignment horizontal="center" vertical="top"/>
    </xf>
    <xf numFmtId="49" fontId="2" fillId="3" borderId="1" xfId="0" applyNumberFormat="1" applyFont="1" applyFill="1" applyBorder="1" applyAlignment="1">
      <alignment horizontal="center" vertical="top"/>
    </xf>
    <xf numFmtId="3" fontId="2" fillId="0" borderId="30" xfId="0" applyNumberFormat="1" applyFont="1" applyFill="1" applyBorder="1" applyAlignment="1">
      <alignment horizontal="center" vertical="center" textRotation="90" wrapText="1"/>
    </xf>
    <xf numFmtId="3" fontId="2" fillId="0" borderId="44" xfId="0" applyNumberFormat="1" applyFont="1" applyFill="1" applyBorder="1" applyAlignment="1">
      <alignment horizontal="center" vertical="center" textRotation="90" wrapText="1"/>
    </xf>
    <xf numFmtId="3" fontId="2" fillId="0" borderId="18" xfId="0" applyNumberFormat="1" applyFont="1" applyFill="1" applyBorder="1" applyAlignment="1">
      <alignment horizontal="center" vertical="center" textRotation="90" wrapText="1"/>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10" fillId="0" borderId="0" xfId="0" applyNumberFormat="1" applyFont="1" applyAlignment="1">
      <alignment horizontal="center" vertical="top" wrapText="1"/>
    </xf>
    <xf numFmtId="3" fontId="2" fillId="9" borderId="14" xfId="0" applyNumberFormat="1" applyFont="1" applyFill="1" applyBorder="1" applyAlignment="1">
      <alignment horizontal="left" vertical="top" wrapText="1"/>
    </xf>
    <xf numFmtId="3" fontId="1" fillId="9" borderId="14" xfId="0" applyNumberFormat="1" applyFont="1" applyFill="1" applyBorder="1" applyAlignment="1">
      <alignment horizontal="left" vertical="top" wrapText="1"/>
    </xf>
    <xf numFmtId="3" fontId="1" fillId="9" borderId="15" xfId="0" applyNumberFormat="1" applyFont="1" applyFill="1" applyBorder="1" applyAlignment="1">
      <alignment horizontal="left" vertical="top" wrapText="1"/>
    </xf>
    <xf numFmtId="3" fontId="1" fillId="0" borderId="52" xfId="0" applyNumberFormat="1" applyFont="1" applyFill="1" applyBorder="1" applyAlignment="1">
      <alignment horizontal="left" vertical="top" wrapText="1"/>
    </xf>
    <xf numFmtId="3" fontId="1" fillId="0" borderId="1" xfId="0" applyNumberFormat="1" applyFont="1" applyFill="1" applyBorder="1" applyAlignment="1">
      <alignment horizontal="left" vertical="top" wrapText="1"/>
    </xf>
    <xf numFmtId="0" fontId="8" fillId="0" borderId="17" xfId="0" applyFont="1" applyBorder="1" applyAlignment="1">
      <alignment horizontal="center" vertical="top" wrapText="1"/>
    </xf>
    <xf numFmtId="3" fontId="1" fillId="5" borderId="28" xfId="0" applyNumberFormat="1" applyFont="1" applyFill="1" applyBorder="1" applyAlignment="1">
      <alignment horizontal="left" vertical="top" wrapText="1"/>
    </xf>
    <xf numFmtId="3" fontId="1" fillId="5" borderId="26" xfId="0" applyNumberFormat="1" applyFont="1" applyFill="1" applyBorder="1" applyAlignment="1">
      <alignment horizontal="left" vertical="top" wrapText="1"/>
    </xf>
    <xf numFmtId="3" fontId="1" fillId="5" borderId="32" xfId="0" applyNumberFormat="1" applyFont="1" applyFill="1" applyBorder="1" applyAlignment="1">
      <alignment horizontal="left" vertical="top" wrapText="1"/>
    </xf>
    <xf numFmtId="3" fontId="1" fillId="0" borderId="48"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5" fillId="0" borderId="16" xfId="0" applyNumberFormat="1" applyFont="1" applyFill="1" applyBorder="1" applyAlignment="1">
      <alignment horizontal="center" vertical="center" textRotation="90" wrapText="1"/>
    </xf>
    <xf numFmtId="3" fontId="1" fillId="0" borderId="1" xfId="0" applyNumberFormat="1" applyFont="1" applyBorder="1" applyAlignment="1">
      <alignment horizontal="right"/>
    </xf>
    <xf numFmtId="3" fontId="8" fillId="0" borderId="0" xfId="0" applyNumberFormat="1" applyFont="1" applyAlignment="1">
      <alignment horizontal="center" vertical="top"/>
    </xf>
    <xf numFmtId="49" fontId="1" fillId="0" borderId="2" xfId="0" applyNumberFormat="1" applyFont="1" applyBorder="1" applyAlignment="1">
      <alignment horizontal="center" vertical="center" textRotation="90" wrapText="1"/>
    </xf>
    <xf numFmtId="49" fontId="1" fillId="0" borderId="9" xfId="0" applyNumberFormat="1" applyFont="1" applyBorder="1" applyAlignment="1">
      <alignment horizontal="center" vertical="center" textRotation="90" wrapText="1"/>
    </xf>
    <xf numFmtId="49" fontId="1" fillId="0" borderId="13"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49" fontId="1" fillId="0" borderId="48" xfId="0" applyNumberFormat="1" applyFont="1" applyBorder="1" applyAlignment="1">
      <alignment horizontal="center" vertical="center" textRotation="90" wrapText="1"/>
    </xf>
    <xf numFmtId="3" fontId="1" fillId="0" borderId="72"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30" xfId="0" applyNumberFormat="1" applyFont="1" applyFill="1" applyBorder="1" applyAlignment="1">
      <alignment horizontal="center" vertical="top" wrapText="1"/>
    </xf>
    <xf numFmtId="3" fontId="1" fillId="0" borderId="47" xfId="0" applyNumberFormat="1" applyFont="1" applyFill="1" applyBorder="1" applyAlignment="1">
      <alignment horizontal="center" vertical="top" wrapText="1"/>
    </xf>
    <xf numFmtId="3" fontId="8" fillId="0" borderId="0" xfId="0" applyNumberFormat="1" applyFont="1" applyAlignment="1">
      <alignment horizontal="center" vertical="top" wrapText="1"/>
    </xf>
    <xf numFmtId="3" fontId="2" fillId="4" borderId="53" xfId="0" applyNumberFormat="1" applyFont="1" applyFill="1" applyBorder="1" applyAlignment="1">
      <alignment horizontal="right" vertical="top"/>
    </xf>
    <xf numFmtId="3" fontId="2" fillId="4" borderId="14" xfId="0" applyNumberFormat="1" applyFont="1" applyFill="1" applyBorder="1" applyAlignment="1">
      <alignment horizontal="right" vertical="top"/>
    </xf>
    <xf numFmtId="3" fontId="2" fillId="4" borderId="15" xfId="0" applyNumberFormat="1" applyFont="1" applyFill="1" applyBorder="1" applyAlignment="1">
      <alignment horizontal="right" vertical="top"/>
    </xf>
    <xf numFmtId="3" fontId="2" fillId="0" borderId="40" xfId="0" applyNumberFormat="1" applyFont="1" applyBorder="1" applyAlignment="1">
      <alignment horizontal="center" vertical="top"/>
    </xf>
    <xf numFmtId="3" fontId="2" fillId="0" borderId="41" xfId="0" applyNumberFormat="1" applyFont="1" applyBorder="1" applyAlignment="1">
      <alignment horizontal="center" vertical="top"/>
    </xf>
    <xf numFmtId="3" fontId="2" fillId="0" borderId="1"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0" fontId="1" fillId="5" borderId="34" xfId="0" applyNumberFormat="1" applyFont="1" applyFill="1" applyBorder="1" applyAlignment="1">
      <alignment horizontal="left" vertical="top" wrapText="1"/>
    </xf>
    <xf numFmtId="0" fontId="1" fillId="5" borderId="26" xfId="0" applyNumberFormat="1" applyFont="1" applyFill="1" applyBorder="1" applyAlignment="1">
      <alignment horizontal="left" vertical="top" wrapText="1"/>
    </xf>
    <xf numFmtId="3" fontId="2" fillId="4" borderId="34" xfId="0" applyNumberFormat="1" applyFont="1" applyFill="1" applyBorder="1" applyAlignment="1">
      <alignment horizontal="right" vertical="top"/>
    </xf>
    <xf numFmtId="3" fontId="2" fillId="4" borderId="52" xfId="0" applyNumberFormat="1" applyFont="1" applyFill="1" applyBorder="1" applyAlignment="1">
      <alignment horizontal="right" vertical="top"/>
    </xf>
    <xf numFmtId="3" fontId="2" fillId="4" borderId="45" xfId="0" applyNumberFormat="1" applyFont="1" applyFill="1" applyBorder="1" applyAlignment="1">
      <alignment horizontal="right" vertical="top"/>
    </xf>
    <xf numFmtId="3" fontId="1" fillId="6" borderId="35"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3" fontId="1" fillId="6" borderId="41" xfId="0" applyNumberFormat="1" applyFont="1" applyFill="1" applyBorder="1" applyAlignment="1">
      <alignment horizontal="center" vertical="top" wrapText="1"/>
    </xf>
    <xf numFmtId="3" fontId="1" fillId="0" borderId="34"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2" fillId="4" borderId="32" xfId="0" applyNumberFormat="1" applyFont="1" applyFill="1" applyBorder="1" applyAlignment="1">
      <alignment horizontal="right" vertical="top"/>
    </xf>
    <xf numFmtId="3" fontId="2" fillId="4" borderId="1" xfId="0" applyNumberFormat="1" applyFont="1" applyFill="1" applyBorder="1" applyAlignment="1">
      <alignment horizontal="right" vertical="top"/>
    </xf>
    <xf numFmtId="3" fontId="2" fillId="9" borderId="20" xfId="0" applyNumberFormat="1" applyFont="1" applyFill="1" applyBorder="1" applyAlignment="1">
      <alignment horizontal="center" vertical="top"/>
    </xf>
    <xf numFmtId="3" fontId="2" fillId="9" borderId="21"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7" borderId="21" xfId="0" applyNumberFormat="1" applyFont="1" applyFill="1" applyBorder="1" applyAlignment="1">
      <alignment horizontal="center" vertical="top"/>
    </xf>
    <xf numFmtId="49" fontId="1" fillId="0" borderId="46"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3" fontId="1" fillId="5" borderId="22" xfId="0" applyNumberFormat="1" applyFont="1" applyFill="1" applyBorder="1" applyAlignment="1">
      <alignment horizontal="left" vertical="top" wrapText="1"/>
    </xf>
    <xf numFmtId="3" fontId="7" fillId="0" borderId="0" xfId="0" applyNumberFormat="1" applyFont="1" applyAlignment="1">
      <alignment horizontal="right" vertical="top" wrapText="1"/>
    </xf>
    <xf numFmtId="3" fontId="2" fillId="0" borderId="33" xfId="0" applyNumberFormat="1" applyFont="1" applyFill="1" applyBorder="1" applyAlignment="1">
      <alignment horizontal="center" vertical="top"/>
    </xf>
    <xf numFmtId="3" fontId="2" fillId="2" borderId="38" xfId="0" applyNumberFormat="1" applyFont="1" applyFill="1" applyBorder="1" applyAlignment="1">
      <alignment horizontal="left" vertical="top" wrapText="1"/>
    </xf>
    <xf numFmtId="3" fontId="2" fillId="2" borderId="1" xfId="0" applyNumberFormat="1" applyFont="1" applyFill="1" applyBorder="1" applyAlignment="1">
      <alignment horizontal="left" vertical="top" wrapText="1"/>
    </xf>
    <xf numFmtId="3" fontId="2" fillId="2" borderId="41" xfId="0" applyNumberFormat="1" applyFont="1" applyFill="1" applyBorder="1" applyAlignment="1">
      <alignment horizontal="left" vertical="top" wrapText="1"/>
    </xf>
    <xf numFmtId="3" fontId="1" fillId="0" borderId="49"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3" fontId="1" fillId="0" borderId="26" xfId="0" applyNumberFormat="1" applyFont="1" applyBorder="1" applyAlignment="1">
      <alignment horizontal="center" vertical="center" wrapText="1"/>
    </xf>
    <xf numFmtId="3" fontId="1" fillId="0" borderId="4" xfId="0" applyNumberFormat="1" applyFont="1" applyBorder="1" applyAlignment="1">
      <alignment horizontal="center" vertical="center" textRotation="90" wrapText="1"/>
    </xf>
    <xf numFmtId="3" fontId="1" fillId="0" borderId="11"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3" fontId="1" fillId="0" borderId="31" xfId="0" applyNumberFormat="1" applyFont="1" applyBorder="1" applyAlignment="1">
      <alignment horizontal="center" vertical="center" textRotation="90" wrapText="1"/>
    </xf>
    <xf numFmtId="3" fontId="1" fillId="0" borderId="37" xfId="0" applyNumberFormat="1" applyFont="1" applyBorder="1" applyAlignment="1">
      <alignment horizontal="center" vertical="center" textRotation="90" wrapText="1"/>
    </xf>
    <xf numFmtId="3" fontId="1" fillId="0" borderId="5"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17" xfId="0" applyNumberFormat="1"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1" fillId="0" borderId="66" xfId="0" applyFont="1" applyBorder="1" applyAlignment="1">
      <alignment horizontal="center" vertical="center" textRotation="90" wrapText="1"/>
    </xf>
    <xf numFmtId="0" fontId="1" fillId="0" borderId="59" xfId="0" applyFont="1" applyBorder="1" applyAlignment="1">
      <alignment horizontal="center" vertical="center" textRotation="90" wrapText="1"/>
    </xf>
    <xf numFmtId="3" fontId="2" fillId="0" borderId="44" xfId="0" applyNumberFormat="1" applyFont="1" applyFill="1" applyBorder="1" applyAlignment="1">
      <alignment horizontal="center" vertical="top" textRotation="90" wrapText="1"/>
    </xf>
    <xf numFmtId="3" fontId="1" fillId="3" borderId="50"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0" fontId="8" fillId="0" borderId="43" xfId="0" applyFont="1" applyBorder="1" applyAlignment="1">
      <alignment horizontal="center" vertical="top"/>
    </xf>
    <xf numFmtId="3" fontId="1" fillId="0" borderId="53" xfId="0" applyNumberFormat="1" applyFont="1" applyBorder="1" applyAlignment="1">
      <alignment horizontal="left" vertical="top"/>
    </xf>
    <xf numFmtId="3" fontId="1" fillId="0" borderId="14" xfId="0" applyNumberFormat="1" applyFont="1" applyBorder="1" applyAlignment="1">
      <alignment horizontal="left" vertical="top"/>
    </xf>
    <xf numFmtId="3" fontId="1" fillId="0" borderId="15" xfId="0" applyNumberFormat="1" applyFont="1" applyBorder="1" applyAlignment="1">
      <alignment horizontal="left" vertical="top"/>
    </xf>
    <xf numFmtId="3" fontId="1" fillId="0" borderId="26" xfId="0" applyNumberFormat="1" applyFont="1" applyBorder="1" applyAlignment="1">
      <alignment horizontal="left" vertical="top"/>
    </xf>
    <xf numFmtId="3" fontId="1" fillId="0" borderId="0" xfId="0" applyNumberFormat="1" applyFont="1" applyBorder="1" applyAlignment="1">
      <alignment horizontal="left" vertical="top"/>
    </xf>
    <xf numFmtId="3" fontId="1" fillId="0" borderId="28"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1" fillId="6" borderId="19"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21" xfId="0" applyNumberFormat="1" applyFont="1" applyFill="1" applyBorder="1" applyAlignment="1">
      <alignment horizontal="center" vertical="top" wrapText="1"/>
    </xf>
    <xf numFmtId="3" fontId="2" fillId="9" borderId="42" xfId="0" applyNumberFormat="1" applyFont="1" applyFill="1" applyBorder="1" applyAlignment="1">
      <alignment horizontal="right" vertical="top"/>
    </xf>
    <xf numFmtId="3" fontId="2" fillId="9" borderId="20" xfId="0" applyNumberFormat="1" applyFont="1" applyFill="1" applyBorder="1" applyAlignment="1">
      <alignment horizontal="right" vertical="top"/>
    </xf>
    <xf numFmtId="3" fontId="1" fillId="0" borderId="9" xfId="0" applyNumberFormat="1" applyFont="1" applyBorder="1" applyAlignment="1">
      <alignment horizontal="left" vertical="top"/>
    </xf>
    <xf numFmtId="3" fontId="1" fillId="0" borderId="10" xfId="0" applyNumberFormat="1" applyFont="1" applyBorder="1" applyAlignment="1">
      <alignment horizontal="left" vertical="top"/>
    </xf>
    <xf numFmtId="49" fontId="2" fillId="0" borderId="27" xfId="0" applyNumberFormat="1" applyFont="1" applyBorder="1" applyAlignment="1">
      <alignment horizontal="center" vertical="top"/>
    </xf>
    <xf numFmtId="49" fontId="2" fillId="0" borderId="38"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9" xfId="0" applyNumberFormat="1" applyFont="1" applyBorder="1" applyAlignment="1">
      <alignment horizontal="center" vertical="top"/>
    </xf>
    <xf numFmtId="3" fontId="1" fillId="0" borderId="60" xfId="0" applyNumberFormat="1" applyFont="1" applyFill="1" applyBorder="1" applyAlignment="1">
      <alignment horizontal="center" vertical="center" textRotation="90" wrapText="1"/>
    </xf>
    <xf numFmtId="3" fontId="1" fillId="0" borderId="59" xfId="0" applyNumberFormat="1" applyFont="1" applyFill="1" applyBorder="1" applyAlignment="1">
      <alignment horizontal="center" vertical="center" textRotation="90" wrapText="1"/>
    </xf>
    <xf numFmtId="3" fontId="1" fillId="5" borderId="31" xfId="0" applyNumberFormat="1" applyFont="1" applyFill="1" applyBorder="1" applyAlignment="1">
      <alignment horizontal="center" vertical="top" wrapText="1"/>
    </xf>
    <xf numFmtId="3" fontId="1" fillId="5" borderId="56"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5" fillId="0" borderId="55" xfId="0" applyNumberFormat="1" applyFont="1" applyFill="1" applyBorder="1" applyAlignment="1">
      <alignment horizontal="center" vertical="top" textRotation="90" wrapText="1"/>
    </xf>
    <xf numFmtId="3" fontId="1" fillId="0" borderId="26" xfId="0" applyNumberFormat="1" applyFont="1" applyBorder="1" applyAlignment="1">
      <alignment horizontal="left" vertical="top" wrapText="1"/>
    </xf>
    <xf numFmtId="49" fontId="1" fillId="0" borderId="50" xfId="0" applyNumberFormat="1" applyFont="1" applyBorder="1" applyAlignment="1">
      <alignment horizontal="left" vertical="top" wrapText="1"/>
    </xf>
    <xf numFmtId="1" fontId="1" fillId="5" borderId="49" xfId="0" applyNumberFormat="1" applyFont="1" applyFill="1" applyBorder="1" applyAlignment="1">
      <alignment horizontal="center" vertical="top" wrapText="1"/>
    </xf>
    <xf numFmtId="1" fontId="1" fillId="5" borderId="39"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2" fillId="2" borderId="42" xfId="0" applyNumberFormat="1" applyFont="1" applyFill="1" applyBorder="1" applyAlignment="1">
      <alignment horizontal="left" vertical="top" wrapText="1"/>
    </xf>
    <xf numFmtId="3" fontId="2" fillId="2" borderId="32"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41" xfId="0" applyNumberFormat="1" applyFont="1" applyFill="1" applyBorder="1" applyAlignment="1">
      <alignment horizontal="center" vertical="center"/>
    </xf>
    <xf numFmtId="3" fontId="1" fillId="0" borderId="13"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164" fontId="1" fillId="5" borderId="72" xfId="0" applyNumberFormat="1" applyFont="1" applyFill="1" applyBorder="1" applyAlignment="1">
      <alignment horizontal="center" vertical="top"/>
    </xf>
    <xf numFmtId="0" fontId="8" fillId="0" borderId="72" xfId="0" applyFont="1" applyBorder="1" applyAlignment="1">
      <alignment horizontal="center" vertical="top"/>
    </xf>
    <xf numFmtId="1" fontId="1" fillId="5" borderId="13" xfId="0" applyNumberFormat="1" applyFont="1" applyFill="1" applyBorder="1" applyAlignment="1">
      <alignment horizontal="center" vertical="top" wrapText="1"/>
    </xf>
    <xf numFmtId="1" fontId="1" fillId="5" borderId="18" xfId="0" applyNumberFormat="1" applyFont="1" applyFill="1" applyBorder="1" applyAlignment="1">
      <alignment horizontal="center" vertical="top" wrapText="1"/>
    </xf>
    <xf numFmtId="1" fontId="1" fillId="5" borderId="48" xfId="0" applyNumberFormat="1" applyFont="1" applyFill="1" applyBorder="1" applyAlignment="1">
      <alignment horizontal="center" vertical="top" wrapText="1"/>
    </xf>
    <xf numFmtId="1" fontId="1" fillId="5" borderId="16"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xf>
    <xf numFmtId="0" fontId="8" fillId="0" borderId="37" xfId="0" applyFont="1" applyBorder="1" applyAlignment="1">
      <alignment horizontal="center" vertical="top"/>
    </xf>
    <xf numFmtId="3" fontId="1" fillId="0" borderId="4" xfId="0" applyNumberFormat="1" applyFont="1" applyFill="1" applyBorder="1" applyAlignment="1">
      <alignment horizontal="center" vertical="top" textRotation="90"/>
    </xf>
    <xf numFmtId="3" fontId="1" fillId="0" borderId="16" xfId="0" applyNumberFormat="1" applyFont="1" applyFill="1" applyBorder="1" applyAlignment="1">
      <alignment horizontal="center" vertical="top" textRotation="90"/>
    </xf>
    <xf numFmtId="3" fontId="1" fillId="0" borderId="28" xfId="0" applyNumberFormat="1" applyFont="1" applyFill="1" applyBorder="1" applyAlignment="1">
      <alignment horizontal="left" vertical="top" wrapText="1"/>
    </xf>
    <xf numFmtId="3" fontId="1" fillId="5" borderId="34"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56" xfId="0" applyNumberFormat="1" applyFont="1" applyFill="1" applyBorder="1" applyAlignment="1">
      <alignment horizontal="center" vertical="top" wrapText="1"/>
    </xf>
    <xf numFmtId="3" fontId="7" fillId="0" borderId="0" xfId="0" applyNumberFormat="1" applyFont="1" applyAlignment="1">
      <alignment horizontal="left" vertical="top"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50" xfId="0" applyNumberFormat="1" applyFont="1" applyFill="1" applyBorder="1" applyAlignment="1">
      <alignment horizontal="left" vertical="top" wrapText="1"/>
    </xf>
    <xf numFmtId="1" fontId="1" fillId="5" borderId="34" xfId="0" applyNumberFormat="1" applyFont="1" applyFill="1" applyBorder="1" applyAlignment="1">
      <alignment horizontal="center" vertical="top" wrapText="1"/>
    </xf>
    <xf numFmtId="1" fontId="1" fillId="5" borderId="32" xfId="0" applyNumberFormat="1" applyFont="1" applyFill="1" applyBorder="1" applyAlignment="1">
      <alignment horizontal="center" vertical="top" wrapText="1"/>
    </xf>
    <xf numFmtId="1" fontId="1" fillId="5" borderId="54" xfId="0" applyNumberFormat="1" applyFont="1" applyFill="1" applyBorder="1" applyAlignment="1">
      <alignment horizontal="center" vertical="top" wrapText="1"/>
    </xf>
    <xf numFmtId="1" fontId="1" fillId="5" borderId="41" xfId="0" applyNumberFormat="1" applyFont="1" applyFill="1" applyBorder="1" applyAlignment="1">
      <alignment horizontal="center" vertical="top" wrapText="1"/>
    </xf>
    <xf numFmtId="3" fontId="16" fillId="0" borderId="12" xfId="0" applyNumberFormat="1" applyFont="1" applyBorder="1" applyAlignment="1">
      <alignment horizontal="center" vertical="top"/>
    </xf>
    <xf numFmtId="0" fontId="18" fillId="0" borderId="12" xfId="0" applyFont="1" applyBorder="1" applyAlignment="1">
      <alignment horizontal="center" vertical="top"/>
    </xf>
    <xf numFmtId="49" fontId="1" fillId="5" borderId="17" xfId="0" applyNumberFormat="1" applyFont="1" applyFill="1" applyBorder="1" applyAlignment="1">
      <alignment horizontal="left" vertical="top" wrapText="1"/>
    </xf>
    <xf numFmtId="3" fontId="1" fillId="5" borderId="13" xfId="0" applyNumberFormat="1" applyFont="1" applyFill="1" applyBorder="1" applyAlignment="1">
      <alignment horizontal="center" vertical="top" wrapText="1"/>
    </xf>
    <xf numFmtId="3" fontId="1" fillId="5" borderId="44" xfId="0" applyNumberFormat="1" applyFont="1" applyFill="1" applyBorder="1" applyAlignment="1">
      <alignment horizontal="center" vertical="top" wrapText="1"/>
    </xf>
    <xf numFmtId="3" fontId="1" fillId="5" borderId="47" xfId="0" applyNumberFormat="1" applyFont="1" applyFill="1" applyBorder="1" applyAlignment="1">
      <alignment horizontal="center" vertical="top" wrapText="1"/>
    </xf>
    <xf numFmtId="3" fontId="1" fillId="5" borderId="48" xfId="0" applyNumberFormat="1" applyFont="1" applyFill="1" applyBorder="1" applyAlignment="1">
      <alignment horizontal="center" vertical="top" wrapText="1"/>
    </xf>
    <xf numFmtId="3" fontId="1" fillId="5" borderId="11"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wrapText="1"/>
    </xf>
    <xf numFmtId="3" fontId="1" fillId="5" borderId="37" xfId="0" applyNumberFormat="1" applyFont="1" applyFill="1" applyBorder="1" applyAlignment="1">
      <alignment horizontal="center" vertical="top" wrapText="1"/>
    </xf>
    <xf numFmtId="3" fontId="2" fillId="4" borderId="24" xfId="0" applyNumberFormat="1" applyFont="1" applyFill="1" applyBorder="1" applyAlignment="1">
      <alignment horizontal="right" vertical="top"/>
    </xf>
    <xf numFmtId="49" fontId="2" fillId="0" borderId="36" xfId="0" applyNumberFormat="1" applyFont="1" applyBorder="1" applyAlignment="1">
      <alignment horizontal="center" vertical="top"/>
    </xf>
    <xf numFmtId="3" fontId="1" fillId="5" borderId="12" xfId="0" applyNumberFormat="1" applyFont="1" applyFill="1" applyBorder="1" applyAlignment="1">
      <alignment vertical="top" wrapText="1"/>
    </xf>
    <xf numFmtId="3" fontId="1" fillId="0" borderId="66" xfId="0" applyNumberFormat="1" applyFont="1" applyFill="1" applyBorder="1" applyAlignment="1">
      <alignment horizontal="center" vertical="center" textRotation="90" wrapText="1"/>
    </xf>
    <xf numFmtId="3" fontId="2" fillId="0" borderId="45" xfId="0" applyNumberFormat="1" applyFont="1" applyBorder="1" applyAlignment="1">
      <alignment horizontal="center" vertical="top"/>
    </xf>
    <xf numFmtId="3" fontId="1" fillId="0" borderId="22" xfId="0" applyNumberFormat="1" applyFont="1" applyBorder="1" applyAlignment="1">
      <alignment horizontal="left" vertical="top"/>
    </xf>
    <xf numFmtId="3" fontId="1" fillId="0" borderId="23" xfId="0" applyNumberFormat="1" applyFont="1" applyBorder="1" applyAlignment="1">
      <alignment horizontal="left" vertical="top"/>
    </xf>
    <xf numFmtId="3" fontId="1" fillId="0" borderId="24" xfId="0" applyNumberFormat="1" applyFont="1" applyBorder="1" applyAlignment="1">
      <alignment horizontal="left" vertical="top"/>
    </xf>
    <xf numFmtId="3" fontId="1" fillId="5" borderId="0" xfId="0" applyNumberFormat="1" applyFont="1" applyFill="1" applyAlignment="1">
      <alignment horizontal="left" vertical="top" wrapText="1"/>
    </xf>
    <xf numFmtId="3" fontId="1" fillId="5" borderId="46" xfId="0" applyNumberFormat="1" applyFont="1" applyFill="1" applyBorder="1" applyAlignment="1">
      <alignment horizontal="center" vertical="top" wrapText="1"/>
    </xf>
    <xf numFmtId="3" fontId="1" fillId="5" borderId="12" xfId="0" applyNumberFormat="1" applyFont="1" applyFill="1" applyBorder="1" applyAlignment="1">
      <alignment horizontal="center" vertical="top" wrapText="1"/>
    </xf>
    <xf numFmtId="3" fontId="1" fillId="5" borderId="50" xfId="0" applyNumberFormat="1" applyFont="1" applyFill="1" applyBorder="1" applyAlignment="1">
      <alignment horizontal="center" vertical="top" wrapText="1"/>
    </xf>
    <xf numFmtId="3" fontId="16" fillId="5" borderId="12" xfId="0" applyNumberFormat="1" applyFont="1" applyFill="1" applyBorder="1" applyAlignment="1">
      <alignment horizontal="center" vertical="top"/>
    </xf>
    <xf numFmtId="3" fontId="2" fillId="9" borderId="19" xfId="0" applyNumberFormat="1" applyFont="1" applyFill="1" applyBorder="1" applyAlignment="1">
      <alignment horizontal="center" vertical="top"/>
    </xf>
    <xf numFmtId="3" fontId="2" fillId="4" borderId="22" xfId="0" applyNumberFormat="1" applyFont="1" applyFill="1" applyBorder="1" applyAlignment="1">
      <alignment horizontal="right" vertical="top"/>
    </xf>
    <xf numFmtId="3" fontId="2" fillId="2" borderId="63" xfId="0" applyNumberFormat="1" applyFont="1" applyFill="1" applyBorder="1" applyAlignment="1">
      <alignment horizontal="right" vertical="top"/>
    </xf>
    <xf numFmtId="3" fontId="2" fillId="2" borderId="52" xfId="0" applyNumberFormat="1" applyFont="1" applyFill="1" applyBorder="1" applyAlignment="1">
      <alignment horizontal="right" vertical="top"/>
    </xf>
    <xf numFmtId="3" fontId="2" fillId="2" borderId="54" xfId="0" applyNumberFormat="1" applyFont="1" applyFill="1" applyBorder="1" applyAlignment="1">
      <alignment horizontal="right" vertical="top"/>
    </xf>
    <xf numFmtId="3" fontId="1" fillId="6" borderId="26"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1" fillId="6" borderId="45" xfId="0" applyNumberFormat="1" applyFont="1" applyFill="1" applyBorder="1" applyAlignment="1">
      <alignment horizontal="center" vertical="top" wrapText="1"/>
    </xf>
    <xf numFmtId="3" fontId="1" fillId="0" borderId="13" xfId="0" applyNumberFormat="1" applyFont="1" applyBorder="1" applyAlignment="1">
      <alignment horizontal="center" vertical="top" wrapText="1"/>
    </xf>
    <xf numFmtId="3" fontId="1" fillId="0" borderId="47" xfId="0" applyNumberFormat="1" applyFont="1" applyBorder="1" applyAlignment="1">
      <alignment horizontal="center" vertical="top" wrapText="1"/>
    </xf>
    <xf numFmtId="3" fontId="1" fillId="0" borderId="49" xfId="0" applyNumberFormat="1" applyFont="1" applyBorder="1" applyAlignment="1">
      <alignment horizontal="center" vertical="top" wrapText="1"/>
    </xf>
    <xf numFmtId="3" fontId="1" fillId="0" borderId="56" xfId="0" applyNumberFormat="1" applyFont="1" applyBorder="1" applyAlignment="1">
      <alignment horizontal="center" vertical="top" wrapText="1"/>
    </xf>
    <xf numFmtId="3" fontId="1" fillId="0" borderId="12" xfId="0" applyNumberFormat="1" applyFont="1" applyBorder="1" applyAlignment="1">
      <alignment horizontal="left" vertical="top" wrapText="1"/>
    </xf>
    <xf numFmtId="49" fontId="2" fillId="2" borderId="19" xfId="0" applyNumberFormat="1" applyFont="1" applyFill="1" applyBorder="1" applyAlignment="1">
      <alignment horizontal="left" vertical="top" wrapText="1"/>
    </xf>
    <xf numFmtId="49" fontId="2" fillId="2" borderId="21" xfId="0" applyNumberFormat="1" applyFont="1" applyFill="1" applyBorder="1" applyAlignment="1">
      <alignment horizontal="left" vertical="top" wrapText="1"/>
    </xf>
    <xf numFmtId="3" fontId="2" fillId="7" borderId="19" xfId="0" applyNumberFormat="1" applyFont="1" applyFill="1" applyBorder="1" applyAlignment="1">
      <alignment horizontal="center" vertical="top"/>
    </xf>
    <xf numFmtId="3" fontId="2" fillId="4" borderId="41" xfId="0" applyNumberFormat="1" applyFont="1" applyFill="1" applyBorder="1" applyAlignment="1">
      <alignment horizontal="right" vertical="top"/>
    </xf>
    <xf numFmtId="3" fontId="1" fillId="0" borderId="31"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36" xfId="0" applyFont="1" applyBorder="1" applyAlignment="1">
      <alignment horizontal="center" vertical="center" textRotation="90" wrapText="1"/>
    </xf>
    <xf numFmtId="0" fontId="2" fillId="0" borderId="38"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3" fontId="1" fillId="0" borderId="57" xfId="0" applyNumberFormat="1" applyFont="1" applyBorder="1" applyAlignment="1">
      <alignment horizontal="left" vertical="top"/>
    </xf>
    <xf numFmtId="3" fontId="1" fillId="4" borderId="15" xfId="0" applyNumberFormat="1" applyFont="1" applyFill="1" applyBorder="1" applyAlignment="1">
      <alignment horizontal="left" vertical="top"/>
    </xf>
    <xf numFmtId="3" fontId="1" fillId="0" borderId="40" xfId="0" applyNumberFormat="1" applyFont="1" applyBorder="1" applyAlignment="1">
      <alignment horizontal="center" vertical="center"/>
    </xf>
    <xf numFmtId="3" fontId="1" fillId="0" borderId="45" xfId="0" applyNumberFormat="1" applyFont="1" applyBorder="1" applyAlignment="1">
      <alignment horizontal="left" vertical="top"/>
    </xf>
    <xf numFmtId="3" fontId="1" fillId="0" borderId="5"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1" fillId="5" borderId="54" xfId="0" applyNumberFormat="1" applyFont="1" applyFill="1" applyBorder="1" applyAlignment="1">
      <alignment horizontal="left" vertical="top" wrapText="1"/>
    </xf>
    <xf numFmtId="3" fontId="1" fillId="5" borderId="41" xfId="0" applyNumberFormat="1" applyFont="1" applyFill="1" applyBorder="1" applyAlignment="1">
      <alignment horizontal="left" vertical="top" wrapText="1"/>
    </xf>
    <xf numFmtId="3" fontId="2" fillId="2" borderId="19" xfId="0" applyNumberFormat="1" applyFont="1" applyFill="1" applyBorder="1" applyAlignment="1">
      <alignment horizontal="center" vertical="center"/>
    </xf>
    <xf numFmtId="3" fontId="2" fillId="2" borderId="20"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3" fontId="2" fillId="2" borderId="19" xfId="0" applyNumberFormat="1" applyFont="1" applyFill="1" applyBorder="1" applyAlignment="1">
      <alignment horizontal="left" vertical="top" wrapText="1"/>
    </xf>
    <xf numFmtId="3" fontId="1" fillId="0" borderId="34"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1" fontId="1" fillId="5" borderId="68" xfId="0" applyNumberFormat="1" applyFont="1" applyFill="1" applyBorder="1" applyAlignment="1">
      <alignment horizontal="center" vertical="top" wrapText="1"/>
    </xf>
    <xf numFmtId="1" fontId="1" fillId="5" borderId="59" xfId="0" applyNumberFormat="1" applyFont="1" applyFill="1" applyBorder="1" applyAlignment="1">
      <alignment horizontal="center" vertical="top" wrapText="1"/>
    </xf>
    <xf numFmtId="3" fontId="1" fillId="0" borderId="28"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wrapText="1"/>
    </xf>
    <xf numFmtId="3" fontId="1" fillId="0" borderId="78" xfId="0" applyNumberFormat="1" applyFont="1" applyFill="1" applyBorder="1" applyAlignment="1">
      <alignment horizontal="center" vertical="top" wrapText="1"/>
    </xf>
    <xf numFmtId="3" fontId="1" fillId="0" borderId="68" xfId="0" applyNumberFormat="1" applyFont="1" applyFill="1" applyBorder="1" applyAlignment="1">
      <alignment horizontal="center" vertical="top" wrapText="1"/>
    </xf>
    <xf numFmtId="3" fontId="1" fillId="0" borderId="59" xfId="0" applyNumberFormat="1" applyFont="1" applyFill="1" applyBorder="1" applyAlignment="1">
      <alignment horizontal="center" vertical="top" wrapText="1"/>
    </xf>
    <xf numFmtId="164" fontId="16" fillId="5" borderId="44" xfId="0" applyNumberFormat="1" applyFont="1" applyFill="1" applyBorder="1" applyAlignment="1">
      <alignment horizontal="center" vertical="top"/>
    </xf>
    <xf numFmtId="164" fontId="16" fillId="5" borderId="11" xfId="0" applyNumberFormat="1" applyFont="1" applyFill="1" applyBorder="1" applyAlignment="1">
      <alignment horizontal="center" vertical="top"/>
    </xf>
    <xf numFmtId="164" fontId="16" fillId="5" borderId="37" xfId="0" applyNumberFormat="1" applyFont="1" applyFill="1" applyBorder="1" applyAlignment="1">
      <alignment horizontal="center" vertical="top"/>
    </xf>
    <xf numFmtId="3" fontId="2" fillId="2" borderId="19" xfId="0" applyNumberFormat="1" applyFont="1" applyFill="1" applyBorder="1" applyAlignment="1">
      <alignment horizontal="center" vertical="top"/>
    </xf>
    <xf numFmtId="1" fontId="1" fillId="5" borderId="46" xfId="0" applyNumberFormat="1" applyFont="1" applyFill="1" applyBorder="1" applyAlignment="1">
      <alignment horizontal="left" vertical="top" wrapText="1"/>
    </xf>
    <xf numFmtId="1" fontId="1" fillId="5" borderId="12" xfId="0" applyNumberFormat="1" applyFont="1" applyFill="1" applyBorder="1" applyAlignment="1">
      <alignment horizontal="left" vertical="top" wrapText="1"/>
    </xf>
    <xf numFmtId="1" fontId="1" fillId="5" borderId="50" xfId="0" applyNumberFormat="1" applyFont="1" applyFill="1" applyBorder="1" applyAlignment="1">
      <alignment horizontal="left" vertical="top" wrapText="1"/>
    </xf>
    <xf numFmtId="0" fontId="1" fillId="0" borderId="30" xfId="0" applyFont="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3" fontId="2" fillId="9" borderId="72" xfId="0" applyNumberFormat="1" applyFont="1" applyFill="1" applyBorder="1" applyAlignment="1">
      <alignment horizontal="left" vertical="top" wrapText="1"/>
    </xf>
    <xf numFmtId="3" fontId="2" fillId="9" borderId="15" xfId="0" applyNumberFormat="1" applyFont="1" applyFill="1" applyBorder="1" applyAlignment="1">
      <alignment horizontal="left" vertical="top" wrapText="1"/>
    </xf>
    <xf numFmtId="3" fontId="2" fillId="8" borderId="6" xfId="0" applyNumberFormat="1" applyFont="1" applyFill="1" applyBorder="1" applyAlignment="1">
      <alignment horizontal="left" vertical="top" wrapText="1"/>
    </xf>
    <xf numFmtId="3" fontId="2" fillId="8" borderId="7" xfId="0" applyNumberFormat="1" applyFont="1" applyFill="1" applyBorder="1" applyAlignment="1">
      <alignment horizontal="left" vertical="top" wrapText="1"/>
    </xf>
    <xf numFmtId="3" fontId="2" fillId="8" borderId="8" xfId="0" applyNumberFormat="1" applyFont="1" applyFill="1" applyBorder="1" applyAlignment="1">
      <alignment horizontal="left" vertical="top" wrapText="1"/>
    </xf>
    <xf numFmtId="1" fontId="1" fillId="5" borderId="17" xfId="0" applyNumberFormat="1" applyFont="1" applyFill="1" applyBorder="1" applyAlignment="1">
      <alignment horizontal="left" vertical="top" wrapText="1"/>
    </xf>
    <xf numFmtId="3" fontId="1" fillId="0" borderId="74" xfId="0" applyNumberFormat="1" applyFont="1" applyBorder="1" applyAlignment="1">
      <alignment horizontal="center" vertical="center" wrapText="1"/>
    </xf>
    <xf numFmtId="3" fontId="1" fillId="0" borderId="53" xfId="0" applyNumberFormat="1" applyFont="1" applyBorder="1" applyAlignment="1">
      <alignment horizontal="center" vertical="center"/>
    </xf>
    <xf numFmtId="3" fontId="1" fillId="0" borderId="65" xfId="0" applyNumberFormat="1" applyFont="1" applyBorder="1" applyAlignment="1">
      <alignment horizontal="center" vertical="center"/>
    </xf>
    <xf numFmtId="3" fontId="2" fillId="0" borderId="24" xfId="0" applyNumberFormat="1" applyFont="1" applyFill="1" applyBorder="1" applyAlignment="1">
      <alignment horizontal="center" vertical="top"/>
    </xf>
    <xf numFmtId="3" fontId="2" fillId="2" borderId="32" xfId="0" applyNumberFormat="1" applyFont="1" applyFill="1" applyBorder="1" applyAlignment="1">
      <alignment horizontal="left" vertical="top" wrapText="1"/>
    </xf>
  </cellXfs>
  <cellStyles count="3">
    <cellStyle name="Excel Built-in Normal" xfId="1"/>
    <cellStyle name="Įprastas" xfId="0" builtinId="0"/>
    <cellStyle name="Normal_Sheet1" xfId="2"/>
  </cellStyles>
  <dxfs count="0"/>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6"/>
  <sheetViews>
    <sheetView topLeftCell="A88" zoomScaleNormal="100" workbookViewId="0">
      <selection activeCell="L102" sqref="L102"/>
    </sheetView>
  </sheetViews>
  <sheetFormatPr defaultColWidth="9.1796875" defaultRowHeight="13" x14ac:dyDescent="0.3"/>
  <cols>
    <col min="1" max="1" width="3.1796875" style="167" customWidth="1"/>
    <col min="2" max="4" width="3.1796875" style="168" customWidth="1"/>
    <col min="5" max="5" width="28.26953125" style="167" customWidth="1"/>
    <col min="6" max="6" width="3" style="170" customWidth="1"/>
    <col min="7" max="7" width="3" style="171" hidden="1" customWidth="1"/>
    <col min="8" max="8" width="3" style="168" hidden="1" customWidth="1"/>
    <col min="9" max="9" width="16" style="168" customWidth="1"/>
    <col min="10" max="10" width="7.7265625" style="167" customWidth="1"/>
    <col min="11" max="11" width="9.1796875" style="168" customWidth="1"/>
    <col min="12" max="12" width="7.7265625" style="168" customWidth="1"/>
    <col min="13" max="13" width="8.54296875" style="168" customWidth="1"/>
    <col min="14" max="14" width="10.1796875" style="168" customWidth="1"/>
    <col min="15" max="15" width="25.1796875" style="167" customWidth="1"/>
    <col min="16" max="19" width="6.26953125" style="168" customWidth="1"/>
    <col min="20" max="16384" width="9.1796875" style="167"/>
  </cols>
  <sheetData>
    <row r="1" spans="1:19" ht="30.75" customHeight="1" x14ac:dyDescent="0.3">
      <c r="I1" s="1505" t="s">
        <v>231</v>
      </c>
      <c r="J1" s="1505"/>
      <c r="K1" s="1505"/>
      <c r="L1" s="1505"/>
      <c r="M1" s="1505"/>
      <c r="N1" s="1505"/>
      <c r="O1" s="1505"/>
      <c r="P1" s="1505"/>
      <c r="Q1" s="1505"/>
      <c r="R1" s="1505"/>
      <c r="S1" s="1505"/>
    </row>
    <row r="2" spans="1:19" s="90" customFormat="1" ht="15" customHeight="1" x14ac:dyDescent="0.3">
      <c r="A2" s="1478" t="s">
        <v>152</v>
      </c>
      <c r="B2" s="1478"/>
      <c r="C2" s="1478"/>
      <c r="D2" s="1478"/>
      <c r="E2" s="1478"/>
      <c r="F2" s="1478"/>
      <c r="G2" s="1478"/>
      <c r="H2" s="1478"/>
      <c r="I2" s="1478"/>
      <c r="J2" s="1478"/>
      <c r="K2" s="1478"/>
      <c r="L2" s="1478"/>
      <c r="M2" s="1478"/>
      <c r="N2" s="1478"/>
      <c r="O2" s="1478"/>
      <c r="P2" s="1478"/>
      <c r="Q2" s="1478"/>
      <c r="R2" s="1478"/>
      <c r="S2" s="1478"/>
    </row>
    <row r="3" spans="1:19" s="90" customFormat="1" ht="15" customHeight="1" x14ac:dyDescent="0.3">
      <c r="A3" s="1452" t="s">
        <v>0</v>
      </c>
      <c r="B3" s="1452"/>
      <c r="C3" s="1452"/>
      <c r="D3" s="1452"/>
      <c r="E3" s="1452"/>
      <c r="F3" s="1452"/>
      <c r="G3" s="1452"/>
      <c r="H3" s="1452"/>
      <c r="I3" s="1452"/>
      <c r="J3" s="1452"/>
      <c r="K3" s="1452"/>
      <c r="L3" s="1452"/>
      <c r="M3" s="1452"/>
      <c r="N3" s="1452"/>
      <c r="O3" s="1452"/>
      <c r="P3" s="1452"/>
      <c r="Q3" s="1452"/>
      <c r="R3" s="1452"/>
      <c r="S3" s="1452"/>
    </row>
    <row r="4" spans="1:19" s="90" customFormat="1" ht="15" customHeight="1" x14ac:dyDescent="0.3">
      <c r="A4" s="1466" t="s">
        <v>1</v>
      </c>
      <c r="B4" s="1466"/>
      <c r="C4" s="1466"/>
      <c r="D4" s="1466"/>
      <c r="E4" s="1466"/>
      <c r="F4" s="1466"/>
      <c r="G4" s="1466"/>
      <c r="H4" s="1466"/>
      <c r="I4" s="1466"/>
      <c r="J4" s="1466"/>
      <c r="K4" s="1466"/>
      <c r="L4" s="1466"/>
      <c r="M4" s="1466"/>
      <c r="N4" s="1466"/>
      <c r="O4" s="1466"/>
      <c r="P4" s="1466"/>
      <c r="Q4" s="1466"/>
      <c r="R4" s="1466"/>
      <c r="S4" s="1466"/>
    </row>
    <row r="5" spans="1:19" s="90" customFormat="1" ht="19.899999999999999" customHeight="1" thickBot="1" x14ac:dyDescent="0.35">
      <c r="A5" s="1"/>
      <c r="B5" s="1"/>
      <c r="C5" s="1"/>
      <c r="D5" s="1"/>
      <c r="E5" s="126"/>
      <c r="F5" s="117"/>
      <c r="G5" s="61"/>
      <c r="H5" s="126"/>
      <c r="I5" s="126"/>
      <c r="J5" s="126"/>
      <c r="K5" s="2"/>
      <c r="L5" s="2"/>
      <c r="M5" s="2"/>
      <c r="N5" s="2"/>
      <c r="O5" s="253"/>
      <c r="P5" s="1465" t="s">
        <v>103</v>
      </c>
      <c r="Q5" s="1465"/>
      <c r="R5" s="1465"/>
      <c r="S5" s="1465"/>
    </row>
    <row r="6" spans="1:19" s="90" customFormat="1" ht="18.649999999999999" customHeight="1" x14ac:dyDescent="0.3">
      <c r="A6" s="1467" t="s">
        <v>2</v>
      </c>
      <c r="B6" s="1470" t="s">
        <v>3</v>
      </c>
      <c r="C6" s="1470" t="s">
        <v>4</v>
      </c>
      <c r="D6" s="75"/>
      <c r="E6" s="1421" t="s">
        <v>5</v>
      </c>
      <c r="F6" s="1423" t="s">
        <v>6</v>
      </c>
      <c r="G6" s="1513" t="s">
        <v>68</v>
      </c>
      <c r="H6" s="1516" t="s">
        <v>7</v>
      </c>
      <c r="I6" s="1437" t="s">
        <v>105</v>
      </c>
      <c r="J6" s="1518" t="s">
        <v>8</v>
      </c>
      <c r="K6" s="1521" t="s">
        <v>154</v>
      </c>
      <c r="L6" s="1521" t="s">
        <v>153</v>
      </c>
      <c r="M6" s="1521" t="s">
        <v>158</v>
      </c>
      <c r="N6" s="1521" t="s">
        <v>159</v>
      </c>
      <c r="O6" s="1425" t="s">
        <v>9</v>
      </c>
      <c r="P6" s="1426"/>
      <c r="Q6" s="1426"/>
      <c r="R6" s="1426"/>
      <c r="S6" s="1427"/>
    </row>
    <row r="7" spans="1:19" s="90" customFormat="1" ht="16.5" customHeight="1" x14ac:dyDescent="0.3">
      <c r="A7" s="1468"/>
      <c r="B7" s="1471"/>
      <c r="C7" s="1471"/>
      <c r="D7" s="76"/>
      <c r="E7" s="1422"/>
      <c r="F7" s="1424"/>
      <c r="G7" s="1514"/>
      <c r="H7" s="1517"/>
      <c r="I7" s="1438"/>
      <c r="J7" s="1519"/>
      <c r="K7" s="1522"/>
      <c r="L7" s="1522"/>
      <c r="M7" s="1522"/>
      <c r="N7" s="1522"/>
      <c r="O7" s="1512" t="s">
        <v>5</v>
      </c>
      <c r="P7" s="1473" t="s">
        <v>10</v>
      </c>
      <c r="Q7" s="1474"/>
      <c r="R7" s="1474"/>
      <c r="S7" s="1475"/>
    </row>
    <row r="8" spans="1:19" s="90" customFormat="1" ht="79.5" customHeight="1" thickBot="1" x14ac:dyDescent="0.35">
      <c r="A8" s="1469"/>
      <c r="B8" s="1472"/>
      <c r="C8" s="1472"/>
      <c r="D8" s="76"/>
      <c r="E8" s="1422"/>
      <c r="F8" s="1424"/>
      <c r="G8" s="1515"/>
      <c r="H8" s="1517"/>
      <c r="I8" s="1439"/>
      <c r="J8" s="1520"/>
      <c r="K8" s="1523"/>
      <c r="L8" s="1523"/>
      <c r="M8" s="1523"/>
      <c r="N8" s="1523"/>
      <c r="O8" s="1512"/>
      <c r="P8" s="140" t="s">
        <v>157</v>
      </c>
      <c r="Q8" s="276" t="s">
        <v>155</v>
      </c>
      <c r="R8" s="448" t="s">
        <v>230</v>
      </c>
      <c r="S8" s="447" t="s">
        <v>156</v>
      </c>
    </row>
    <row r="9" spans="1:19" s="90" customFormat="1" ht="15.75" customHeight="1" x14ac:dyDescent="0.3">
      <c r="A9" s="1430" t="s">
        <v>11</v>
      </c>
      <c r="B9" s="1431"/>
      <c r="C9" s="1431"/>
      <c r="D9" s="1431"/>
      <c r="E9" s="1431"/>
      <c r="F9" s="1431"/>
      <c r="G9" s="1431"/>
      <c r="H9" s="1431"/>
      <c r="I9" s="1432"/>
      <c r="J9" s="1432"/>
      <c r="K9" s="1432"/>
      <c r="L9" s="1432"/>
      <c r="M9" s="1432"/>
      <c r="N9" s="1432"/>
      <c r="O9" s="1431"/>
      <c r="P9" s="1431"/>
      <c r="Q9" s="1431"/>
      <c r="R9" s="1431"/>
      <c r="S9" s="1433"/>
    </row>
    <row r="10" spans="1:19" s="90" customFormat="1" ht="15.75" customHeight="1" x14ac:dyDescent="0.3">
      <c r="A10" s="1434" t="s">
        <v>12</v>
      </c>
      <c r="B10" s="1435"/>
      <c r="C10" s="1435"/>
      <c r="D10" s="1435"/>
      <c r="E10" s="1435"/>
      <c r="F10" s="1435"/>
      <c r="G10" s="1435"/>
      <c r="H10" s="1435"/>
      <c r="I10" s="1435"/>
      <c r="J10" s="1435"/>
      <c r="K10" s="1435"/>
      <c r="L10" s="1435"/>
      <c r="M10" s="1435"/>
      <c r="N10" s="1435"/>
      <c r="O10" s="1435"/>
      <c r="P10" s="1435"/>
      <c r="Q10" s="1435"/>
      <c r="R10" s="1435"/>
      <c r="S10" s="1436"/>
    </row>
    <row r="11" spans="1:19" s="90" customFormat="1" ht="15.75" customHeight="1" x14ac:dyDescent="0.3">
      <c r="A11" s="116" t="s">
        <v>13</v>
      </c>
      <c r="B11" s="1453" t="s">
        <v>14</v>
      </c>
      <c r="C11" s="1453"/>
      <c r="D11" s="1453"/>
      <c r="E11" s="1453"/>
      <c r="F11" s="1453"/>
      <c r="G11" s="1453"/>
      <c r="H11" s="1453"/>
      <c r="I11" s="1453"/>
      <c r="J11" s="1453"/>
      <c r="K11" s="1453"/>
      <c r="L11" s="1453"/>
      <c r="M11" s="1453"/>
      <c r="N11" s="1453"/>
      <c r="O11" s="1454"/>
      <c r="P11" s="1454"/>
      <c r="Q11" s="1454"/>
      <c r="R11" s="1454"/>
      <c r="S11" s="1455"/>
    </row>
    <row r="12" spans="1:19" s="90" customFormat="1" ht="15.75" customHeight="1" thickBot="1" x14ac:dyDescent="0.35">
      <c r="A12" s="635" t="s">
        <v>13</v>
      </c>
      <c r="B12" s="650" t="s">
        <v>13</v>
      </c>
      <c r="C12" s="1507" t="s">
        <v>15</v>
      </c>
      <c r="D12" s="1508"/>
      <c r="E12" s="1508"/>
      <c r="F12" s="1508"/>
      <c r="G12" s="1508"/>
      <c r="H12" s="1508"/>
      <c r="I12" s="1508"/>
      <c r="J12" s="1508"/>
      <c r="K12" s="1508"/>
      <c r="L12" s="1508"/>
      <c r="M12" s="1508"/>
      <c r="N12" s="1508"/>
      <c r="O12" s="1508"/>
      <c r="P12" s="1508"/>
      <c r="Q12" s="1508"/>
      <c r="R12" s="1508"/>
      <c r="S12" s="1509"/>
    </row>
    <row r="13" spans="1:19" s="90" customFormat="1" ht="30" customHeight="1" x14ac:dyDescent="0.3">
      <c r="A13" s="42" t="s">
        <v>13</v>
      </c>
      <c r="B13" s="102" t="s">
        <v>13</v>
      </c>
      <c r="C13" s="105" t="s">
        <v>13</v>
      </c>
      <c r="D13" s="657"/>
      <c r="E13" s="1358" t="s">
        <v>111</v>
      </c>
      <c r="F13" s="1447"/>
      <c r="G13" s="1450">
        <v>11020306</v>
      </c>
      <c r="H13" s="1374" t="s">
        <v>16</v>
      </c>
      <c r="I13" s="610" t="s">
        <v>140</v>
      </c>
      <c r="J13" s="58" t="s">
        <v>17</v>
      </c>
      <c r="K13" s="130">
        <f>65.8+18.6</f>
        <v>84.4</v>
      </c>
      <c r="L13" s="68">
        <f>120-2</f>
        <v>118</v>
      </c>
      <c r="M13" s="376"/>
      <c r="N13" s="374"/>
      <c r="O13" s="507" t="s">
        <v>160</v>
      </c>
      <c r="P13" s="508"/>
      <c r="Q13" s="303">
        <v>1</v>
      </c>
      <c r="R13" s="391"/>
      <c r="S13" s="386"/>
    </row>
    <row r="14" spans="1:19" s="90" customFormat="1" ht="41.5" customHeight="1" x14ac:dyDescent="0.3">
      <c r="A14" s="43"/>
      <c r="B14" s="103"/>
      <c r="C14" s="106"/>
      <c r="D14" s="643"/>
      <c r="E14" s="1382"/>
      <c r="F14" s="1448"/>
      <c r="G14" s="1451"/>
      <c r="H14" s="1375"/>
      <c r="I14" s="604"/>
      <c r="J14" s="58" t="s">
        <v>17</v>
      </c>
      <c r="K14" s="141"/>
      <c r="L14" s="70"/>
      <c r="M14" s="302">
        <v>20.6</v>
      </c>
      <c r="N14" s="353"/>
      <c r="O14" s="8" t="s">
        <v>161</v>
      </c>
      <c r="P14" s="538"/>
      <c r="Q14" s="573"/>
      <c r="R14" s="404">
        <v>1</v>
      </c>
      <c r="S14" s="423"/>
    </row>
    <row r="15" spans="1:19" s="90" customFormat="1" ht="15" customHeight="1" x14ac:dyDescent="0.3">
      <c r="A15" s="43"/>
      <c r="B15" s="103"/>
      <c r="C15" s="106"/>
      <c r="D15" s="643"/>
      <c r="E15" s="1382"/>
      <c r="F15" s="1448"/>
      <c r="G15" s="1451"/>
      <c r="H15" s="1375"/>
      <c r="I15" s="604"/>
      <c r="J15" s="22"/>
      <c r="K15" s="194"/>
      <c r="L15" s="71"/>
      <c r="M15" s="300"/>
      <c r="N15" s="77"/>
      <c r="O15" s="1338" t="s">
        <v>124</v>
      </c>
      <c r="P15" s="624">
        <v>1</v>
      </c>
      <c r="Q15" s="574"/>
      <c r="R15" s="429"/>
      <c r="S15" s="418"/>
    </row>
    <row r="16" spans="1:19" s="90" customFormat="1" ht="15" customHeight="1" thickBot="1" x14ac:dyDescent="0.35">
      <c r="A16" s="44"/>
      <c r="B16" s="104"/>
      <c r="C16" s="107"/>
      <c r="D16" s="594"/>
      <c r="E16" s="1359"/>
      <c r="F16" s="1449"/>
      <c r="G16" s="1464"/>
      <c r="H16" s="1506"/>
      <c r="I16" s="145"/>
      <c r="J16" s="638" t="s">
        <v>18</v>
      </c>
      <c r="K16" s="131">
        <f>SUM(K13:K13)</f>
        <v>84.4</v>
      </c>
      <c r="L16" s="280">
        <f>SUM(L13:L15)</f>
        <v>118</v>
      </c>
      <c r="M16" s="318">
        <f>SUM(M14:M14)</f>
        <v>20.6</v>
      </c>
      <c r="N16" s="567">
        <f>SUM(N14:N14)</f>
        <v>0</v>
      </c>
      <c r="O16" s="1366"/>
      <c r="P16" s="412"/>
      <c r="Q16" s="575"/>
      <c r="R16" s="416"/>
      <c r="S16" s="411"/>
    </row>
    <row r="17" spans="1:23" s="90" customFormat="1" ht="30" customHeight="1" x14ac:dyDescent="0.3">
      <c r="A17" s="1371" t="s">
        <v>13</v>
      </c>
      <c r="B17" s="1354" t="s">
        <v>13</v>
      </c>
      <c r="C17" s="1444" t="s">
        <v>19</v>
      </c>
      <c r="D17" s="657"/>
      <c r="E17" s="1358" t="s">
        <v>50</v>
      </c>
      <c r="F17" s="1447"/>
      <c r="G17" s="1450">
        <v>11020307</v>
      </c>
      <c r="H17" s="1374" t="s">
        <v>16</v>
      </c>
      <c r="I17" s="1377" t="s">
        <v>140</v>
      </c>
      <c r="J17" s="6" t="s">
        <v>17</v>
      </c>
      <c r="K17" s="132">
        <v>13</v>
      </c>
      <c r="L17" s="281">
        <v>13</v>
      </c>
      <c r="M17" s="382">
        <v>13</v>
      </c>
      <c r="N17" s="380">
        <v>15</v>
      </c>
      <c r="O17" s="661" t="s">
        <v>20</v>
      </c>
      <c r="P17" s="610">
        <v>20</v>
      </c>
      <c r="Q17" s="466">
        <v>21</v>
      </c>
      <c r="R17" s="602">
        <v>22</v>
      </c>
      <c r="S17" s="388">
        <v>23</v>
      </c>
    </row>
    <row r="18" spans="1:23" s="90" customFormat="1" ht="15" customHeight="1" x14ac:dyDescent="0.3">
      <c r="A18" s="1372"/>
      <c r="B18" s="1380"/>
      <c r="C18" s="1445"/>
      <c r="D18" s="643"/>
      <c r="E18" s="1382"/>
      <c r="F18" s="1448"/>
      <c r="G18" s="1451"/>
      <c r="H18" s="1375"/>
      <c r="I18" s="1367"/>
      <c r="J18" s="22"/>
      <c r="K18" s="248"/>
      <c r="L18" s="282"/>
      <c r="M18" s="383"/>
      <c r="N18" s="381"/>
      <c r="O18" s="1456" t="s">
        <v>96</v>
      </c>
      <c r="P18" s="612">
        <v>500</v>
      </c>
      <c r="Q18" s="451">
        <v>510</v>
      </c>
      <c r="R18" s="1462">
        <v>515</v>
      </c>
      <c r="S18" s="389">
        <v>520</v>
      </c>
    </row>
    <row r="19" spans="1:23" s="90" customFormat="1" ht="15" customHeight="1" thickBot="1" x14ac:dyDescent="0.35">
      <c r="A19" s="1372"/>
      <c r="B19" s="1380"/>
      <c r="C19" s="1445"/>
      <c r="D19" s="643"/>
      <c r="E19" s="1382"/>
      <c r="F19" s="1448"/>
      <c r="G19" s="1451"/>
      <c r="H19" s="1376"/>
      <c r="I19" s="1368"/>
      <c r="J19" s="639" t="s">
        <v>18</v>
      </c>
      <c r="K19" s="131">
        <f>+K17</f>
        <v>13</v>
      </c>
      <c r="L19" s="280">
        <f t="shared" ref="L19:N19" si="0">+L17</f>
        <v>13</v>
      </c>
      <c r="M19" s="318">
        <f t="shared" si="0"/>
        <v>13</v>
      </c>
      <c r="N19" s="313">
        <f t="shared" si="0"/>
        <v>15</v>
      </c>
      <c r="O19" s="1457"/>
      <c r="P19" s="394"/>
      <c r="Q19" s="576"/>
      <c r="R19" s="1463"/>
      <c r="S19" s="577"/>
    </row>
    <row r="20" spans="1:23" s="90" customFormat="1" ht="30" customHeight="1" x14ac:dyDescent="0.3">
      <c r="A20" s="1371" t="s">
        <v>13</v>
      </c>
      <c r="B20" s="1354" t="s">
        <v>13</v>
      </c>
      <c r="C20" s="1444" t="s">
        <v>21</v>
      </c>
      <c r="D20" s="657"/>
      <c r="E20" s="1358" t="s">
        <v>75</v>
      </c>
      <c r="F20" s="1447"/>
      <c r="G20" s="1450">
        <v>11020310</v>
      </c>
      <c r="H20" s="1374" t="s">
        <v>16</v>
      </c>
      <c r="I20" s="610" t="s">
        <v>140</v>
      </c>
      <c r="J20" s="6" t="s">
        <v>17</v>
      </c>
      <c r="K20" s="132">
        <v>66.099999999999994</v>
      </c>
      <c r="L20" s="281">
        <v>62.1</v>
      </c>
      <c r="M20" s="382">
        <v>62.1</v>
      </c>
      <c r="N20" s="380">
        <v>62.1</v>
      </c>
      <c r="O20" s="244" t="s">
        <v>60</v>
      </c>
      <c r="P20" s="395">
        <v>1300</v>
      </c>
      <c r="Q20" s="603">
        <v>1300</v>
      </c>
      <c r="R20" s="603">
        <v>1300</v>
      </c>
      <c r="S20" s="633">
        <v>1300</v>
      </c>
      <c r="W20" s="99"/>
    </row>
    <row r="21" spans="1:23" s="90" customFormat="1" ht="29.25" customHeight="1" x14ac:dyDescent="0.3">
      <c r="A21" s="1372"/>
      <c r="B21" s="1380"/>
      <c r="C21" s="1445"/>
      <c r="D21" s="643"/>
      <c r="E21" s="1382"/>
      <c r="F21" s="1448"/>
      <c r="G21" s="1451"/>
      <c r="H21" s="1375"/>
      <c r="I21" s="604"/>
      <c r="J21" s="100" t="s">
        <v>17</v>
      </c>
      <c r="K21" s="172">
        <v>23.7</v>
      </c>
      <c r="L21" s="659">
        <v>19</v>
      </c>
      <c r="M21" s="307">
        <v>19</v>
      </c>
      <c r="N21" s="373">
        <v>19</v>
      </c>
      <c r="O21" s="1456" t="s">
        <v>76</v>
      </c>
      <c r="P21" s="1415">
        <v>21</v>
      </c>
      <c r="Q21" s="606">
        <v>21</v>
      </c>
      <c r="R21" s="607">
        <v>21</v>
      </c>
      <c r="S21" s="631">
        <v>21</v>
      </c>
    </row>
    <row r="22" spans="1:23" s="90" customFormat="1" ht="16.149999999999999" customHeight="1" thickBot="1" x14ac:dyDescent="0.35">
      <c r="A22" s="1373"/>
      <c r="B22" s="1355"/>
      <c r="C22" s="1446"/>
      <c r="D22" s="594"/>
      <c r="E22" s="1359"/>
      <c r="F22" s="1449"/>
      <c r="G22" s="1464"/>
      <c r="H22" s="1506"/>
      <c r="I22" s="605"/>
      <c r="J22" s="639" t="s">
        <v>18</v>
      </c>
      <c r="K22" s="131">
        <f>SUM(K20:K21)</f>
        <v>89.8</v>
      </c>
      <c r="L22" s="280">
        <f t="shared" ref="L22:N22" si="1">SUM(L20:L21)</f>
        <v>81.099999999999994</v>
      </c>
      <c r="M22" s="318">
        <f t="shared" si="1"/>
        <v>81.099999999999994</v>
      </c>
      <c r="N22" s="313">
        <f t="shared" si="1"/>
        <v>81.099999999999994</v>
      </c>
      <c r="O22" s="1457"/>
      <c r="P22" s="1458"/>
      <c r="Q22" s="384"/>
      <c r="R22" s="392"/>
      <c r="S22" s="385"/>
    </row>
    <row r="23" spans="1:23" s="90" customFormat="1" ht="18" customHeight="1" x14ac:dyDescent="0.3">
      <c r="A23" s="1371" t="s">
        <v>13</v>
      </c>
      <c r="B23" s="1354" t="s">
        <v>13</v>
      </c>
      <c r="C23" s="1444" t="s">
        <v>31</v>
      </c>
      <c r="D23" s="657"/>
      <c r="E23" s="1358" t="s">
        <v>89</v>
      </c>
      <c r="F23" s="1447"/>
      <c r="G23" s="1450">
        <v>11020307</v>
      </c>
      <c r="H23" s="1374" t="s">
        <v>16</v>
      </c>
      <c r="I23" s="1377" t="s">
        <v>140</v>
      </c>
      <c r="J23" s="6" t="s">
        <v>17</v>
      </c>
      <c r="K23" s="132"/>
      <c r="L23" s="68">
        <v>12</v>
      </c>
      <c r="M23" s="382">
        <v>25</v>
      </c>
      <c r="N23" s="380">
        <v>25</v>
      </c>
      <c r="O23" s="1459" t="s">
        <v>63</v>
      </c>
      <c r="P23" s="439"/>
      <c r="Q23" s="396">
        <v>1</v>
      </c>
      <c r="R23" s="428">
        <v>2</v>
      </c>
      <c r="S23" s="444">
        <v>2</v>
      </c>
    </row>
    <row r="24" spans="1:23" s="90" customFormat="1" ht="13.5" customHeight="1" x14ac:dyDescent="0.3">
      <c r="A24" s="1372"/>
      <c r="B24" s="1380"/>
      <c r="C24" s="1445"/>
      <c r="D24" s="643"/>
      <c r="E24" s="1382"/>
      <c r="F24" s="1448"/>
      <c r="G24" s="1451"/>
      <c r="H24" s="1375"/>
      <c r="I24" s="1367"/>
      <c r="J24" s="22"/>
      <c r="K24" s="248"/>
      <c r="L24" s="282"/>
      <c r="M24" s="383"/>
      <c r="N24" s="381"/>
      <c r="O24" s="1460"/>
      <c r="P24" s="624"/>
      <c r="Q24" s="406"/>
      <c r="R24" s="429"/>
      <c r="S24" s="418"/>
      <c r="W24" s="99"/>
    </row>
    <row r="25" spans="1:23" s="90" customFormat="1" ht="15" customHeight="1" thickBot="1" x14ac:dyDescent="0.35">
      <c r="A25" s="1372"/>
      <c r="B25" s="1380"/>
      <c r="C25" s="1445"/>
      <c r="D25" s="643"/>
      <c r="E25" s="1382"/>
      <c r="F25" s="1448"/>
      <c r="G25" s="1451"/>
      <c r="H25" s="1376"/>
      <c r="I25" s="1368"/>
      <c r="J25" s="639" t="s">
        <v>18</v>
      </c>
      <c r="K25" s="131">
        <f>+K23</f>
        <v>0</v>
      </c>
      <c r="L25" s="280">
        <f t="shared" ref="L25:N25" si="2">+L23</f>
        <v>12</v>
      </c>
      <c r="M25" s="318">
        <f t="shared" si="2"/>
        <v>25</v>
      </c>
      <c r="N25" s="313">
        <f t="shared" si="2"/>
        <v>25</v>
      </c>
      <c r="O25" s="1461"/>
      <c r="P25" s="578"/>
      <c r="Q25" s="579"/>
      <c r="R25" s="580"/>
      <c r="S25" s="581"/>
    </row>
    <row r="26" spans="1:23" s="90" customFormat="1" ht="15.75" customHeight="1" thickBot="1" x14ac:dyDescent="0.35">
      <c r="A26" s="37" t="s">
        <v>13</v>
      </c>
      <c r="B26" s="10" t="s">
        <v>13</v>
      </c>
      <c r="C26" s="1402" t="s">
        <v>22</v>
      </c>
      <c r="D26" s="1402"/>
      <c r="E26" s="1402"/>
      <c r="F26" s="1402"/>
      <c r="G26" s="1402"/>
      <c r="H26" s="1402"/>
      <c r="I26" s="1402"/>
      <c r="J26" s="1402"/>
      <c r="K26" s="146">
        <f>K22+K19+K16+K25</f>
        <v>187.2</v>
      </c>
      <c r="L26" s="275">
        <f>L22+L19+L16+L25</f>
        <v>224.1</v>
      </c>
      <c r="M26" s="319">
        <f t="shared" ref="M26:N26" si="3">M22+M19+M16+M25</f>
        <v>139.69999999999999</v>
      </c>
      <c r="N26" s="314">
        <f t="shared" si="3"/>
        <v>121.1</v>
      </c>
      <c r="O26" s="1440"/>
      <c r="P26" s="1440"/>
      <c r="Q26" s="1440"/>
      <c r="R26" s="1440"/>
      <c r="S26" s="1441"/>
    </row>
    <row r="27" spans="1:23" s="90" customFormat="1" ht="16.5" customHeight="1" thickBot="1" x14ac:dyDescent="0.35">
      <c r="A27" s="37" t="s">
        <v>13</v>
      </c>
      <c r="B27" s="10" t="s">
        <v>19</v>
      </c>
      <c r="C27" s="1442" t="s">
        <v>23</v>
      </c>
      <c r="D27" s="1442"/>
      <c r="E27" s="1442"/>
      <c r="F27" s="1442"/>
      <c r="G27" s="1442"/>
      <c r="H27" s="1442"/>
      <c r="I27" s="1442"/>
      <c r="J27" s="1442"/>
      <c r="K27" s="1442"/>
      <c r="L27" s="1442"/>
      <c r="M27" s="1442"/>
      <c r="N27" s="1442"/>
      <c r="O27" s="1442"/>
      <c r="P27" s="1442"/>
      <c r="Q27" s="1442"/>
      <c r="R27" s="1442"/>
      <c r="S27" s="1443"/>
    </row>
    <row r="28" spans="1:23" s="90" customFormat="1" ht="14.25" customHeight="1" x14ac:dyDescent="0.3">
      <c r="A28" s="644" t="s">
        <v>13</v>
      </c>
      <c r="B28" s="617" t="s">
        <v>19</v>
      </c>
      <c r="C28" s="4" t="s">
        <v>13</v>
      </c>
      <c r="D28" s="657"/>
      <c r="E28" s="1428" t="s">
        <v>24</v>
      </c>
      <c r="F28" s="118"/>
      <c r="G28" s="62"/>
      <c r="H28" s="208">
        <v>2</v>
      </c>
      <c r="I28" s="1377" t="s">
        <v>144</v>
      </c>
      <c r="J28" s="142" t="s">
        <v>25</v>
      </c>
      <c r="K28" s="68">
        <f>330.8</f>
        <v>330.8</v>
      </c>
      <c r="L28" s="68">
        <v>300.10000000000002</v>
      </c>
      <c r="M28" s="376">
        <v>330.4</v>
      </c>
      <c r="N28" s="374">
        <v>330.4</v>
      </c>
      <c r="O28" s="115"/>
      <c r="P28" s="459"/>
      <c r="Q28" s="459"/>
      <c r="R28" s="413"/>
      <c r="S28" s="407"/>
    </row>
    <row r="29" spans="1:23" s="90" customFormat="1" ht="14.25" customHeight="1" x14ac:dyDescent="0.3">
      <c r="A29" s="655"/>
      <c r="B29" s="618"/>
      <c r="C29" s="4"/>
      <c r="D29" s="643"/>
      <c r="E29" s="1429"/>
      <c r="F29" s="118"/>
      <c r="G29" s="63"/>
      <c r="H29" s="211"/>
      <c r="I29" s="1367"/>
      <c r="J29" s="136" t="s">
        <v>48</v>
      </c>
      <c r="K29" s="70">
        <v>124.2</v>
      </c>
      <c r="L29" s="70">
        <v>81.8</v>
      </c>
      <c r="M29" s="302"/>
      <c r="N29" s="353"/>
      <c r="O29" s="589"/>
      <c r="P29" s="460"/>
      <c r="Q29" s="460"/>
      <c r="R29" s="414"/>
      <c r="S29" s="408"/>
    </row>
    <row r="30" spans="1:23" s="90" customFormat="1" ht="30.75" customHeight="1" x14ac:dyDescent="0.3">
      <c r="A30" s="655"/>
      <c r="B30" s="618"/>
      <c r="C30" s="4"/>
      <c r="D30" s="609" t="s">
        <v>13</v>
      </c>
      <c r="E30" s="1378" t="s">
        <v>26</v>
      </c>
      <c r="F30" s="118"/>
      <c r="G30" s="83">
        <v>11030201</v>
      </c>
      <c r="H30" s="211"/>
      <c r="I30" s="1367"/>
      <c r="J30" s="135" t="s">
        <v>17</v>
      </c>
      <c r="K30" s="366">
        <f>1669.5-5</f>
        <v>1664.5</v>
      </c>
      <c r="L30" s="70">
        <v>1705.5</v>
      </c>
      <c r="M30" s="302">
        <f>1739.5+85</f>
        <v>1824.5</v>
      </c>
      <c r="N30" s="353">
        <v>1774</v>
      </c>
      <c r="O30" s="112" t="s">
        <v>88</v>
      </c>
      <c r="P30" s="461">
        <v>891</v>
      </c>
      <c r="Q30" s="849">
        <v>900</v>
      </c>
      <c r="R30" s="847">
        <v>900</v>
      </c>
      <c r="S30" s="850">
        <v>900</v>
      </c>
      <c r="T30" s="77"/>
      <c r="U30" s="77"/>
      <c r="V30" s="77"/>
    </row>
    <row r="31" spans="1:23" s="90" customFormat="1" ht="30" customHeight="1" x14ac:dyDescent="0.3">
      <c r="A31" s="655"/>
      <c r="B31" s="618"/>
      <c r="C31" s="4"/>
      <c r="D31" s="643"/>
      <c r="E31" s="1379"/>
      <c r="F31" s="118"/>
      <c r="G31" s="63"/>
      <c r="H31" s="211"/>
      <c r="I31" s="1386" t="s">
        <v>145</v>
      </c>
      <c r="J31" s="134"/>
      <c r="K31" s="367"/>
      <c r="L31" s="71"/>
      <c r="M31" s="300"/>
      <c r="N31" s="372"/>
      <c r="O31" s="112" t="s">
        <v>102</v>
      </c>
      <c r="P31" s="461">
        <v>19</v>
      </c>
      <c r="Q31" s="849">
        <v>23</v>
      </c>
      <c r="R31" s="847">
        <v>23</v>
      </c>
      <c r="S31" s="850">
        <v>23</v>
      </c>
    </row>
    <row r="32" spans="1:23" s="90" customFormat="1" ht="16.5" customHeight="1" x14ac:dyDescent="0.3">
      <c r="A32" s="655"/>
      <c r="B32" s="618"/>
      <c r="C32" s="4"/>
      <c r="D32" s="643"/>
      <c r="E32" s="1379"/>
      <c r="F32" s="118"/>
      <c r="G32" s="63"/>
      <c r="H32" s="211"/>
      <c r="I32" s="1386"/>
      <c r="J32" s="134"/>
      <c r="K32" s="367"/>
      <c r="L32" s="71"/>
      <c r="M32" s="300"/>
      <c r="N32" s="372"/>
      <c r="O32" s="85" t="s">
        <v>97</v>
      </c>
      <c r="P32" s="461">
        <v>12</v>
      </c>
      <c r="Q32" s="849"/>
      <c r="R32" s="847"/>
      <c r="S32" s="850"/>
    </row>
    <row r="33" spans="1:19" s="90" customFormat="1" ht="28.5" customHeight="1" x14ac:dyDescent="0.3">
      <c r="A33" s="655"/>
      <c r="B33" s="618"/>
      <c r="C33" s="4"/>
      <c r="D33" s="643"/>
      <c r="E33" s="627"/>
      <c r="F33" s="118"/>
      <c r="G33" s="63"/>
      <c r="H33" s="211"/>
      <c r="I33" s="1386"/>
      <c r="J33" s="134"/>
      <c r="K33" s="367"/>
      <c r="L33" s="71"/>
      <c r="M33" s="300"/>
      <c r="N33" s="372"/>
      <c r="O33" s="308" t="s">
        <v>162</v>
      </c>
      <c r="P33" s="461"/>
      <c r="Q33" s="849"/>
      <c r="R33" s="847">
        <v>1</v>
      </c>
      <c r="S33" s="850"/>
    </row>
    <row r="34" spans="1:19" s="90" customFormat="1" ht="29.25" customHeight="1" x14ac:dyDescent="0.3">
      <c r="A34" s="655"/>
      <c r="B34" s="618"/>
      <c r="C34" s="4"/>
      <c r="D34" s="643"/>
      <c r="E34" s="627"/>
      <c r="F34" s="118"/>
      <c r="G34" s="63"/>
      <c r="H34" s="211"/>
      <c r="I34" s="1386"/>
      <c r="J34" s="134"/>
      <c r="K34" s="367"/>
      <c r="L34" s="71"/>
      <c r="M34" s="300"/>
      <c r="N34" s="372"/>
      <c r="O34" s="308" t="s">
        <v>163</v>
      </c>
      <c r="P34" s="456"/>
      <c r="Q34" s="456"/>
      <c r="R34" s="400">
        <v>1</v>
      </c>
      <c r="S34" s="850"/>
    </row>
    <row r="35" spans="1:19" s="90" customFormat="1" ht="30" customHeight="1" x14ac:dyDescent="0.3">
      <c r="A35" s="655"/>
      <c r="B35" s="618"/>
      <c r="C35" s="4"/>
      <c r="D35" s="643"/>
      <c r="E35" s="627"/>
      <c r="F35" s="118"/>
      <c r="G35" s="63"/>
      <c r="H35" s="211"/>
      <c r="I35" s="1386"/>
      <c r="J35" s="134"/>
      <c r="K35" s="367"/>
      <c r="L35" s="71"/>
      <c r="M35" s="300"/>
      <c r="N35" s="372"/>
      <c r="O35" s="614" t="s">
        <v>78</v>
      </c>
      <c r="P35" s="461">
        <v>11626</v>
      </c>
      <c r="Q35" s="510">
        <v>11461</v>
      </c>
      <c r="R35" s="400">
        <v>11461</v>
      </c>
      <c r="S35" s="511">
        <v>11461</v>
      </c>
    </row>
    <row r="36" spans="1:19" s="90" customFormat="1" ht="27.65" customHeight="1" x14ac:dyDescent="0.3">
      <c r="A36" s="655"/>
      <c r="B36" s="618"/>
      <c r="C36" s="4"/>
      <c r="D36" s="609" t="s">
        <v>19</v>
      </c>
      <c r="E36" s="1378" t="s">
        <v>27</v>
      </c>
      <c r="F36" s="118"/>
      <c r="G36" s="63">
        <v>11030301</v>
      </c>
      <c r="H36" s="211"/>
      <c r="I36" s="212"/>
      <c r="J36" s="135" t="s">
        <v>17</v>
      </c>
      <c r="K36" s="366">
        <f>730.2-10.5</f>
        <v>719.7</v>
      </c>
      <c r="L36" s="70">
        <v>732.1</v>
      </c>
      <c r="M36" s="302">
        <v>758.7</v>
      </c>
      <c r="N36" s="353">
        <v>773.8</v>
      </c>
      <c r="O36" s="85" t="s">
        <v>88</v>
      </c>
      <c r="P36" s="456">
        <v>575</v>
      </c>
      <c r="Q36" s="456">
        <v>580</v>
      </c>
      <c r="R36" s="400">
        <v>580</v>
      </c>
      <c r="S36" s="401">
        <v>580</v>
      </c>
    </row>
    <row r="37" spans="1:19" s="90" customFormat="1" ht="31.15" customHeight="1" x14ac:dyDescent="0.3">
      <c r="A37" s="655"/>
      <c r="B37" s="618"/>
      <c r="C37" s="4"/>
      <c r="D37" s="643"/>
      <c r="E37" s="1379"/>
      <c r="F37" s="118"/>
      <c r="G37" s="63"/>
      <c r="H37" s="211"/>
      <c r="I37" s="212"/>
      <c r="J37" s="134"/>
      <c r="K37" s="367"/>
      <c r="L37" s="71"/>
      <c r="M37" s="300"/>
      <c r="N37" s="372"/>
      <c r="O37" s="112" t="s">
        <v>102</v>
      </c>
      <c r="P37" s="462">
        <v>12</v>
      </c>
      <c r="Q37" s="462">
        <v>18</v>
      </c>
      <c r="R37" s="512">
        <v>24</v>
      </c>
      <c r="S37" s="513">
        <v>24</v>
      </c>
    </row>
    <row r="38" spans="1:19" s="90" customFormat="1" ht="17.5" customHeight="1" x14ac:dyDescent="0.3">
      <c r="A38" s="655"/>
      <c r="B38" s="618"/>
      <c r="C38" s="656"/>
      <c r="D38" s="643"/>
      <c r="E38" s="1379"/>
      <c r="F38" s="118"/>
      <c r="G38" s="63"/>
      <c r="H38" s="211"/>
      <c r="I38" s="212"/>
      <c r="J38" s="134"/>
      <c r="K38" s="367"/>
      <c r="L38" s="71"/>
      <c r="M38" s="300"/>
      <c r="N38" s="372"/>
      <c r="O38" s="245" t="s">
        <v>98</v>
      </c>
      <c r="P38" s="456">
        <v>1</v>
      </c>
      <c r="Q38" s="456"/>
      <c r="R38" s="400"/>
      <c r="S38" s="401"/>
    </row>
    <row r="39" spans="1:19" s="90" customFormat="1" ht="30" customHeight="1" x14ac:dyDescent="0.3">
      <c r="A39" s="655"/>
      <c r="B39" s="618"/>
      <c r="C39" s="4"/>
      <c r="D39" s="643"/>
      <c r="E39" s="627"/>
      <c r="F39" s="118"/>
      <c r="G39" s="63"/>
      <c r="H39" s="211"/>
      <c r="I39" s="212"/>
      <c r="J39" s="134"/>
      <c r="K39" s="367"/>
      <c r="L39" s="71"/>
      <c r="M39" s="300"/>
      <c r="N39" s="372"/>
      <c r="O39" s="450" t="s">
        <v>78</v>
      </c>
      <c r="P39" s="463">
        <v>80</v>
      </c>
      <c r="Q39" s="514">
        <v>80</v>
      </c>
      <c r="R39" s="515">
        <v>80</v>
      </c>
      <c r="S39" s="516">
        <v>80</v>
      </c>
    </row>
    <row r="40" spans="1:19" s="90" customFormat="1" ht="29.25" customHeight="1" x14ac:dyDescent="0.3">
      <c r="A40" s="655"/>
      <c r="B40" s="618"/>
      <c r="C40" s="4"/>
      <c r="D40" s="609" t="s">
        <v>21</v>
      </c>
      <c r="E40" s="1378" t="s">
        <v>28</v>
      </c>
      <c r="F40" s="118"/>
      <c r="G40" s="64">
        <v>11030401</v>
      </c>
      <c r="H40" s="211"/>
      <c r="I40" s="212"/>
      <c r="J40" s="135" t="s">
        <v>17</v>
      </c>
      <c r="K40" s="366">
        <f>507.5-5.8</f>
        <v>501.7</v>
      </c>
      <c r="L40" s="70">
        <v>549.9</v>
      </c>
      <c r="M40" s="302">
        <v>574.79999999999995</v>
      </c>
      <c r="N40" s="353">
        <v>586.29999999999995</v>
      </c>
      <c r="O40" s="85" t="s">
        <v>88</v>
      </c>
      <c r="P40" s="456">
        <v>596</v>
      </c>
      <c r="Q40" s="456">
        <v>600</v>
      </c>
      <c r="R40" s="400">
        <v>610</v>
      </c>
      <c r="S40" s="401">
        <v>650</v>
      </c>
    </row>
    <row r="41" spans="1:19" s="90" customFormat="1" ht="29.25" customHeight="1" x14ac:dyDescent="0.3">
      <c r="A41" s="655"/>
      <c r="B41" s="618"/>
      <c r="C41" s="4"/>
      <c r="D41" s="643"/>
      <c r="E41" s="1379"/>
      <c r="F41" s="118"/>
      <c r="G41" s="64"/>
      <c r="H41" s="211"/>
      <c r="I41" s="212"/>
      <c r="J41" s="134"/>
      <c r="K41" s="367"/>
      <c r="L41" s="71"/>
      <c r="M41" s="300"/>
      <c r="N41" s="372"/>
      <c r="O41" s="112" t="s">
        <v>102</v>
      </c>
      <c r="P41" s="456">
        <v>8</v>
      </c>
      <c r="Q41" s="510">
        <v>8</v>
      </c>
      <c r="R41" s="400">
        <v>8</v>
      </c>
      <c r="S41" s="401">
        <v>8</v>
      </c>
    </row>
    <row r="42" spans="1:19" s="90" customFormat="1" ht="27" customHeight="1" x14ac:dyDescent="0.3">
      <c r="A42" s="655"/>
      <c r="B42" s="618"/>
      <c r="C42" s="656"/>
      <c r="D42" s="236"/>
      <c r="E42" s="1525"/>
      <c r="F42" s="118"/>
      <c r="G42" s="83"/>
      <c r="H42" s="211"/>
      <c r="I42" s="212"/>
      <c r="J42" s="139"/>
      <c r="K42" s="368"/>
      <c r="L42" s="218"/>
      <c r="M42" s="301"/>
      <c r="N42" s="325"/>
      <c r="O42" s="246" t="s">
        <v>77</v>
      </c>
      <c r="P42" s="456">
        <v>6782</v>
      </c>
      <c r="Q42" s="510">
        <v>7492.5</v>
      </c>
      <c r="R42" s="400">
        <v>7492.5</v>
      </c>
      <c r="S42" s="511">
        <v>7492.5</v>
      </c>
    </row>
    <row r="43" spans="1:19" s="90" customFormat="1" ht="29.25" customHeight="1" x14ac:dyDescent="0.3">
      <c r="A43" s="655"/>
      <c r="B43" s="618"/>
      <c r="C43" s="4"/>
      <c r="D43" s="1385" t="s">
        <v>31</v>
      </c>
      <c r="E43" s="1379" t="s">
        <v>29</v>
      </c>
      <c r="F43" s="118"/>
      <c r="G43" s="235">
        <v>11030501</v>
      </c>
      <c r="H43" s="211"/>
      <c r="I43" s="212"/>
      <c r="J43" s="134" t="s">
        <v>17</v>
      </c>
      <c r="K43" s="367">
        <f>573.2-10</f>
        <v>563.20000000000005</v>
      </c>
      <c r="L43" s="71">
        <v>110</v>
      </c>
      <c r="M43" s="571"/>
      <c r="N43" s="572"/>
      <c r="O43" s="642" t="s">
        <v>88</v>
      </c>
      <c r="P43" s="595">
        <v>690</v>
      </c>
      <c r="Q43" s="595">
        <v>704</v>
      </c>
      <c r="R43" s="663"/>
      <c r="S43" s="664"/>
    </row>
    <row r="44" spans="1:19" s="90" customFormat="1" ht="29.25" customHeight="1" x14ac:dyDescent="0.3">
      <c r="A44" s="655"/>
      <c r="B44" s="618"/>
      <c r="C44" s="4"/>
      <c r="D44" s="1385"/>
      <c r="E44" s="1379"/>
      <c r="F44" s="118"/>
      <c r="G44" s="64"/>
      <c r="H44" s="211"/>
      <c r="I44" s="212"/>
      <c r="J44" s="134"/>
      <c r="K44" s="71"/>
      <c r="L44" s="71"/>
      <c r="M44" s="300"/>
      <c r="N44" s="372"/>
      <c r="O44" s="112" t="s">
        <v>102</v>
      </c>
      <c r="P44" s="595">
        <v>10</v>
      </c>
      <c r="Q44" s="596">
        <v>20</v>
      </c>
      <c r="R44" s="665"/>
      <c r="S44" s="666"/>
    </row>
    <row r="45" spans="1:19" s="90" customFormat="1" ht="29.25" customHeight="1" x14ac:dyDescent="0.3">
      <c r="A45" s="655"/>
      <c r="B45" s="618"/>
      <c r="C45" s="4"/>
      <c r="D45" s="1385"/>
      <c r="E45" s="1379"/>
      <c r="F45" s="118"/>
      <c r="G45" s="64"/>
      <c r="H45" s="211"/>
      <c r="I45" s="212"/>
      <c r="J45" s="134"/>
      <c r="K45" s="71"/>
      <c r="L45" s="71"/>
      <c r="M45" s="300"/>
      <c r="N45" s="372"/>
      <c r="O45" s="85" t="s">
        <v>77</v>
      </c>
      <c r="P45" s="595">
        <v>6395</v>
      </c>
      <c r="Q45" s="596">
        <f>6162-4621</f>
        <v>1541</v>
      </c>
      <c r="R45" s="665"/>
      <c r="S45" s="666"/>
    </row>
    <row r="46" spans="1:19" s="90" customFormat="1" ht="28.15" customHeight="1" x14ac:dyDescent="0.3">
      <c r="A46" s="655"/>
      <c r="B46" s="618"/>
      <c r="C46" s="4"/>
      <c r="D46" s="609" t="s">
        <v>49</v>
      </c>
      <c r="E46" s="1378" t="s">
        <v>53</v>
      </c>
      <c r="F46" s="119"/>
      <c r="G46" s="64">
        <v>11030801</v>
      </c>
      <c r="H46" s="211"/>
      <c r="I46" s="212"/>
      <c r="J46" s="135" t="s">
        <v>17</v>
      </c>
      <c r="K46" s="366">
        <f>805.1-3.4-11.5</f>
        <v>790.2</v>
      </c>
      <c r="L46" s="70">
        <v>825.1</v>
      </c>
      <c r="M46" s="302">
        <v>870.9</v>
      </c>
      <c r="N46" s="353">
        <v>888.3</v>
      </c>
      <c r="O46" s="85" t="s">
        <v>88</v>
      </c>
      <c r="P46" s="100">
        <v>320</v>
      </c>
      <c r="Q46" s="100">
        <v>360</v>
      </c>
      <c r="R46" s="517">
        <v>360</v>
      </c>
      <c r="S46" s="518">
        <v>370</v>
      </c>
    </row>
    <row r="47" spans="1:19" s="90" customFormat="1" ht="29.25" customHeight="1" x14ac:dyDescent="0.3">
      <c r="A47" s="655"/>
      <c r="B47" s="618"/>
      <c r="C47" s="4"/>
      <c r="D47" s="643"/>
      <c r="E47" s="1379"/>
      <c r="F47" s="118"/>
      <c r="G47" s="83"/>
      <c r="H47" s="211"/>
      <c r="I47" s="212"/>
      <c r="J47" s="135" t="s">
        <v>55</v>
      </c>
      <c r="K47" s="366">
        <v>20</v>
      </c>
      <c r="L47" s="70"/>
      <c r="M47" s="302"/>
      <c r="N47" s="353"/>
      <c r="O47" s="112" t="s">
        <v>102</v>
      </c>
      <c r="P47" s="449">
        <v>10</v>
      </c>
      <c r="Q47" s="519">
        <v>12</v>
      </c>
      <c r="R47" s="517">
        <v>12</v>
      </c>
      <c r="S47" s="520">
        <v>12</v>
      </c>
    </row>
    <row r="48" spans="1:19" s="90" customFormat="1" ht="29.25" customHeight="1" x14ac:dyDescent="0.3">
      <c r="A48" s="720"/>
      <c r="B48" s="718"/>
      <c r="C48" s="4"/>
      <c r="D48" s="719"/>
      <c r="E48" s="717"/>
      <c r="F48" s="118"/>
      <c r="G48" s="83"/>
      <c r="H48" s="211"/>
      <c r="I48" s="212"/>
      <c r="J48" s="135" t="s">
        <v>17</v>
      </c>
      <c r="K48" s="366"/>
      <c r="L48" s="70">
        <v>55</v>
      </c>
      <c r="M48" s="302"/>
      <c r="N48" s="353"/>
      <c r="O48" s="32" t="s">
        <v>212</v>
      </c>
      <c r="P48" s="88"/>
      <c r="Q48" s="240">
        <v>1</v>
      </c>
      <c r="R48" s="436"/>
      <c r="S48" s="426"/>
    </row>
    <row r="49" spans="1:19" s="90" customFormat="1" ht="30" customHeight="1" x14ac:dyDescent="0.3">
      <c r="A49" s="655"/>
      <c r="B49" s="618"/>
      <c r="C49" s="4"/>
      <c r="D49" s="643"/>
      <c r="E49" s="627"/>
      <c r="F49" s="118"/>
      <c r="G49" s="83"/>
      <c r="H49" s="211"/>
      <c r="I49" s="212"/>
      <c r="J49" s="134"/>
      <c r="K49" s="367"/>
      <c r="L49" s="71"/>
      <c r="M49" s="300"/>
      <c r="N49" s="372"/>
      <c r="O49" s="232" t="s">
        <v>164</v>
      </c>
      <c r="P49" s="464"/>
      <c r="Q49" s="464"/>
      <c r="R49" s="398">
        <v>1</v>
      </c>
      <c r="S49" s="399"/>
    </row>
    <row r="50" spans="1:19" s="90" customFormat="1" ht="15" customHeight="1" x14ac:dyDescent="0.3">
      <c r="A50" s="655"/>
      <c r="B50" s="618"/>
      <c r="C50" s="4"/>
      <c r="D50" s="643"/>
      <c r="E50" s="627"/>
      <c r="F50" s="118"/>
      <c r="G50" s="83"/>
      <c r="H50" s="211"/>
      <c r="I50" s="212"/>
      <c r="J50" s="134"/>
      <c r="K50" s="367"/>
      <c r="L50" s="71"/>
      <c r="M50" s="300"/>
      <c r="N50" s="372"/>
      <c r="O50" s="32" t="s">
        <v>108</v>
      </c>
      <c r="P50" s="464">
        <v>1</v>
      </c>
      <c r="Q50" s="464"/>
      <c r="R50" s="398"/>
      <c r="S50" s="399"/>
    </row>
    <row r="51" spans="1:19" s="90" customFormat="1" ht="17.5" customHeight="1" x14ac:dyDescent="0.3">
      <c r="A51" s="655"/>
      <c r="B51" s="618"/>
      <c r="C51" s="4"/>
      <c r="D51" s="609" t="s">
        <v>73</v>
      </c>
      <c r="E51" s="1381" t="s">
        <v>51</v>
      </c>
      <c r="F51" s="1524"/>
      <c r="G51" s="621">
        <v>11020101</v>
      </c>
      <c r="H51" s="211"/>
      <c r="I51" s="212"/>
      <c r="J51" s="135" t="s">
        <v>17</v>
      </c>
      <c r="K51" s="366">
        <v>766.2</v>
      </c>
      <c r="L51" s="70">
        <v>747.5</v>
      </c>
      <c r="M51" s="302">
        <v>834.1</v>
      </c>
      <c r="N51" s="353">
        <v>850.8</v>
      </c>
      <c r="O51" s="112" t="s">
        <v>93</v>
      </c>
      <c r="P51" s="456">
        <v>15</v>
      </c>
      <c r="Q51" s="456">
        <v>18</v>
      </c>
      <c r="R51" s="400">
        <v>18</v>
      </c>
      <c r="S51" s="401">
        <v>18</v>
      </c>
    </row>
    <row r="52" spans="1:19" s="90" customFormat="1" ht="17.5" customHeight="1" x14ac:dyDescent="0.3">
      <c r="A52" s="655"/>
      <c r="B52" s="618"/>
      <c r="C52" s="4"/>
      <c r="D52" s="643"/>
      <c r="E52" s="1382"/>
      <c r="F52" s="1524"/>
      <c r="G52" s="622"/>
      <c r="H52" s="211"/>
      <c r="I52" s="212"/>
      <c r="J52" s="134"/>
      <c r="K52" s="367"/>
      <c r="L52" s="570"/>
      <c r="M52" s="571"/>
      <c r="N52" s="572"/>
      <c r="O52" s="309" t="s">
        <v>165</v>
      </c>
      <c r="P52" s="456"/>
      <c r="Q52" s="456">
        <v>7</v>
      </c>
      <c r="R52" s="400"/>
      <c r="S52" s="401"/>
    </row>
    <row r="53" spans="1:19" s="90" customFormat="1" ht="16.5" customHeight="1" x14ac:dyDescent="0.3">
      <c r="A53" s="655"/>
      <c r="B53" s="618"/>
      <c r="C53" s="4"/>
      <c r="D53" s="643"/>
      <c r="E53" s="1382"/>
      <c r="F53" s="1524"/>
      <c r="G53" s="622"/>
      <c r="H53" s="211"/>
      <c r="I53" s="212"/>
      <c r="J53" s="134"/>
      <c r="K53" s="367"/>
      <c r="L53" s="71"/>
      <c r="M53" s="300"/>
      <c r="N53" s="372"/>
      <c r="O53" s="521" t="s">
        <v>172</v>
      </c>
      <c r="P53" s="456"/>
      <c r="Q53" s="456">
        <v>5</v>
      </c>
      <c r="R53" s="400"/>
      <c r="S53" s="401"/>
    </row>
    <row r="54" spans="1:19" s="90" customFormat="1" ht="18.649999999999999" customHeight="1" x14ac:dyDescent="0.3">
      <c r="A54" s="655"/>
      <c r="B54" s="618"/>
      <c r="C54" s="4"/>
      <c r="D54" s="643"/>
      <c r="E54" s="1382"/>
      <c r="F54" s="1524"/>
      <c r="G54" s="622"/>
      <c r="H54" s="211"/>
      <c r="I54" s="212"/>
      <c r="J54" s="134"/>
      <c r="K54" s="367"/>
      <c r="L54" s="71"/>
      <c r="M54" s="300"/>
      <c r="N54" s="372"/>
      <c r="O54" s="521" t="s">
        <v>173</v>
      </c>
      <c r="P54" s="456"/>
      <c r="Q54" s="456">
        <v>1</v>
      </c>
      <c r="R54" s="400"/>
      <c r="S54" s="401"/>
    </row>
    <row r="55" spans="1:19" s="90" customFormat="1" ht="27" customHeight="1" x14ac:dyDescent="0.3">
      <c r="A55" s="655"/>
      <c r="B55" s="618"/>
      <c r="C55" s="4"/>
      <c r="D55" s="643"/>
      <c r="E55" s="1382"/>
      <c r="F55" s="1524"/>
      <c r="G55" s="622"/>
      <c r="H55" s="211"/>
      <c r="I55" s="212"/>
      <c r="J55" s="134"/>
      <c r="K55" s="367"/>
      <c r="L55" s="71"/>
      <c r="M55" s="300"/>
      <c r="N55" s="372"/>
      <c r="O55" s="522" t="s">
        <v>174</v>
      </c>
      <c r="P55" s="456"/>
      <c r="Q55" s="456">
        <v>1</v>
      </c>
      <c r="R55" s="400"/>
      <c r="S55" s="401"/>
    </row>
    <row r="56" spans="1:19" s="90" customFormat="1" ht="29.25" customHeight="1" x14ac:dyDescent="0.3">
      <c r="A56" s="655"/>
      <c r="B56" s="618"/>
      <c r="C56" s="4"/>
      <c r="D56" s="1571" t="s">
        <v>74</v>
      </c>
      <c r="E56" s="1338" t="s">
        <v>66</v>
      </c>
      <c r="F56" s="118"/>
      <c r="G56" s="63">
        <v>11020102</v>
      </c>
      <c r="H56" s="211"/>
      <c r="I56" s="295"/>
      <c r="J56" s="1526" t="s">
        <v>17</v>
      </c>
      <c r="K56" s="1565">
        <f>224.2-7</f>
        <v>217.2</v>
      </c>
      <c r="L56" s="70">
        <f>291.7-61.9-15.7-14.1</f>
        <v>200</v>
      </c>
      <c r="M56" s="302">
        <f>291.7-61.9-21.3</f>
        <v>208.49999999999997</v>
      </c>
      <c r="N56" s="353">
        <f>291.7-61.9-21.3</f>
        <v>208.49999999999997</v>
      </c>
      <c r="O56" s="112" t="s">
        <v>94</v>
      </c>
      <c r="P56" s="456">
        <v>4</v>
      </c>
      <c r="Q56" s="456">
        <v>4</v>
      </c>
      <c r="R56" s="400">
        <v>3</v>
      </c>
      <c r="S56" s="401">
        <v>3</v>
      </c>
    </row>
    <row r="57" spans="1:19" s="90" customFormat="1" ht="27" customHeight="1" x14ac:dyDescent="0.3">
      <c r="A57" s="655"/>
      <c r="B57" s="618"/>
      <c r="C57" s="4"/>
      <c r="D57" s="1572"/>
      <c r="E57" s="1349"/>
      <c r="F57" s="118"/>
      <c r="G57" s="63"/>
      <c r="H57" s="211"/>
      <c r="I57" s="295"/>
      <c r="J57" s="1527"/>
      <c r="K57" s="1566"/>
      <c r="L57" s="453"/>
      <c r="M57" s="454"/>
      <c r="N57" s="455"/>
      <c r="O57" s="1576" t="s">
        <v>110</v>
      </c>
      <c r="P57" s="461">
        <v>20378</v>
      </c>
      <c r="Q57" s="1567">
        <f>19355-2076</f>
        <v>17279</v>
      </c>
      <c r="R57" s="1569">
        <f>19355-2767</f>
        <v>16588</v>
      </c>
      <c r="S57" s="1555">
        <f>19355-2767</f>
        <v>16588</v>
      </c>
    </row>
    <row r="58" spans="1:19" s="90" customFormat="1" ht="15.75" customHeight="1" thickBot="1" x14ac:dyDescent="0.35">
      <c r="A58" s="645"/>
      <c r="B58" s="640"/>
      <c r="C58" s="5"/>
      <c r="D58" s="594"/>
      <c r="E58" s="1366"/>
      <c r="F58" s="120"/>
      <c r="G58" s="222"/>
      <c r="H58" s="221"/>
      <c r="I58" s="213"/>
      <c r="J58" s="143" t="s">
        <v>18</v>
      </c>
      <c r="K58" s="69">
        <f>SUM(K28:K57)</f>
        <v>5697.6999999999989</v>
      </c>
      <c r="L58" s="69">
        <f>SUM(L28:L57)</f>
        <v>5307</v>
      </c>
      <c r="M58" s="362">
        <f>SUM(M28:M57)</f>
        <v>5401.9000000000005</v>
      </c>
      <c r="N58" s="689">
        <f>SUM(N28:N57)</f>
        <v>5412.1</v>
      </c>
      <c r="O58" s="1461"/>
      <c r="P58" s="465"/>
      <c r="Q58" s="1568"/>
      <c r="R58" s="1570"/>
      <c r="S58" s="1556"/>
    </row>
    <row r="59" spans="1:19" s="90" customFormat="1" ht="17.25" customHeight="1" x14ac:dyDescent="0.3">
      <c r="A59" s="38" t="s">
        <v>13</v>
      </c>
      <c r="B59" s="617" t="s">
        <v>19</v>
      </c>
      <c r="C59" s="3" t="s">
        <v>19</v>
      </c>
      <c r="D59" s="657"/>
      <c r="E59" s="1383" t="s">
        <v>90</v>
      </c>
      <c r="F59" s="148"/>
      <c r="G59" s="149"/>
      <c r="H59" s="208" t="s">
        <v>16</v>
      </c>
      <c r="I59" s="1377" t="s">
        <v>140</v>
      </c>
      <c r="J59" s="58"/>
      <c r="K59" s="267"/>
      <c r="L59" s="267"/>
      <c r="M59" s="377"/>
      <c r="N59" s="371"/>
      <c r="O59" s="613" t="s">
        <v>91</v>
      </c>
      <c r="P59" s="466">
        <v>68</v>
      </c>
      <c r="Q59" s="1476">
        <v>69</v>
      </c>
      <c r="R59" s="1557">
        <v>69</v>
      </c>
      <c r="S59" s="1577">
        <v>70</v>
      </c>
    </row>
    <row r="60" spans="1:19" s="90" customFormat="1" ht="12.75" customHeight="1" x14ac:dyDescent="0.3">
      <c r="A60" s="39"/>
      <c r="B60" s="618"/>
      <c r="C60" s="4"/>
      <c r="D60" s="643"/>
      <c r="E60" s="1384"/>
      <c r="F60" s="150"/>
      <c r="G60" s="151"/>
      <c r="H60" s="211"/>
      <c r="I60" s="1367"/>
      <c r="J60" s="841"/>
      <c r="K60" s="71"/>
      <c r="L60" s="71"/>
      <c r="M60" s="300"/>
      <c r="N60" s="372"/>
      <c r="O60" s="229"/>
      <c r="P60" s="467"/>
      <c r="Q60" s="1477"/>
      <c r="R60" s="1558"/>
      <c r="S60" s="1578"/>
    </row>
    <row r="61" spans="1:19" s="90" customFormat="1" ht="30.75" customHeight="1" x14ac:dyDescent="0.3">
      <c r="A61" s="40"/>
      <c r="B61" s="26"/>
      <c r="C61" s="7"/>
      <c r="D61" s="593" t="s">
        <v>13</v>
      </c>
      <c r="E61" s="232" t="s">
        <v>30</v>
      </c>
      <c r="F61" s="150"/>
      <c r="G61" s="152">
        <v>11030608</v>
      </c>
      <c r="H61" s="55"/>
      <c r="I61" s="137"/>
      <c r="J61" s="100" t="s">
        <v>17</v>
      </c>
      <c r="K61" s="659">
        <f>458.4+10</f>
        <v>468.4</v>
      </c>
      <c r="L61" s="659">
        <v>468.4</v>
      </c>
      <c r="M61" s="307">
        <v>478.4</v>
      </c>
      <c r="N61" s="452">
        <v>493.4</v>
      </c>
      <c r="O61" s="111" t="s">
        <v>64</v>
      </c>
      <c r="P61" s="451">
        <v>215</v>
      </c>
      <c r="Q61" s="523">
        <v>215</v>
      </c>
      <c r="R61" s="405">
        <v>220</v>
      </c>
      <c r="S61" s="389">
        <v>220</v>
      </c>
    </row>
    <row r="62" spans="1:19" s="90" customFormat="1" ht="40.5" customHeight="1" x14ac:dyDescent="0.3">
      <c r="A62" s="39"/>
      <c r="B62" s="618"/>
      <c r="C62" s="4"/>
      <c r="D62" s="593" t="s">
        <v>19</v>
      </c>
      <c r="E62" s="232" t="s">
        <v>199</v>
      </c>
      <c r="F62" s="155"/>
      <c r="G62" s="157"/>
      <c r="H62" s="211"/>
      <c r="I62" s="212"/>
      <c r="J62" s="58" t="s">
        <v>17</v>
      </c>
      <c r="K62" s="268">
        <f>582+14</f>
        <v>596</v>
      </c>
      <c r="L62" s="268">
        <v>600</v>
      </c>
      <c r="M62" s="711">
        <v>700</v>
      </c>
      <c r="N62" s="525">
        <v>700</v>
      </c>
      <c r="O62" s="195" t="s">
        <v>85</v>
      </c>
      <c r="P62" s="468">
        <v>2.9</v>
      </c>
      <c r="Q62" s="468">
        <v>3.2</v>
      </c>
      <c r="R62" s="526">
        <v>3.5</v>
      </c>
      <c r="S62" s="527">
        <v>3.5</v>
      </c>
    </row>
    <row r="63" spans="1:19" s="90" customFormat="1" ht="39" customHeight="1" x14ac:dyDescent="0.3">
      <c r="A63" s="39"/>
      <c r="B63" s="618"/>
      <c r="C63" s="4"/>
      <c r="D63" s="643" t="s">
        <v>21</v>
      </c>
      <c r="E63" s="8" t="s">
        <v>201</v>
      </c>
      <c r="F63" s="150"/>
      <c r="G63" s="153">
        <v>1102020101</v>
      </c>
      <c r="H63" s="211"/>
      <c r="I63" s="212"/>
      <c r="J63" s="100" t="s">
        <v>17</v>
      </c>
      <c r="K63" s="709">
        <f>88-7.3</f>
        <v>80.7</v>
      </c>
      <c r="L63" s="709">
        <v>80.7</v>
      </c>
      <c r="M63" s="307">
        <v>85</v>
      </c>
      <c r="N63" s="452">
        <v>85</v>
      </c>
      <c r="O63" s="8" t="s">
        <v>63</v>
      </c>
      <c r="P63" s="298">
        <v>33</v>
      </c>
      <c r="Q63" s="298">
        <v>35</v>
      </c>
      <c r="R63" s="404">
        <v>35</v>
      </c>
      <c r="S63" s="423">
        <v>35</v>
      </c>
    </row>
    <row r="64" spans="1:19" s="90" customFormat="1" ht="36" customHeight="1" x14ac:dyDescent="0.3">
      <c r="A64" s="39"/>
      <c r="B64" s="618"/>
      <c r="C64" s="4"/>
      <c r="D64" s="593" t="s">
        <v>31</v>
      </c>
      <c r="E64" s="232" t="s">
        <v>202</v>
      </c>
      <c r="F64" s="150"/>
      <c r="G64" s="154"/>
      <c r="H64" s="211"/>
      <c r="I64" s="212"/>
      <c r="J64" s="58" t="s">
        <v>17</v>
      </c>
      <c r="K64" s="659">
        <f>46-1.7</f>
        <v>44.3</v>
      </c>
      <c r="L64" s="659">
        <v>45</v>
      </c>
      <c r="M64" s="307">
        <v>45</v>
      </c>
      <c r="N64" s="452">
        <v>45</v>
      </c>
      <c r="O64" s="230" t="s">
        <v>63</v>
      </c>
      <c r="P64" s="451">
        <v>24</v>
      </c>
      <c r="Q64" s="451">
        <v>30</v>
      </c>
      <c r="R64" s="607">
        <v>30</v>
      </c>
      <c r="S64" s="389">
        <v>30</v>
      </c>
    </row>
    <row r="65" spans="1:19" s="90" customFormat="1" ht="30" customHeight="1" x14ac:dyDescent="0.3">
      <c r="A65" s="39"/>
      <c r="B65" s="618"/>
      <c r="C65" s="4"/>
      <c r="D65" s="643" t="s">
        <v>49</v>
      </c>
      <c r="E65" s="232" t="s">
        <v>203</v>
      </c>
      <c r="F65" s="155"/>
      <c r="G65" s="152">
        <v>11020204</v>
      </c>
      <c r="H65" s="211"/>
      <c r="I65" s="212"/>
      <c r="J65" s="58" t="s">
        <v>17</v>
      </c>
      <c r="K65" s="659">
        <f>76-14-11.3</f>
        <v>50.7</v>
      </c>
      <c r="L65" s="659">
        <v>50.7</v>
      </c>
      <c r="M65" s="307">
        <v>76</v>
      </c>
      <c r="N65" s="373">
        <v>76</v>
      </c>
      <c r="O65" s="614" t="s">
        <v>95</v>
      </c>
      <c r="P65" s="241">
        <v>7</v>
      </c>
      <c r="Q65" s="241">
        <v>12</v>
      </c>
      <c r="R65" s="433">
        <v>12</v>
      </c>
      <c r="S65" s="422">
        <v>12</v>
      </c>
    </row>
    <row r="66" spans="1:19" s="90" customFormat="1" ht="30" customHeight="1" x14ac:dyDescent="0.3">
      <c r="A66" s="39"/>
      <c r="B66" s="618"/>
      <c r="C66" s="4"/>
      <c r="D66" s="609" t="s">
        <v>73</v>
      </c>
      <c r="E66" s="232" t="s">
        <v>200</v>
      </c>
      <c r="F66" s="155"/>
      <c r="G66" s="152"/>
      <c r="H66" s="211"/>
      <c r="I66" s="212"/>
      <c r="J66" s="58" t="s">
        <v>17</v>
      </c>
      <c r="K66" s="70"/>
      <c r="L66" s="70"/>
      <c r="M66" s="302">
        <f>524.5+5.5</f>
        <v>530</v>
      </c>
      <c r="N66" s="353">
        <v>530</v>
      </c>
      <c r="O66" s="8" t="s">
        <v>175</v>
      </c>
      <c r="P66" s="457"/>
      <c r="Q66" s="597"/>
      <c r="R66" s="405">
        <v>780</v>
      </c>
      <c r="S66" s="410">
        <v>800</v>
      </c>
    </row>
    <row r="67" spans="1:19" s="90" customFormat="1" ht="44.5" customHeight="1" x14ac:dyDescent="0.3">
      <c r="A67" s="39"/>
      <c r="B67" s="618"/>
      <c r="C67" s="4"/>
      <c r="D67" s="643"/>
      <c r="E67" s="443"/>
      <c r="F67" s="155"/>
      <c r="G67" s="152"/>
      <c r="H67" s="211"/>
      <c r="I67" s="212"/>
      <c r="J67" s="22"/>
      <c r="K67" s="71"/>
      <c r="L67" s="71"/>
      <c r="M67" s="300"/>
      <c r="N67" s="372"/>
      <c r="O67" s="601" t="s">
        <v>176</v>
      </c>
      <c r="P67" s="458"/>
      <c r="Q67" s="597"/>
      <c r="R67" s="405">
        <v>3</v>
      </c>
      <c r="S67" s="410">
        <v>3</v>
      </c>
    </row>
    <row r="68" spans="1:19" s="90" customFormat="1" ht="27.75" customHeight="1" x14ac:dyDescent="0.3">
      <c r="A68" s="39"/>
      <c r="B68" s="618"/>
      <c r="C68" s="4"/>
      <c r="D68" s="609" t="s">
        <v>74</v>
      </c>
      <c r="E68" s="232" t="s">
        <v>177</v>
      </c>
      <c r="F68" s="155"/>
      <c r="G68" s="156">
        <v>11020202</v>
      </c>
      <c r="H68" s="211"/>
      <c r="I68" s="212"/>
      <c r="J68" s="58" t="s">
        <v>17</v>
      </c>
      <c r="K68" s="70">
        <v>35</v>
      </c>
      <c r="L68" s="70">
        <v>42</v>
      </c>
      <c r="M68" s="307">
        <v>50.4</v>
      </c>
      <c r="N68" s="353">
        <v>60.5</v>
      </c>
      <c r="O68" s="195" t="s">
        <v>106</v>
      </c>
      <c r="P68" s="451">
        <v>320</v>
      </c>
      <c r="Q68" s="471">
        <v>320</v>
      </c>
      <c r="R68" s="393">
        <v>325</v>
      </c>
      <c r="S68" s="390">
        <v>330</v>
      </c>
    </row>
    <row r="69" spans="1:19" s="90" customFormat="1" ht="27.75" customHeight="1" x14ac:dyDescent="0.3">
      <c r="A69" s="39"/>
      <c r="B69" s="618"/>
      <c r="C69" s="4"/>
      <c r="D69" s="643"/>
      <c r="E69" s="233"/>
      <c r="F69" s="155"/>
      <c r="G69" s="157"/>
      <c r="H69" s="211"/>
      <c r="I69" s="212"/>
      <c r="J69" s="100" t="s">
        <v>35</v>
      </c>
      <c r="K69" s="659">
        <v>18.600000000000001</v>
      </c>
      <c r="L69" s="659"/>
      <c r="M69" s="307"/>
      <c r="N69" s="373"/>
      <c r="O69" s="195" t="s">
        <v>107</v>
      </c>
      <c r="P69" s="451">
        <v>14</v>
      </c>
      <c r="Q69" s="451">
        <v>14</v>
      </c>
      <c r="R69" s="405">
        <v>14</v>
      </c>
      <c r="S69" s="389">
        <v>14</v>
      </c>
    </row>
    <row r="70" spans="1:19" s="90" customFormat="1" ht="15.75" customHeight="1" x14ac:dyDescent="0.3">
      <c r="A70" s="39"/>
      <c r="B70" s="618"/>
      <c r="C70" s="4"/>
      <c r="D70" s="643"/>
      <c r="E70" s="1338" t="s">
        <v>121</v>
      </c>
      <c r="F70" s="155"/>
      <c r="G70" s="157"/>
      <c r="H70" s="211"/>
      <c r="I70" s="212"/>
      <c r="J70" s="100" t="s">
        <v>17</v>
      </c>
      <c r="K70" s="272">
        <v>3.3</v>
      </c>
      <c r="L70" s="272">
        <v>3.3</v>
      </c>
      <c r="M70" s="363">
        <v>5.4</v>
      </c>
      <c r="N70" s="472">
        <v>3.3</v>
      </c>
      <c r="O70" s="195" t="s">
        <v>81</v>
      </c>
      <c r="P70" s="451">
        <v>116</v>
      </c>
      <c r="Q70" s="1563">
        <v>116</v>
      </c>
      <c r="R70" s="1462">
        <v>120</v>
      </c>
      <c r="S70" s="1510">
        <v>120</v>
      </c>
    </row>
    <row r="71" spans="1:19" s="90" customFormat="1" ht="15" customHeight="1" thickBot="1" x14ac:dyDescent="0.35">
      <c r="A71" s="41"/>
      <c r="B71" s="640"/>
      <c r="C71" s="5"/>
      <c r="D71" s="594"/>
      <c r="E71" s="1366"/>
      <c r="F71" s="158"/>
      <c r="G71" s="200"/>
      <c r="H71" s="221"/>
      <c r="I71" s="214"/>
      <c r="J71" s="639" t="s">
        <v>18</v>
      </c>
      <c r="K71" s="280">
        <f>SUM(K61:K70)</f>
        <v>1297</v>
      </c>
      <c r="L71" s="280">
        <f>SUM(L61:L70)</f>
        <v>1290.1000000000001</v>
      </c>
      <c r="M71" s="318">
        <f>SUM(M61:M70)</f>
        <v>1970.2000000000003</v>
      </c>
      <c r="N71" s="313">
        <f>SUM(N61:N70)</f>
        <v>1993.2</v>
      </c>
      <c r="O71" s="114"/>
      <c r="P71" s="465"/>
      <c r="Q71" s="1564"/>
      <c r="R71" s="1463"/>
      <c r="S71" s="1511"/>
    </row>
    <row r="72" spans="1:19" s="90" customFormat="1" ht="28.5" customHeight="1" x14ac:dyDescent="0.3">
      <c r="A72" s="1371" t="s">
        <v>13</v>
      </c>
      <c r="B72" s="1354" t="s">
        <v>19</v>
      </c>
      <c r="C72" s="1444" t="s">
        <v>21</v>
      </c>
      <c r="D72" s="657"/>
      <c r="E72" s="1358" t="s">
        <v>69</v>
      </c>
      <c r="F72" s="1447"/>
      <c r="G72" s="1450">
        <v>11020310</v>
      </c>
      <c r="H72" s="660" t="s">
        <v>16</v>
      </c>
      <c r="I72" s="610" t="s">
        <v>140</v>
      </c>
      <c r="J72" s="6" t="s">
        <v>17</v>
      </c>
      <c r="K72" s="68">
        <v>79</v>
      </c>
      <c r="L72" s="68">
        <v>106</v>
      </c>
      <c r="M72" s="376">
        <v>110</v>
      </c>
      <c r="N72" s="528">
        <v>110</v>
      </c>
      <c r="O72" s="74" t="s">
        <v>67</v>
      </c>
      <c r="P72" s="6">
        <v>7125.25</v>
      </c>
      <c r="Q72" s="529">
        <v>10160</v>
      </c>
      <c r="R72" s="530">
        <v>10160</v>
      </c>
      <c r="S72" s="531">
        <v>10160</v>
      </c>
    </row>
    <row r="73" spans="1:19" s="90" customFormat="1" ht="15" customHeight="1" x14ac:dyDescent="0.3">
      <c r="A73" s="1372"/>
      <c r="B73" s="1380"/>
      <c r="C73" s="1445"/>
      <c r="D73" s="643"/>
      <c r="E73" s="1382"/>
      <c r="F73" s="1448"/>
      <c r="G73" s="1451"/>
      <c r="H73" s="205">
        <v>3</v>
      </c>
      <c r="I73" s="1415" t="s">
        <v>122</v>
      </c>
      <c r="J73" s="100" t="s">
        <v>17</v>
      </c>
      <c r="K73" s="369">
        <v>10.4</v>
      </c>
      <c r="L73" s="369">
        <v>10.4</v>
      </c>
      <c r="M73" s="532">
        <v>10.4</v>
      </c>
      <c r="N73" s="533">
        <v>10.4</v>
      </c>
      <c r="O73" s="1494" t="s">
        <v>119</v>
      </c>
      <c r="P73" s="469">
        <v>152</v>
      </c>
      <c r="Q73" s="534">
        <v>152</v>
      </c>
      <c r="R73" s="535">
        <v>152</v>
      </c>
      <c r="S73" s="536">
        <v>152</v>
      </c>
    </row>
    <row r="74" spans="1:19" s="90" customFormat="1" ht="15" customHeight="1" thickBot="1" x14ac:dyDescent="0.35">
      <c r="A74" s="1373"/>
      <c r="B74" s="1355"/>
      <c r="C74" s="1446"/>
      <c r="D74" s="594"/>
      <c r="E74" s="1359"/>
      <c r="F74" s="1449"/>
      <c r="G74" s="1464"/>
      <c r="H74" s="204"/>
      <c r="I74" s="1368"/>
      <c r="J74" s="639" t="s">
        <v>18</v>
      </c>
      <c r="K74" s="280">
        <f>SUM(K72:K73)</f>
        <v>89.4</v>
      </c>
      <c r="L74" s="280">
        <f t="shared" ref="L74:N74" si="4">SUM(L72:L73)</f>
        <v>116.4</v>
      </c>
      <c r="M74" s="318">
        <f t="shared" si="4"/>
        <v>120.4</v>
      </c>
      <c r="N74" s="313">
        <f t="shared" si="4"/>
        <v>120.4</v>
      </c>
      <c r="O74" s="1495"/>
      <c r="P74" s="470"/>
      <c r="Q74" s="470"/>
      <c r="R74" s="416"/>
      <c r="S74" s="411"/>
    </row>
    <row r="75" spans="1:19" s="90" customFormat="1" ht="17.25" customHeight="1" x14ac:dyDescent="0.3">
      <c r="A75" s="43" t="s">
        <v>13</v>
      </c>
      <c r="B75" s="618" t="s">
        <v>19</v>
      </c>
      <c r="C75" s="632" t="s">
        <v>31</v>
      </c>
      <c r="D75" s="643"/>
      <c r="E75" s="1365" t="s">
        <v>79</v>
      </c>
      <c r="F75" s="121"/>
      <c r="G75" s="1573">
        <v>11020406</v>
      </c>
      <c r="H75" s="208">
        <v>2</v>
      </c>
      <c r="I75" s="1377" t="s">
        <v>140</v>
      </c>
      <c r="J75" s="91" t="s">
        <v>17</v>
      </c>
      <c r="K75" s="370">
        <v>74.5</v>
      </c>
      <c r="L75" s="370">
        <v>99.2</v>
      </c>
      <c r="M75" s="378">
        <v>120</v>
      </c>
      <c r="N75" s="568">
        <v>120</v>
      </c>
      <c r="O75" s="1575" t="s">
        <v>80</v>
      </c>
      <c r="P75" s="471">
        <v>1985</v>
      </c>
      <c r="Q75" s="471">
        <v>1913</v>
      </c>
      <c r="R75" s="393">
        <v>2060</v>
      </c>
      <c r="S75" s="390">
        <v>2060</v>
      </c>
    </row>
    <row r="76" spans="1:19" s="90" customFormat="1" ht="15" customHeight="1" thickBot="1" x14ac:dyDescent="0.35">
      <c r="A76" s="43"/>
      <c r="B76" s="618"/>
      <c r="C76" s="632"/>
      <c r="D76" s="643"/>
      <c r="E76" s="1349"/>
      <c r="F76" s="122"/>
      <c r="G76" s="1574"/>
      <c r="H76" s="221"/>
      <c r="I76" s="1367"/>
      <c r="J76" s="639" t="s">
        <v>18</v>
      </c>
      <c r="K76" s="270">
        <f>+K75</f>
        <v>74.5</v>
      </c>
      <c r="L76" s="270">
        <f t="shared" ref="L76:N76" si="5">+L75</f>
        <v>99.2</v>
      </c>
      <c r="M76" s="379">
        <f t="shared" si="5"/>
        <v>120</v>
      </c>
      <c r="N76" s="375">
        <f t="shared" si="5"/>
        <v>120</v>
      </c>
      <c r="O76" s="1495"/>
      <c r="P76" s="471"/>
      <c r="Q76" s="465"/>
      <c r="R76" s="608"/>
      <c r="S76" s="387"/>
    </row>
    <row r="77" spans="1:19" s="90" customFormat="1" ht="21.65" customHeight="1" x14ac:dyDescent="0.3">
      <c r="A77" s="38" t="s">
        <v>13</v>
      </c>
      <c r="B77" s="102" t="s">
        <v>19</v>
      </c>
      <c r="C77" s="474" t="s">
        <v>49</v>
      </c>
      <c r="D77" s="475"/>
      <c r="E77" s="1365" t="s">
        <v>109</v>
      </c>
      <c r="F77" s="476" t="s">
        <v>118</v>
      </c>
      <c r="G77" s="159"/>
      <c r="H77" s="208">
        <v>1</v>
      </c>
      <c r="I77" s="1377" t="s">
        <v>141</v>
      </c>
      <c r="J77" s="128" t="s">
        <v>17</v>
      </c>
      <c r="K77" s="68">
        <v>10</v>
      </c>
      <c r="L77" s="283">
        <v>27</v>
      </c>
      <c r="M77" s="317">
        <v>37</v>
      </c>
      <c r="N77" s="699">
        <v>37</v>
      </c>
      <c r="O77" s="1365" t="s">
        <v>178</v>
      </c>
      <c r="P77" s="439"/>
      <c r="Q77" s="396">
        <v>50</v>
      </c>
      <c r="R77" s="428">
        <v>25</v>
      </c>
      <c r="S77" s="444">
        <v>25</v>
      </c>
    </row>
    <row r="78" spans="1:19" s="90" customFormat="1" ht="21.65" customHeight="1" x14ac:dyDescent="0.3">
      <c r="A78" s="39"/>
      <c r="B78" s="103"/>
      <c r="C78" s="477"/>
      <c r="D78" s="478"/>
      <c r="E78" s="1349"/>
      <c r="F78" s="479"/>
      <c r="G78" s="210"/>
      <c r="H78" s="211"/>
      <c r="I78" s="1396"/>
      <c r="J78" s="251" t="s">
        <v>55</v>
      </c>
      <c r="K78" s="659"/>
      <c r="L78" s="659">
        <v>10</v>
      </c>
      <c r="M78" s="307"/>
      <c r="N78" s="373"/>
      <c r="O78" s="1339"/>
      <c r="P78" s="624"/>
      <c r="Q78" s="406"/>
      <c r="R78" s="429"/>
      <c r="S78" s="418"/>
    </row>
    <row r="79" spans="1:19" s="90" customFormat="1" ht="15" customHeight="1" x14ac:dyDescent="0.3">
      <c r="A79" s="39"/>
      <c r="B79" s="103"/>
      <c r="C79" s="477"/>
      <c r="D79" s="478"/>
      <c r="E79" s="1349"/>
      <c r="F79" s="479"/>
      <c r="G79" s="210"/>
      <c r="H79" s="209">
        <v>2</v>
      </c>
      <c r="I79" s="612" t="s">
        <v>140</v>
      </c>
      <c r="J79" s="88"/>
      <c r="K79" s="71"/>
      <c r="L79" s="473"/>
      <c r="M79" s="300"/>
      <c r="N79" s="372"/>
      <c r="O79" s="32" t="s">
        <v>120</v>
      </c>
      <c r="P79" s="623">
        <v>1</v>
      </c>
      <c r="Q79" s="543"/>
      <c r="R79" s="433"/>
      <c r="S79" s="422"/>
    </row>
    <row r="80" spans="1:19" s="90" customFormat="1" ht="15" customHeight="1" thickBot="1" x14ac:dyDescent="0.35">
      <c r="A80" s="39"/>
      <c r="B80" s="103"/>
      <c r="C80" s="477"/>
      <c r="D80" s="478"/>
      <c r="E80" s="1366"/>
      <c r="F80" s="479"/>
      <c r="G80" s="210"/>
      <c r="H80" s="211"/>
      <c r="I80" s="33"/>
      <c r="J80" s="638" t="s">
        <v>18</v>
      </c>
      <c r="K80" s="359">
        <f>SUM(K77:K79)</f>
        <v>10</v>
      </c>
      <c r="L80" s="359">
        <f>SUM(L77:L79)</f>
        <v>37</v>
      </c>
      <c r="M80" s="537">
        <f t="shared" ref="M80:N80" si="6">SUM(M77:M79)</f>
        <v>37</v>
      </c>
      <c r="N80" s="225">
        <f t="shared" si="6"/>
        <v>37</v>
      </c>
      <c r="O80" s="25"/>
      <c r="P80" s="583"/>
      <c r="Q80" s="406"/>
      <c r="R80" s="446"/>
      <c r="S80" s="418"/>
    </row>
    <row r="81" spans="1:19" s="90" customFormat="1" ht="31.9" customHeight="1" x14ac:dyDescent="0.3">
      <c r="A81" s="1352" t="s">
        <v>13</v>
      </c>
      <c r="B81" s="1354" t="s">
        <v>19</v>
      </c>
      <c r="C81" s="1356" t="s">
        <v>73</v>
      </c>
      <c r="D81" s="657"/>
      <c r="E81" s="1369" t="s">
        <v>204</v>
      </c>
      <c r="F81" s="658"/>
      <c r="G81" s="159"/>
      <c r="H81" s="208"/>
      <c r="I81" s="610" t="s">
        <v>123</v>
      </c>
      <c r="J81" s="667" t="s">
        <v>17</v>
      </c>
      <c r="K81" s="668"/>
      <c r="L81" s="283">
        <v>2.7</v>
      </c>
      <c r="M81" s="669"/>
      <c r="N81" s="670"/>
      <c r="O81" s="1358" t="s">
        <v>205</v>
      </c>
      <c r="P81" s="610"/>
      <c r="Q81" s="671">
        <v>100</v>
      </c>
      <c r="R81" s="602"/>
      <c r="S81" s="388"/>
    </row>
    <row r="82" spans="1:19" s="90" customFormat="1" ht="16.149999999999999" customHeight="1" thickBot="1" x14ac:dyDescent="0.35">
      <c r="A82" s="1353"/>
      <c r="B82" s="1355"/>
      <c r="C82" s="1357"/>
      <c r="D82" s="594"/>
      <c r="E82" s="1370"/>
      <c r="F82" s="591"/>
      <c r="G82" s="592"/>
      <c r="H82" s="221"/>
      <c r="I82" s="30"/>
      <c r="J82" s="639" t="s">
        <v>18</v>
      </c>
      <c r="K82" s="265"/>
      <c r="L82" s="265">
        <f>+L81</f>
        <v>2.7</v>
      </c>
      <c r="M82" s="672">
        <f>+M81</f>
        <v>0</v>
      </c>
      <c r="N82" s="673">
        <f>+N81</f>
        <v>0</v>
      </c>
      <c r="O82" s="1359"/>
      <c r="P82" s="605"/>
      <c r="Q82" s="674"/>
      <c r="R82" s="608"/>
      <c r="S82" s="387"/>
    </row>
    <row r="83" spans="1:19" s="90" customFormat="1" ht="17.5" customHeight="1" x14ac:dyDescent="0.3">
      <c r="A83" s="1352" t="s">
        <v>13</v>
      </c>
      <c r="B83" s="1354" t="s">
        <v>19</v>
      </c>
      <c r="C83" s="1356" t="s">
        <v>74</v>
      </c>
      <c r="D83" s="657"/>
      <c r="E83" s="1369" t="s">
        <v>209</v>
      </c>
      <c r="F83" s="658"/>
      <c r="G83" s="675"/>
      <c r="H83" s="208"/>
      <c r="I83" s="439" t="s">
        <v>123</v>
      </c>
      <c r="J83" s="667" t="s">
        <v>17</v>
      </c>
      <c r="K83" s="668"/>
      <c r="L83" s="283">
        <v>510</v>
      </c>
      <c r="M83" s="669"/>
      <c r="N83" s="670"/>
      <c r="O83" s="1358" t="s">
        <v>210</v>
      </c>
      <c r="P83" s="610"/>
      <c r="Q83" s="671">
        <v>100</v>
      </c>
      <c r="R83" s="602"/>
      <c r="S83" s="388"/>
    </row>
    <row r="84" spans="1:19" s="90" customFormat="1" ht="15.75" customHeight="1" thickBot="1" x14ac:dyDescent="0.35">
      <c r="A84" s="1353"/>
      <c r="B84" s="1355"/>
      <c r="C84" s="1357"/>
      <c r="D84" s="594"/>
      <c r="E84" s="1370"/>
      <c r="F84" s="591"/>
      <c r="G84" s="676"/>
      <c r="H84" s="221"/>
      <c r="I84" s="30"/>
      <c r="J84" s="677" t="s">
        <v>18</v>
      </c>
      <c r="K84" s="265"/>
      <c r="L84" s="265">
        <f>+L83</f>
        <v>510</v>
      </c>
      <c r="M84" s="672">
        <v>0</v>
      </c>
      <c r="N84" s="673">
        <v>0</v>
      </c>
      <c r="O84" s="1359"/>
      <c r="P84" s="605"/>
      <c r="Q84" s="674"/>
      <c r="R84" s="608"/>
      <c r="S84" s="387"/>
    </row>
    <row r="85" spans="1:19" s="90" customFormat="1" ht="15" customHeight="1" thickBot="1" x14ac:dyDescent="0.35">
      <c r="A85" s="254" t="s">
        <v>13</v>
      </c>
      <c r="B85" s="255" t="s">
        <v>19</v>
      </c>
      <c r="C85" s="1340" t="s">
        <v>22</v>
      </c>
      <c r="D85" s="1340"/>
      <c r="E85" s="1340"/>
      <c r="F85" s="1341"/>
      <c r="G85" s="1341"/>
      <c r="H85" s="1341"/>
      <c r="I85" s="1341"/>
      <c r="J85" s="1341"/>
      <c r="K85" s="600">
        <f>+K80+K76+K74+K71+K58</f>
        <v>7168.5999999999985</v>
      </c>
      <c r="L85" s="600">
        <f>+L80+L76+L74+L71+L58+L82+L84</f>
        <v>7362.4</v>
      </c>
      <c r="M85" s="600">
        <f t="shared" ref="M85:N85" si="7">+M80+M76+M74+M71+M58</f>
        <v>7649.5000000000009</v>
      </c>
      <c r="N85" s="600">
        <f t="shared" si="7"/>
        <v>7682.7000000000007</v>
      </c>
      <c r="O85" s="1560"/>
      <c r="P85" s="1561"/>
      <c r="Q85" s="1561"/>
      <c r="R85" s="1561"/>
      <c r="S85" s="1562"/>
    </row>
    <row r="86" spans="1:19" s="90" customFormat="1" ht="15" customHeight="1" thickBot="1" x14ac:dyDescent="0.35">
      <c r="A86" s="45" t="s">
        <v>13</v>
      </c>
      <c r="B86" s="288" t="s">
        <v>21</v>
      </c>
      <c r="C86" s="1559" t="s">
        <v>133</v>
      </c>
      <c r="D86" s="1442"/>
      <c r="E86" s="1442"/>
      <c r="F86" s="1442"/>
      <c r="G86" s="1442"/>
      <c r="H86" s="1442"/>
      <c r="I86" s="1442"/>
      <c r="J86" s="1442"/>
      <c r="K86" s="1442"/>
      <c r="L86" s="1442"/>
      <c r="M86" s="1442"/>
      <c r="N86" s="1442"/>
      <c r="O86" s="1442"/>
      <c r="P86" s="1442"/>
      <c r="Q86" s="1442"/>
      <c r="R86" s="1442"/>
      <c r="S86" s="1443"/>
    </row>
    <row r="87" spans="1:19" s="90" customFormat="1" ht="19.5" customHeight="1" x14ac:dyDescent="0.3">
      <c r="A87" s="38" t="s">
        <v>13</v>
      </c>
      <c r="B87" s="1354" t="s">
        <v>21</v>
      </c>
      <c r="C87" s="1363" t="s">
        <v>13</v>
      </c>
      <c r="D87" s="649"/>
      <c r="E87" s="1349" t="s">
        <v>82</v>
      </c>
      <c r="F87" s="198"/>
      <c r="G87" s="144"/>
      <c r="H87" s="129">
        <v>2</v>
      </c>
      <c r="I87" s="1367" t="s">
        <v>140</v>
      </c>
      <c r="J87" s="134" t="s">
        <v>55</v>
      </c>
      <c r="K87" s="87">
        <v>7.9</v>
      </c>
      <c r="L87" s="271"/>
      <c r="M87" s="360"/>
      <c r="N87" s="365"/>
      <c r="O87" s="92" t="s">
        <v>99</v>
      </c>
      <c r="P87" s="439">
        <v>1</v>
      </c>
      <c r="Q87" s="396"/>
      <c r="R87" s="428"/>
      <c r="S87" s="444"/>
    </row>
    <row r="88" spans="1:19" s="90" customFormat="1" ht="9" customHeight="1" x14ac:dyDescent="0.3">
      <c r="A88" s="39"/>
      <c r="B88" s="1380"/>
      <c r="C88" s="1363"/>
      <c r="D88" s="649"/>
      <c r="E88" s="1349"/>
      <c r="F88" s="198"/>
      <c r="G88" s="144"/>
      <c r="H88" s="129"/>
      <c r="I88" s="1367"/>
      <c r="J88" s="139"/>
      <c r="K88" s="287"/>
      <c r="L88" s="347"/>
      <c r="M88" s="361"/>
      <c r="N88" s="351"/>
      <c r="O88" s="25"/>
      <c r="P88" s="624"/>
      <c r="Q88" s="406"/>
      <c r="R88" s="429"/>
      <c r="S88" s="418"/>
    </row>
    <row r="89" spans="1:19" s="90" customFormat="1" ht="16.5" customHeight="1" thickBot="1" x14ac:dyDescent="0.35">
      <c r="A89" s="39"/>
      <c r="B89" s="1380"/>
      <c r="C89" s="1363"/>
      <c r="D89" s="649"/>
      <c r="E89" s="1349"/>
      <c r="F89" s="93"/>
      <c r="G89" s="94"/>
      <c r="H89" s="95"/>
      <c r="I89" s="1368"/>
      <c r="J89" s="108" t="s">
        <v>18</v>
      </c>
      <c r="K89" s="69">
        <f>SUM(K87:K88)</f>
        <v>7.9</v>
      </c>
      <c r="L89" s="69">
        <f t="shared" ref="L89:N89" si="8">SUM(L87:L88)</f>
        <v>0</v>
      </c>
      <c r="M89" s="362">
        <f t="shared" si="8"/>
        <v>0</v>
      </c>
      <c r="N89" s="354">
        <f t="shared" si="8"/>
        <v>0</v>
      </c>
      <c r="O89" s="96"/>
      <c r="P89" s="412"/>
      <c r="Q89" s="417"/>
      <c r="R89" s="416"/>
      <c r="S89" s="411"/>
    </row>
    <row r="90" spans="1:19" s="90" customFormat="1" ht="31.9" customHeight="1" x14ac:dyDescent="0.3">
      <c r="A90" s="38" t="s">
        <v>13</v>
      </c>
      <c r="B90" s="1360" t="s">
        <v>21</v>
      </c>
      <c r="C90" s="1362" t="s">
        <v>13</v>
      </c>
      <c r="D90" s="84"/>
      <c r="E90" s="1365" t="s">
        <v>206</v>
      </c>
      <c r="F90" s="198"/>
      <c r="G90" s="144"/>
      <c r="H90" s="129">
        <v>2</v>
      </c>
      <c r="I90" s="1367" t="s">
        <v>140</v>
      </c>
      <c r="J90" s="134" t="s">
        <v>17</v>
      </c>
      <c r="K90" s="87"/>
      <c r="L90" s="271"/>
      <c r="M90" s="360">
        <f>11.5+13</f>
        <v>24.5</v>
      </c>
      <c r="N90" s="365"/>
      <c r="O90" s="678" t="s">
        <v>207</v>
      </c>
      <c r="P90" s="679"/>
      <c r="Q90" s="680"/>
      <c r="R90" s="681">
        <v>2</v>
      </c>
      <c r="S90" s="599"/>
    </row>
    <row r="91" spans="1:19" s="90" customFormat="1" ht="16.149999999999999" customHeight="1" x14ac:dyDescent="0.3">
      <c r="A91" s="39"/>
      <c r="B91" s="1361"/>
      <c r="C91" s="1363"/>
      <c r="D91" s="649"/>
      <c r="E91" s="1349"/>
      <c r="F91" s="198"/>
      <c r="G91" s="144"/>
      <c r="H91" s="129"/>
      <c r="I91" s="1367"/>
      <c r="J91" s="139"/>
      <c r="K91" s="287"/>
      <c r="L91" s="347"/>
      <c r="M91" s="361"/>
      <c r="N91" s="351"/>
      <c r="O91" s="1338" t="s">
        <v>208</v>
      </c>
      <c r="P91" s="624"/>
      <c r="Q91" s="406"/>
      <c r="R91" s="429">
        <v>2</v>
      </c>
      <c r="S91" s="418"/>
    </row>
    <row r="92" spans="1:19" s="90" customFormat="1" ht="16.5" customHeight="1" thickBot="1" x14ac:dyDescent="0.35">
      <c r="A92" s="39"/>
      <c r="B92" s="1361"/>
      <c r="C92" s="1364"/>
      <c r="D92" s="598"/>
      <c r="E92" s="1366"/>
      <c r="F92" s="93"/>
      <c r="G92" s="94"/>
      <c r="H92" s="95"/>
      <c r="I92" s="1368"/>
      <c r="J92" s="108" t="s">
        <v>18</v>
      </c>
      <c r="K92" s="69"/>
      <c r="L92" s="69"/>
      <c r="M92" s="362">
        <f t="shared" ref="M92" si="9">SUM(M90:M91)</f>
        <v>24.5</v>
      </c>
      <c r="N92" s="354"/>
      <c r="O92" s="1366"/>
      <c r="P92" s="412"/>
      <c r="Q92" s="417"/>
      <c r="R92" s="416"/>
      <c r="S92" s="411"/>
    </row>
    <row r="93" spans="1:19" s="90" customFormat="1" ht="15.75" customHeight="1" x14ac:dyDescent="0.3">
      <c r="A93" s="46" t="s">
        <v>13</v>
      </c>
      <c r="B93" s="28" t="s">
        <v>21</v>
      </c>
      <c r="C93" s="9" t="s">
        <v>19</v>
      </c>
      <c r="D93" s="84"/>
      <c r="E93" s="1383" t="s">
        <v>139</v>
      </c>
      <c r="F93" s="203"/>
      <c r="G93" s="65"/>
      <c r="H93" s="20"/>
      <c r="I93" s="296"/>
      <c r="J93" s="249"/>
      <c r="K93" s="269"/>
      <c r="L93" s="269"/>
      <c r="M93" s="360"/>
      <c r="N93" s="350"/>
      <c r="O93" s="72"/>
      <c r="P93" s="440"/>
      <c r="Q93" s="72"/>
      <c r="R93" s="430"/>
      <c r="S93" s="419"/>
    </row>
    <row r="94" spans="1:19" s="90" customFormat="1" ht="15.75" customHeight="1" x14ac:dyDescent="0.3">
      <c r="A94" s="47"/>
      <c r="B94" s="127"/>
      <c r="C94" s="206"/>
      <c r="D94" s="649"/>
      <c r="E94" s="1397"/>
      <c r="F94" s="24"/>
      <c r="G94" s="66"/>
      <c r="H94" s="36"/>
      <c r="I94" s="297"/>
      <c r="J94" s="250"/>
      <c r="K94" s="347"/>
      <c r="L94" s="347"/>
      <c r="M94" s="361"/>
      <c r="N94" s="351"/>
      <c r="O94" s="73"/>
      <c r="P94" s="286"/>
      <c r="Q94" s="247"/>
      <c r="R94" s="431"/>
      <c r="S94" s="420"/>
    </row>
    <row r="95" spans="1:19" s="90" customFormat="1" ht="29.25" customHeight="1" x14ac:dyDescent="0.3">
      <c r="A95" s="43"/>
      <c r="B95" s="618"/>
      <c r="C95" s="206"/>
      <c r="D95" s="654" t="s">
        <v>13</v>
      </c>
      <c r="E95" s="652" t="s">
        <v>59</v>
      </c>
      <c r="F95" s="651" t="s">
        <v>32</v>
      </c>
      <c r="G95" s="1398">
        <v>1101012101</v>
      </c>
      <c r="H95" s="243">
        <v>5</v>
      </c>
      <c r="I95" s="241" t="s">
        <v>146</v>
      </c>
      <c r="J95" s="251"/>
      <c r="K95" s="272"/>
      <c r="L95" s="272"/>
      <c r="M95" s="363"/>
      <c r="N95" s="352"/>
      <c r="O95" s="85"/>
      <c r="P95" s="441"/>
      <c r="Q95" s="497"/>
      <c r="R95" s="432"/>
      <c r="S95" s="421"/>
    </row>
    <row r="96" spans="1:19" s="90" customFormat="1" ht="13.5" customHeight="1" x14ac:dyDescent="0.3">
      <c r="A96" s="43"/>
      <c r="B96" s="618"/>
      <c r="C96" s="206"/>
      <c r="D96" s="649"/>
      <c r="E96" s="257" t="s">
        <v>58</v>
      </c>
      <c r="F96" s="258" t="s">
        <v>118</v>
      </c>
      <c r="G96" s="1399"/>
      <c r="H96" s="177"/>
      <c r="I96" s="25"/>
      <c r="J96" s="240" t="s">
        <v>55</v>
      </c>
      <c r="K96" s="272">
        <v>230.1</v>
      </c>
      <c r="L96" s="272">
        <f>105.8+666.4-764.6</f>
        <v>7.5999999999999091</v>
      </c>
      <c r="M96" s="363"/>
      <c r="N96" s="352"/>
      <c r="O96" s="700" t="s">
        <v>34</v>
      </c>
      <c r="P96" s="701">
        <v>80</v>
      </c>
      <c r="Q96" s="241">
        <v>100</v>
      </c>
      <c r="R96" s="433"/>
      <c r="S96" s="422"/>
    </row>
    <row r="97" spans="1:22" s="90" customFormat="1" ht="13.5" customHeight="1" x14ac:dyDescent="0.3">
      <c r="A97" s="43"/>
      <c r="B97" s="618"/>
      <c r="C97" s="206"/>
      <c r="D97" s="649"/>
      <c r="E97" s="242"/>
      <c r="F97" s="239"/>
      <c r="G97" s="647"/>
      <c r="H97" s="177"/>
      <c r="I97" s="25"/>
      <c r="J97" s="241" t="s">
        <v>33</v>
      </c>
      <c r="K97" s="272">
        <v>48.8</v>
      </c>
      <c r="L97" s="272">
        <v>2.8</v>
      </c>
      <c r="M97" s="363"/>
      <c r="N97" s="352"/>
      <c r="O97" s="703"/>
      <c r="P97" s="702"/>
      <c r="Q97" s="299"/>
      <c r="R97" s="429"/>
      <c r="S97" s="418"/>
    </row>
    <row r="98" spans="1:22" s="90" customFormat="1" ht="13.5" customHeight="1" x14ac:dyDescent="0.3">
      <c r="A98" s="43"/>
      <c r="B98" s="618"/>
      <c r="C98" s="206"/>
      <c r="D98" s="649"/>
      <c r="E98" s="242"/>
      <c r="F98" s="239"/>
      <c r="G98" s="647"/>
      <c r="H98" s="177"/>
      <c r="I98" s="25"/>
      <c r="J98" s="241" t="s">
        <v>128</v>
      </c>
      <c r="K98" s="272">
        <v>31.8</v>
      </c>
      <c r="L98" s="272">
        <f>10.7+6.3</f>
        <v>17</v>
      </c>
      <c r="M98" s="363"/>
      <c r="N98" s="352"/>
      <c r="O98" s="703"/>
      <c r="P98" s="702"/>
      <c r="Q98" s="299"/>
      <c r="R98" s="429"/>
      <c r="S98" s="418"/>
    </row>
    <row r="99" spans="1:22" s="90" customFormat="1" ht="13.5" customHeight="1" x14ac:dyDescent="0.3">
      <c r="A99" s="43"/>
      <c r="B99" s="618"/>
      <c r="C99" s="206"/>
      <c r="D99" s="649"/>
      <c r="E99" s="242"/>
      <c r="F99" s="239"/>
      <c r="G99" s="259"/>
      <c r="H99" s="177"/>
      <c r="I99" s="25"/>
      <c r="J99" s="240" t="s">
        <v>57</v>
      </c>
      <c r="K99" s="272">
        <v>553.6</v>
      </c>
      <c r="L99" s="272">
        <f>120.7-88.1</f>
        <v>32.600000000000009</v>
      </c>
      <c r="M99" s="363"/>
      <c r="N99" s="352"/>
      <c r="O99" s="703"/>
      <c r="P99" s="702"/>
      <c r="Q99" s="299"/>
      <c r="R99" s="429"/>
      <c r="S99" s="418"/>
    </row>
    <row r="100" spans="1:22" s="90" customFormat="1" ht="13.5" customHeight="1" x14ac:dyDescent="0.3">
      <c r="A100" s="43"/>
      <c r="B100" s="618"/>
      <c r="C100" s="206"/>
      <c r="D100" s="649"/>
      <c r="E100" s="242"/>
      <c r="F100" s="260"/>
      <c r="G100" s="261"/>
      <c r="H100" s="177"/>
      <c r="I100" s="233"/>
      <c r="J100" s="251" t="s">
        <v>129</v>
      </c>
      <c r="K100" s="272">
        <v>360.7</v>
      </c>
      <c r="L100" s="272">
        <v>191.8</v>
      </c>
      <c r="M100" s="363"/>
      <c r="N100" s="352"/>
      <c r="O100" s="703"/>
      <c r="P100" s="702"/>
      <c r="Q100" s="299"/>
      <c r="R100" s="429"/>
      <c r="S100" s="418"/>
      <c r="U100" s="99"/>
    </row>
    <row r="101" spans="1:22" s="90" customFormat="1" ht="13.5" customHeight="1" x14ac:dyDescent="0.3">
      <c r="A101" s="43"/>
      <c r="B101" s="618"/>
      <c r="C101" s="206"/>
      <c r="D101" s="649"/>
      <c r="E101" s="242"/>
      <c r="F101" s="260"/>
      <c r="G101" s="261"/>
      <c r="H101" s="177"/>
      <c r="I101" s="25"/>
      <c r="J101" s="88" t="s">
        <v>86</v>
      </c>
      <c r="K101" s="347">
        <v>2689.5</v>
      </c>
      <c r="L101" s="347">
        <v>764.6</v>
      </c>
      <c r="M101" s="361"/>
      <c r="N101" s="351"/>
      <c r="O101" s="703"/>
      <c r="P101" s="702"/>
      <c r="Q101" s="299"/>
      <c r="R101" s="429"/>
      <c r="S101" s="418"/>
    </row>
    <row r="102" spans="1:22" s="90" customFormat="1" ht="13.5" customHeight="1" x14ac:dyDescent="0.3">
      <c r="A102" s="43"/>
      <c r="B102" s="618"/>
      <c r="C102" s="206"/>
      <c r="D102" s="649"/>
      <c r="E102" s="257" t="s">
        <v>117</v>
      </c>
      <c r="F102" s="260"/>
      <c r="G102" s="261"/>
      <c r="H102" s="177"/>
      <c r="I102" s="25"/>
      <c r="J102" s="240" t="s">
        <v>86</v>
      </c>
      <c r="K102" s="272">
        <v>556.29999999999995</v>
      </c>
      <c r="L102" s="272">
        <v>441.7</v>
      </c>
      <c r="M102" s="363"/>
      <c r="N102" s="352"/>
      <c r="O102" s="700" t="s">
        <v>34</v>
      </c>
      <c r="P102" s="701">
        <v>90</v>
      </c>
      <c r="Q102" s="241">
        <v>100</v>
      </c>
      <c r="R102" s="433"/>
      <c r="S102" s="422"/>
    </row>
    <row r="103" spans="1:22" s="90" customFormat="1" ht="13.5" customHeight="1" x14ac:dyDescent="0.3">
      <c r="A103" s="43"/>
      <c r="B103" s="618"/>
      <c r="C103" s="206"/>
      <c r="D103" s="649"/>
      <c r="E103" s="242"/>
      <c r="F103" s="262"/>
      <c r="G103" s="261"/>
      <c r="H103" s="177"/>
      <c r="I103" s="25"/>
      <c r="J103" s="240" t="s">
        <v>55</v>
      </c>
      <c r="K103" s="272">
        <v>576.70000000000005</v>
      </c>
      <c r="L103" s="272">
        <f>839.2-441.7</f>
        <v>397.50000000000006</v>
      </c>
      <c r="M103" s="363"/>
      <c r="N103" s="352"/>
      <c r="O103" s="703"/>
      <c r="P103" s="702"/>
      <c r="Q103" s="299"/>
      <c r="R103" s="429"/>
      <c r="S103" s="418"/>
    </row>
    <row r="104" spans="1:22" s="90" customFormat="1" ht="13.5" customHeight="1" x14ac:dyDescent="0.3">
      <c r="A104" s="43"/>
      <c r="B104" s="618"/>
      <c r="C104" s="206"/>
      <c r="D104" s="649"/>
      <c r="E104" s="242"/>
      <c r="F104" s="263"/>
      <c r="G104" s="261"/>
      <c r="H104" s="177"/>
      <c r="I104" s="25"/>
      <c r="J104" s="240" t="s">
        <v>17</v>
      </c>
      <c r="K104" s="347">
        <f>2888.4-556.3-576.7</f>
        <v>1755.4000000000003</v>
      </c>
      <c r="L104" s="347"/>
      <c r="M104" s="361"/>
      <c r="N104" s="351"/>
      <c r="O104" s="703"/>
      <c r="P104" s="702"/>
      <c r="Q104" s="299"/>
      <c r="R104" s="429"/>
      <c r="S104" s="418"/>
    </row>
    <row r="105" spans="1:22" s="90" customFormat="1" ht="22.9" customHeight="1" x14ac:dyDescent="0.3">
      <c r="A105" s="43"/>
      <c r="B105" s="618"/>
      <c r="C105" s="206"/>
      <c r="D105" s="654" t="s">
        <v>19</v>
      </c>
      <c r="E105" s="1338" t="s">
        <v>61</v>
      </c>
      <c r="F105" s="217" t="s">
        <v>32</v>
      </c>
      <c r="G105" s="161"/>
      <c r="H105" s="626"/>
      <c r="I105" s="1419" t="s">
        <v>142</v>
      </c>
      <c r="J105" s="226" t="s">
        <v>17</v>
      </c>
      <c r="K105" s="70">
        <v>119.8</v>
      </c>
      <c r="L105" s="70"/>
      <c r="M105" s="302"/>
      <c r="N105" s="353"/>
      <c r="O105" s="700" t="s">
        <v>62</v>
      </c>
      <c r="P105" s="701">
        <v>100</v>
      </c>
      <c r="Q105" s="241">
        <v>100</v>
      </c>
      <c r="R105" s="433"/>
      <c r="S105" s="422"/>
    </row>
    <row r="106" spans="1:22" s="90" customFormat="1" ht="22.9" customHeight="1" x14ac:dyDescent="0.3">
      <c r="A106" s="43"/>
      <c r="B106" s="618"/>
      <c r="C106" s="206"/>
      <c r="D106" s="504"/>
      <c r="E106" s="1339"/>
      <c r="F106" s="289"/>
      <c r="G106" s="290"/>
      <c r="H106" s="626"/>
      <c r="I106" s="1420"/>
      <c r="J106" s="226" t="s">
        <v>55</v>
      </c>
      <c r="K106" s="70"/>
      <c r="L106" s="70">
        <v>60.2</v>
      </c>
      <c r="M106" s="302"/>
      <c r="N106" s="353"/>
      <c r="O106" s="703"/>
      <c r="P106" s="702"/>
      <c r="Q106" s="299"/>
      <c r="R106" s="429"/>
      <c r="S106" s="418"/>
    </row>
    <row r="107" spans="1:22" s="90" customFormat="1" ht="27" customHeight="1" x14ac:dyDescent="0.3">
      <c r="A107" s="43"/>
      <c r="B107" s="618"/>
      <c r="C107" s="206"/>
      <c r="D107" s="710" t="s">
        <v>21</v>
      </c>
      <c r="E107" s="1338" t="s">
        <v>150</v>
      </c>
      <c r="F107" s="217" t="s">
        <v>32</v>
      </c>
      <c r="G107" s="161"/>
      <c r="H107" s="625"/>
      <c r="I107" s="303" t="s">
        <v>140</v>
      </c>
      <c r="J107" s="226" t="s">
        <v>17</v>
      </c>
      <c r="K107" s="70">
        <v>13.5</v>
      </c>
      <c r="L107" s="70"/>
      <c r="M107" s="302"/>
      <c r="N107" s="353"/>
      <c r="O107" s="1338" t="s">
        <v>151</v>
      </c>
      <c r="P107" s="623">
        <v>1</v>
      </c>
      <c r="Q107" s="241">
        <v>1</v>
      </c>
      <c r="R107" s="433"/>
      <c r="S107" s="422"/>
    </row>
    <row r="108" spans="1:22" s="90" customFormat="1" ht="27" customHeight="1" x14ac:dyDescent="0.3">
      <c r="A108" s="43"/>
      <c r="B108" s="690"/>
      <c r="C108" s="206"/>
      <c r="D108" s="504"/>
      <c r="E108" s="1339"/>
      <c r="F108" s="289"/>
      <c r="G108" s="290"/>
      <c r="H108" s="692"/>
      <c r="I108" s="693"/>
      <c r="J108" s="694" t="s">
        <v>55</v>
      </c>
      <c r="K108" s="70"/>
      <c r="L108" s="70">
        <v>10.6</v>
      </c>
      <c r="M108" s="302"/>
      <c r="N108" s="353"/>
      <c r="O108" s="1349"/>
      <c r="P108" s="691"/>
      <c r="Q108" s="299"/>
      <c r="R108" s="429"/>
      <c r="S108" s="418"/>
      <c r="V108" s="99"/>
    </row>
    <row r="109" spans="1:22" s="90" customFormat="1" ht="15.65" customHeight="1" x14ac:dyDescent="0.3">
      <c r="A109" s="43"/>
      <c r="B109" s="618"/>
      <c r="C109" s="206"/>
      <c r="D109" s="654" t="s">
        <v>31</v>
      </c>
      <c r="E109" s="652" t="s">
        <v>148</v>
      </c>
      <c r="F109" s="217" t="s">
        <v>32</v>
      </c>
      <c r="G109" s="161"/>
      <c r="H109" s="625"/>
      <c r="I109" s="623" t="s">
        <v>146</v>
      </c>
      <c r="J109" s="100" t="s">
        <v>55</v>
      </c>
      <c r="K109" s="338">
        <v>3</v>
      </c>
      <c r="L109" s="704"/>
      <c r="M109" s="307"/>
      <c r="N109" s="373"/>
      <c r="O109" s="1338" t="s">
        <v>149</v>
      </c>
      <c r="P109" s="701">
        <v>1</v>
      </c>
      <c r="Q109" s="241"/>
      <c r="R109" s="433"/>
      <c r="S109" s="422"/>
      <c r="T109" s="99"/>
    </row>
    <row r="110" spans="1:22" s="90" customFormat="1" ht="15.65" customHeight="1" x14ac:dyDescent="0.3">
      <c r="A110" s="43"/>
      <c r="B110" s="618"/>
      <c r="C110" s="206"/>
      <c r="D110" s="649"/>
      <c r="E110" s="646"/>
      <c r="F110" s="289"/>
      <c r="G110" s="290"/>
      <c r="H110" s="626"/>
      <c r="I110" s="299"/>
      <c r="J110" s="58" t="s">
        <v>35</v>
      </c>
      <c r="K110" s="496"/>
      <c r="L110" s="70"/>
      <c r="M110" s="302"/>
      <c r="N110" s="353">
        <f>1000-1000+4000-2000</f>
        <v>2000</v>
      </c>
      <c r="O110" s="1339"/>
      <c r="P110" s="583"/>
      <c r="Q110" s="250"/>
      <c r="R110" s="446"/>
      <c r="S110" s="445"/>
      <c r="T110" s="99"/>
    </row>
    <row r="111" spans="1:22" s="90" customFormat="1" ht="15.65" customHeight="1" x14ac:dyDescent="0.3">
      <c r="A111" s="43"/>
      <c r="B111" s="695"/>
      <c r="C111" s="206"/>
      <c r="D111" s="698"/>
      <c r="E111" s="697"/>
      <c r="F111" s="289"/>
      <c r="G111" s="290"/>
      <c r="H111" s="696"/>
      <c r="I111" s="299"/>
      <c r="J111" s="22"/>
      <c r="K111" s="337"/>
      <c r="L111" s="71"/>
      <c r="M111" s="300"/>
      <c r="N111" s="372"/>
      <c r="O111" s="85" t="s">
        <v>211</v>
      </c>
      <c r="P111" s="538"/>
      <c r="Q111" s="298"/>
      <c r="R111" s="404"/>
      <c r="S111" s="423">
        <v>35</v>
      </c>
      <c r="T111" s="160"/>
      <c r="U111" s="101"/>
      <c r="V111" s="101"/>
    </row>
    <row r="112" spans="1:22" s="90" customFormat="1" ht="29.25" customHeight="1" x14ac:dyDescent="0.3">
      <c r="A112" s="43"/>
      <c r="B112" s="618"/>
      <c r="C112" s="206"/>
      <c r="D112" s="291" t="s">
        <v>49</v>
      </c>
      <c r="E112" s="292" t="s">
        <v>166</v>
      </c>
      <c r="F112" s="293" t="s">
        <v>32</v>
      </c>
      <c r="G112" s="187"/>
      <c r="H112" s="294"/>
      <c r="I112" s="298" t="s">
        <v>146</v>
      </c>
      <c r="J112" s="251" t="s">
        <v>35</v>
      </c>
      <c r="K112" s="403"/>
      <c r="L112" s="585"/>
      <c r="M112" s="584"/>
      <c r="N112" s="586">
        <v>1834</v>
      </c>
      <c r="O112" s="85" t="s">
        <v>167</v>
      </c>
      <c r="P112" s="441"/>
      <c r="Q112" s="587"/>
      <c r="R112" s="588"/>
      <c r="S112" s="423">
        <v>95</v>
      </c>
    </row>
    <row r="113" spans="1:19" s="90" customFormat="1" ht="43.15" customHeight="1" x14ac:dyDescent="0.3">
      <c r="A113" s="43"/>
      <c r="B113" s="618"/>
      <c r="C113" s="206"/>
      <c r="D113" s="291" t="s">
        <v>73</v>
      </c>
      <c r="E113" s="292" t="s">
        <v>187</v>
      </c>
      <c r="F113" s="293" t="s">
        <v>32</v>
      </c>
      <c r="G113" s="187"/>
      <c r="H113" s="294"/>
      <c r="I113" s="298" t="s">
        <v>146</v>
      </c>
      <c r="J113" s="251" t="s">
        <v>17</v>
      </c>
      <c r="K113" s="273"/>
      <c r="L113" s="273"/>
      <c r="M113" s="499"/>
      <c r="N113" s="372">
        <v>821</v>
      </c>
      <c r="O113" s="85" t="s">
        <v>188</v>
      </c>
      <c r="P113" s="441"/>
      <c r="Q113" s="251"/>
      <c r="R113" s="539"/>
      <c r="S113" s="423">
        <v>1</v>
      </c>
    </row>
    <row r="114" spans="1:19" s="90" customFormat="1" ht="22.9" customHeight="1" x14ac:dyDescent="0.3">
      <c r="A114" s="43"/>
      <c r="B114" s="618"/>
      <c r="C114" s="228"/>
      <c r="D114" s="636" t="s">
        <v>74</v>
      </c>
      <c r="E114" s="1336" t="s">
        <v>190</v>
      </c>
      <c r="F114" s="1343" t="s">
        <v>32</v>
      </c>
      <c r="G114" s="79"/>
      <c r="H114" s="97"/>
      <c r="I114" s="612" t="s">
        <v>146</v>
      </c>
      <c r="J114" s="135" t="s">
        <v>17</v>
      </c>
      <c r="K114" s="488"/>
      <c r="L114" s="540"/>
      <c r="M114" s="541"/>
      <c r="N114" s="542">
        <v>50</v>
      </c>
      <c r="O114" s="1345" t="s">
        <v>186</v>
      </c>
      <c r="P114" s="543"/>
      <c r="Q114" s="544"/>
      <c r="R114" s="433"/>
      <c r="S114" s="422">
        <v>1</v>
      </c>
    </row>
    <row r="115" spans="1:19" s="90" customFormat="1" ht="22.9" customHeight="1" x14ac:dyDescent="0.3">
      <c r="A115" s="43"/>
      <c r="B115" s="618"/>
      <c r="C115" s="228"/>
      <c r="D115" s="637"/>
      <c r="E115" s="1342"/>
      <c r="F115" s="1344"/>
      <c r="G115" s="80"/>
      <c r="H115" s="98"/>
      <c r="I115" s="611"/>
      <c r="J115" s="489"/>
      <c r="K115" s="505"/>
      <c r="L115" s="545"/>
      <c r="M115" s="546"/>
      <c r="N115" s="505"/>
      <c r="O115" s="1346"/>
      <c r="P115" s="250"/>
      <c r="Q115" s="547"/>
      <c r="R115" s="446"/>
      <c r="S115" s="445"/>
    </row>
    <row r="116" spans="1:19" s="90" customFormat="1" ht="29.25" customHeight="1" x14ac:dyDescent="0.3">
      <c r="A116" s="43"/>
      <c r="B116" s="618"/>
      <c r="C116" s="206"/>
      <c r="D116" s="649"/>
      <c r="E116" s="646" t="s">
        <v>126</v>
      </c>
      <c r="F116" s="500"/>
      <c r="G116" s="290"/>
      <c r="H116" s="626"/>
      <c r="I116" s="538" t="s">
        <v>146</v>
      </c>
      <c r="J116" s="88" t="s">
        <v>55</v>
      </c>
      <c r="K116" s="501">
        <v>17.899999999999999</v>
      </c>
      <c r="L116" s="501"/>
      <c r="M116" s="502"/>
      <c r="N116" s="503"/>
      <c r="O116" s="641" t="s">
        <v>127</v>
      </c>
      <c r="P116" s="624">
        <v>100</v>
      </c>
      <c r="Q116" s="299"/>
      <c r="R116" s="429"/>
      <c r="S116" s="418"/>
    </row>
    <row r="117" spans="1:19" s="90" customFormat="1" ht="16.149999999999999" customHeight="1" x14ac:dyDescent="0.3">
      <c r="A117" s="43"/>
      <c r="B117" s="618"/>
      <c r="C117" s="206"/>
      <c r="D117" s="705"/>
      <c r="E117" s="1347" t="s">
        <v>112</v>
      </c>
      <c r="F117" s="706" t="s">
        <v>32</v>
      </c>
      <c r="G117" s="187">
        <v>11010116</v>
      </c>
      <c r="H117" s="708">
        <v>5</v>
      </c>
      <c r="I117" s="538" t="s">
        <v>146</v>
      </c>
      <c r="J117" s="251" t="s">
        <v>55</v>
      </c>
      <c r="K117" s="403">
        <v>51.1</v>
      </c>
      <c r="L117" s="403"/>
      <c r="M117" s="714"/>
      <c r="N117" s="715"/>
      <c r="O117" s="707" t="s">
        <v>36</v>
      </c>
      <c r="P117" s="623">
        <v>100</v>
      </c>
      <c r="Q117" s="241"/>
      <c r="R117" s="433"/>
      <c r="S117" s="422"/>
    </row>
    <row r="118" spans="1:19" s="90" customFormat="1" ht="13.5" customHeight="1" thickBot="1" x14ac:dyDescent="0.35">
      <c r="A118" s="48"/>
      <c r="B118" s="27"/>
      <c r="C118" s="17"/>
      <c r="D118" s="17"/>
      <c r="E118" s="1348"/>
      <c r="F118" s="190"/>
      <c r="G118" s="191"/>
      <c r="H118" s="192"/>
      <c r="I118" s="1496" t="s">
        <v>37</v>
      </c>
      <c r="J118" s="1497"/>
      <c r="K118" s="266">
        <f>SUM(K96:K117)</f>
        <v>7008.2000000000007</v>
      </c>
      <c r="L118" s="266">
        <f>SUM(L96:L117)</f>
        <v>1926.3999999999999</v>
      </c>
      <c r="M118" s="712">
        <f>SUM(M96:M117)</f>
        <v>0</v>
      </c>
      <c r="N118" s="713">
        <f>SUM(N96:N117)</f>
        <v>4705</v>
      </c>
      <c r="O118" s="615"/>
      <c r="P118" s="442"/>
      <c r="Q118" s="498"/>
      <c r="R118" s="434"/>
      <c r="S118" s="424"/>
    </row>
    <row r="119" spans="1:19" s="90" customFormat="1" ht="41.25" customHeight="1" x14ac:dyDescent="0.3">
      <c r="A119" s="46" t="s">
        <v>13</v>
      </c>
      <c r="B119" s="28" t="s">
        <v>21</v>
      </c>
      <c r="C119" s="9" t="s">
        <v>21</v>
      </c>
      <c r="D119" s="84"/>
      <c r="E119" s="29" t="s">
        <v>147</v>
      </c>
      <c r="F119" s="57"/>
      <c r="G119" s="60"/>
      <c r="H119" s="109"/>
      <c r="I119" s="186"/>
      <c r="J119" s="181"/>
      <c r="K119" s="274"/>
      <c r="L119" s="481">
        <f>SUM(L120:L122)+L138+L144</f>
        <v>244.10000000000002</v>
      </c>
      <c r="M119" s="853">
        <f>SUM(M123:M130)+M139+M140+M141+M144</f>
        <v>548.5</v>
      </c>
      <c r="N119" s="483"/>
      <c r="O119" s="115" t="s">
        <v>92</v>
      </c>
      <c r="P119" s="466">
        <v>3</v>
      </c>
      <c r="Q119" s="466"/>
      <c r="R119" s="602"/>
      <c r="S119" s="388"/>
    </row>
    <row r="120" spans="1:19" s="90" customFormat="1" ht="41.25" customHeight="1" x14ac:dyDescent="0.3">
      <c r="A120" s="47"/>
      <c r="B120" s="127"/>
      <c r="C120" s="206"/>
      <c r="D120" s="654" t="s">
        <v>13</v>
      </c>
      <c r="E120" s="641" t="s">
        <v>52</v>
      </c>
      <c r="F120" s="31"/>
      <c r="G120" s="480"/>
      <c r="H120" s="129"/>
      <c r="I120" s="612" t="s">
        <v>140</v>
      </c>
      <c r="J120" s="409" t="s">
        <v>17</v>
      </c>
      <c r="K120" s="484"/>
      <c r="L120" s="484">
        <v>33</v>
      </c>
      <c r="M120" s="548"/>
      <c r="N120" s="549"/>
      <c r="O120" s="112" t="s">
        <v>179</v>
      </c>
      <c r="P120" s="457"/>
      <c r="Q120" s="523">
        <v>100</v>
      </c>
      <c r="R120" s="405"/>
      <c r="S120" s="410"/>
    </row>
    <row r="121" spans="1:19" s="90" customFormat="1" ht="45" customHeight="1" x14ac:dyDescent="0.3">
      <c r="A121" s="47"/>
      <c r="B121" s="127"/>
      <c r="C121" s="206"/>
      <c r="D121" s="649"/>
      <c r="E121" s="196"/>
      <c r="F121" s="31"/>
      <c r="G121" s="629"/>
      <c r="H121" s="129"/>
      <c r="I121" s="33"/>
      <c r="J121" s="183" t="s">
        <v>17</v>
      </c>
      <c r="K121" s="264"/>
      <c r="L121" s="70">
        <f>32.9+5.5</f>
        <v>38.4</v>
      </c>
      <c r="M121" s="302"/>
      <c r="N121" s="264"/>
      <c r="O121" s="8" t="s">
        <v>198</v>
      </c>
      <c r="P121" s="569"/>
      <c r="Q121" s="523">
        <v>100</v>
      </c>
      <c r="R121" s="405"/>
      <c r="S121" s="486"/>
    </row>
    <row r="122" spans="1:19" s="90" customFormat="1" ht="31.5" customHeight="1" x14ac:dyDescent="0.3">
      <c r="A122" s="47"/>
      <c r="B122" s="127"/>
      <c r="C122" s="206"/>
      <c r="D122" s="649"/>
      <c r="E122" s="196"/>
      <c r="F122" s="31"/>
      <c r="G122" s="629"/>
      <c r="H122" s="129"/>
      <c r="I122" s="33"/>
      <c r="J122" s="138" t="s">
        <v>17</v>
      </c>
      <c r="K122" s="264"/>
      <c r="L122" s="70">
        <v>2.2000000000000002</v>
      </c>
      <c r="M122" s="302"/>
      <c r="N122" s="264"/>
      <c r="O122" s="521" t="s">
        <v>192</v>
      </c>
      <c r="P122" s="569"/>
      <c r="Q122" s="523">
        <v>2</v>
      </c>
      <c r="R122" s="405"/>
      <c r="S122" s="486"/>
    </row>
    <row r="123" spans="1:19" s="90" customFormat="1" ht="32.5" customHeight="1" x14ac:dyDescent="0.3">
      <c r="A123" s="47"/>
      <c r="B123" s="127"/>
      <c r="C123" s="206"/>
      <c r="D123" s="649"/>
      <c r="E123" s="641"/>
      <c r="F123" s="31"/>
      <c r="G123" s="480"/>
      <c r="H123" s="129"/>
      <c r="I123" s="604"/>
      <c r="J123" s="409" t="s">
        <v>17</v>
      </c>
      <c r="K123" s="484"/>
      <c r="L123" s="272"/>
      <c r="M123" s="363">
        <v>18.7</v>
      </c>
      <c r="N123" s="352"/>
      <c r="O123" s="113" t="s">
        <v>180</v>
      </c>
      <c r="P123" s="298"/>
      <c r="Q123" s="298"/>
      <c r="R123" s="404">
        <v>100</v>
      </c>
      <c r="S123" s="423"/>
    </row>
    <row r="124" spans="1:19" s="90" customFormat="1" ht="32.5" customHeight="1" x14ac:dyDescent="0.3">
      <c r="A124" s="47"/>
      <c r="B124" s="127"/>
      <c r="C124" s="206"/>
      <c r="D124" s="649"/>
      <c r="E124" s="641"/>
      <c r="F124" s="31"/>
      <c r="G124" s="480"/>
      <c r="H124" s="129"/>
      <c r="I124" s="604"/>
      <c r="J124" s="409" t="s">
        <v>17</v>
      </c>
      <c r="K124" s="485"/>
      <c r="L124" s="70"/>
      <c r="M124" s="307">
        <v>20.5</v>
      </c>
      <c r="N124" s="353"/>
      <c r="O124" s="8" t="s">
        <v>168</v>
      </c>
      <c r="P124" s="298"/>
      <c r="Q124" s="557"/>
      <c r="R124" s="404">
        <v>100</v>
      </c>
      <c r="S124" s="423"/>
    </row>
    <row r="125" spans="1:19" s="90" customFormat="1" ht="39.75" customHeight="1" x14ac:dyDescent="0.3">
      <c r="A125" s="47"/>
      <c r="B125" s="127"/>
      <c r="C125" s="206"/>
      <c r="D125" s="649"/>
      <c r="E125" s="196"/>
      <c r="F125" s="31"/>
      <c r="G125" s="629"/>
      <c r="H125" s="129"/>
      <c r="I125" s="33"/>
      <c r="J125" s="138" t="s">
        <v>17</v>
      </c>
      <c r="K125" s="264"/>
      <c r="L125" s="70"/>
      <c r="M125" s="302">
        <v>24.9</v>
      </c>
      <c r="N125" s="264"/>
      <c r="O125" s="8" t="s">
        <v>193</v>
      </c>
      <c r="P125" s="582"/>
      <c r="Q125" s="557"/>
      <c r="R125" s="404">
        <v>100</v>
      </c>
      <c r="S125" s="558"/>
    </row>
    <row r="126" spans="1:19" s="90" customFormat="1" ht="44.5" customHeight="1" x14ac:dyDescent="0.3">
      <c r="A126" s="47"/>
      <c r="B126" s="127"/>
      <c r="C126" s="206"/>
      <c r="D126" s="649"/>
      <c r="E126" s="641"/>
      <c r="F126" s="854" t="s">
        <v>32</v>
      </c>
      <c r="G126" s="480"/>
      <c r="H126" s="129"/>
      <c r="I126" s="604"/>
      <c r="J126" s="409" t="s">
        <v>17</v>
      </c>
      <c r="K126" s="485"/>
      <c r="L126" s="70"/>
      <c r="M126" s="302">
        <v>225</v>
      </c>
      <c r="N126" s="353"/>
      <c r="O126" s="524" t="s">
        <v>181</v>
      </c>
      <c r="P126" s="467"/>
      <c r="Q126" s="634"/>
      <c r="R126" s="603">
        <v>100</v>
      </c>
      <c r="S126" s="550"/>
    </row>
    <row r="127" spans="1:19" s="90" customFormat="1" ht="41.25" customHeight="1" x14ac:dyDescent="0.3">
      <c r="A127" s="47"/>
      <c r="B127" s="127"/>
      <c r="C127" s="206"/>
      <c r="D127" s="649"/>
      <c r="E127" s="196"/>
      <c r="F127" s="31"/>
      <c r="G127" s="629"/>
      <c r="H127" s="129"/>
      <c r="I127" s="33"/>
      <c r="J127" s="183" t="s">
        <v>17</v>
      </c>
      <c r="K127" s="264"/>
      <c r="L127" s="70"/>
      <c r="M127" s="302">
        <v>9.5</v>
      </c>
      <c r="N127" s="353"/>
      <c r="O127" s="590" t="s">
        <v>182</v>
      </c>
      <c r="P127" s="467"/>
      <c r="Q127" s="634"/>
      <c r="R127" s="405">
        <v>100</v>
      </c>
      <c r="S127" s="486"/>
    </row>
    <row r="128" spans="1:19" s="90" customFormat="1" ht="41.25" customHeight="1" x14ac:dyDescent="0.3">
      <c r="A128" s="47"/>
      <c r="B128" s="127"/>
      <c r="C128" s="206"/>
      <c r="D128" s="649"/>
      <c r="E128" s="196"/>
      <c r="F128" s="31"/>
      <c r="G128" s="629"/>
      <c r="H128" s="129"/>
      <c r="I128" s="33"/>
      <c r="J128" s="183" t="s">
        <v>17</v>
      </c>
      <c r="K128" s="264"/>
      <c r="L128" s="70"/>
      <c r="M128" s="302">
        <v>7</v>
      </c>
      <c r="N128" s="353"/>
      <c r="O128" s="590" t="s">
        <v>183</v>
      </c>
      <c r="P128" s="467"/>
      <c r="Q128" s="634"/>
      <c r="R128" s="405">
        <v>100</v>
      </c>
      <c r="S128" s="486"/>
    </row>
    <row r="129" spans="1:19" s="90" customFormat="1" ht="39" customHeight="1" x14ac:dyDescent="0.3">
      <c r="A129" s="47"/>
      <c r="B129" s="127"/>
      <c r="C129" s="206"/>
      <c r="D129" s="649"/>
      <c r="E129" s="196"/>
      <c r="F129" s="31"/>
      <c r="G129" s="629"/>
      <c r="H129" s="129"/>
      <c r="I129" s="33"/>
      <c r="J129" s="183" t="s">
        <v>17</v>
      </c>
      <c r="K129" s="264"/>
      <c r="L129" s="70"/>
      <c r="M129" s="302">
        <v>3</v>
      </c>
      <c r="N129" s="353"/>
      <c r="O129" s="551" t="s">
        <v>194</v>
      </c>
      <c r="P129" s="457"/>
      <c r="Q129" s="523"/>
      <c r="R129" s="405">
        <v>100</v>
      </c>
      <c r="S129" s="486"/>
    </row>
    <row r="130" spans="1:19" s="90" customFormat="1" ht="30.65" customHeight="1" x14ac:dyDescent="0.3">
      <c r="A130" s="47"/>
      <c r="B130" s="127"/>
      <c r="C130" s="206"/>
      <c r="D130" s="649"/>
      <c r="E130" s="196"/>
      <c r="F130" s="31"/>
      <c r="G130" s="629"/>
      <c r="H130" s="129"/>
      <c r="I130" s="33"/>
      <c r="J130" s="183" t="s">
        <v>17</v>
      </c>
      <c r="K130" s="264"/>
      <c r="L130" s="70"/>
      <c r="M130" s="302">
        <v>9</v>
      </c>
      <c r="N130" s="353"/>
      <c r="O130" s="590" t="s">
        <v>184</v>
      </c>
      <c r="P130" s="457"/>
      <c r="Q130" s="634"/>
      <c r="R130" s="405">
        <v>100</v>
      </c>
      <c r="S130" s="397"/>
    </row>
    <row r="131" spans="1:19" s="90" customFormat="1" ht="45" customHeight="1" x14ac:dyDescent="0.3">
      <c r="A131" s="47"/>
      <c r="B131" s="127"/>
      <c r="C131" s="206"/>
      <c r="D131" s="649"/>
      <c r="E131" s="641"/>
      <c r="F131" s="31"/>
      <c r="G131" s="480"/>
      <c r="H131" s="129"/>
      <c r="I131" s="604"/>
      <c r="J131" s="616" t="s">
        <v>17</v>
      </c>
      <c r="K131" s="485"/>
      <c r="L131" s="70"/>
      <c r="M131" s="302"/>
      <c r="N131" s="353">
        <v>44.5</v>
      </c>
      <c r="O131" s="524" t="s">
        <v>191</v>
      </c>
      <c r="P131" s="457"/>
      <c r="Q131" s="523"/>
      <c r="R131" s="405"/>
      <c r="S131" s="423">
        <v>100</v>
      </c>
    </row>
    <row r="132" spans="1:19" s="90" customFormat="1" ht="28.5" customHeight="1" x14ac:dyDescent="0.3">
      <c r="A132" s="47"/>
      <c r="B132" s="127"/>
      <c r="C132" s="206"/>
      <c r="D132" s="649"/>
      <c r="E132" s="1503"/>
      <c r="F132" s="31"/>
      <c r="G132" s="227">
        <v>11010130</v>
      </c>
      <c r="H132" s="110">
        <v>2</v>
      </c>
      <c r="I132" s="604"/>
      <c r="J132" s="138" t="s">
        <v>17</v>
      </c>
      <c r="K132" s="264">
        <v>58.2</v>
      </c>
      <c r="L132" s="70"/>
      <c r="M132" s="302"/>
      <c r="N132" s="353"/>
      <c r="O132" s="112" t="s">
        <v>104</v>
      </c>
      <c r="P132" s="451">
        <v>100</v>
      </c>
      <c r="Q132" s="451"/>
      <c r="R132" s="607"/>
      <c r="S132" s="389"/>
    </row>
    <row r="133" spans="1:19" s="90" customFormat="1" ht="27.75" customHeight="1" x14ac:dyDescent="0.3">
      <c r="A133" s="47"/>
      <c r="B133" s="127"/>
      <c r="C133" s="206"/>
      <c r="D133" s="649"/>
      <c r="E133" s="1503"/>
      <c r="F133" s="31"/>
      <c r="G133" s="629"/>
      <c r="H133" s="129"/>
      <c r="I133" s="33"/>
      <c r="J133" s="183" t="s">
        <v>17</v>
      </c>
      <c r="K133" s="264">
        <v>20</v>
      </c>
      <c r="L133" s="70"/>
      <c r="M133" s="302"/>
      <c r="N133" s="353"/>
      <c r="O133" s="113" t="s">
        <v>115</v>
      </c>
      <c r="P133" s="457">
        <v>1</v>
      </c>
      <c r="Q133" s="457"/>
      <c r="R133" s="405"/>
      <c r="S133" s="410"/>
    </row>
    <row r="134" spans="1:19" s="90" customFormat="1" ht="16.899999999999999" customHeight="1" x14ac:dyDescent="0.3">
      <c r="A134" s="47"/>
      <c r="B134" s="127"/>
      <c r="C134" s="206"/>
      <c r="D134" s="649"/>
      <c r="E134" s="196"/>
      <c r="F134" s="31"/>
      <c r="G134" s="629"/>
      <c r="H134" s="129"/>
      <c r="I134" s="33"/>
      <c r="J134" s="138" t="s">
        <v>17</v>
      </c>
      <c r="K134" s="264">
        <v>40</v>
      </c>
      <c r="L134" s="70"/>
      <c r="M134" s="302"/>
      <c r="N134" s="353"/>
      <c r="O134" s="113" t="s">
        <v>116</v>
      </c>
      <c r="P134" s="457">
        <v>4</v>
      </c>
      <c r="Q134" s="457"/>
      <c r="R134" s="405"/>
      <c r="S134" s="410"/>
    </row>
    <row r="135" spans="1:19" s="90" customFormat="1" ht="15" customHeight="1" x14ac:dyDescent="0.3">
      <c r="A135" s="47"/>
      <c r="B135" s="127"/>
      <c r="C135" s="206"/>
      <c r="D135" s="649"/>
      <c r="E135" s="196"/>
      <c r="F135" s="31"/>
      <c r="G135" s="629"/>
      <c r="H135" s="129"/>
      <c r="I135" s="33"/>
      <c r="J135" s="183" t="s">
        <v>35</v>
      </c>
      <c r="K135" s="264">
        <v>120.6</v>
      </c>
      <c r="L135" s="70"/>
      <c r="M135" s="302"/>
      <c r="N135" s="353"/>
      <c r="O135" s="1486" t="s">
        <v>125</v>
      </c>
      <c r="P135" s="241">
        <v>100</v>
      </c>
      <c r="Q135" s="241"/>
      <c r="R135" s="433"/>
      <c r="S135" s="422"/>
    </row>
    <row r="136" spans="1:19" s="90" customFormat="1" ht="15" customHeight="1" x14ac:dyDescent="0.3">
      <c r="A136" s="47"/>
      <c r="B136" s="127"/>
      <c r="C136" s="206"/>
      <c r="D136" s="649"/>
      <c r="E136" s="196"/>
      <c r="F136" s="31"/>
      <c r="G136" s="629"/>
      <c r="H136" s="129"/>
      <c r="I136" s="33"/>
      <c r="J136" s="183" t="s">
        <v>17</v>
      </c>
      <c r="K136" s="264">
        <v>13.4</v>
      </c>
      <c r="L136" s="70"/>
      <c r="M136" s="302"/>
      <c r="N136" s="353"/>
      <c r="O136" s="1487"/>
      <c r="P136" s="299"/>
      <c r="Q136" s="299"/>
      <c r="R136" s="429"/>
      <c r="S136" s="418"/>
    </row>
    <row r="137" spans="1:19" s="90" customFormat="1" ht="15" customHeight="1" x14ac:dyDescent="0.3">
      <c r="A137" s="39"/>
      <c r="B137" s="618"/>
      <c r="C137" s="619"/>
      <c r="D137" s="637"/>
      <c r="E137" s="197"/>
      <c r="F137" s="123"/>
      <c r="G137" s="80"/>
      <c r="H137" s="199"/>
      <c r="I137" s="611"/>
      <c r="J137" s="184" t="s">
        <v>18</v>
      </c>
      <c r="K137" s="81">
        <f>SUM(K120:K136)</f>
        <v>252.20000000000002</v>
      </c>
      <c r="L137" s="355">
        <f>SUM(L120:L136)</f>
        <v>73.600000000000009</v>
      </c>
      <c r="M137" s="285">
        <f>SUM(M120:M136)</f>
        <v>317.60000000000002</v>
      </c>
      <c r="N137" s="356">
        <f>SUM(N120:N136)</f>
        <v>44.5</v>
      </c>
      <c r="O137" s="229"/>
      <c r="P137" s="467"/>
      <c r="Q137" s="467"/>
      <c r="R137" s="603"/>
      <c r="S137" s="487"/>
    </row>
    <row r="138" spans="1:19" s="90" customFormat="1" ht="27" customHeight="1" x14ac:dyDescent="0.3">
      <c r="A138" s="43"/>
      <c r="B138" s="618"/>
      <c r="C138" s="228"/>
      <c r="D138" s="683" t="s">
        <v>19</v>
      </c>
      <c r="E138" s="1502" t="s">
        <v>169</v>
      </c>
      <c r="F138" s="179"/>
      <c r="G138" s="79"/>
      <c r="H138" s="97" t="s">
        <v>16</v>
      </c>
      <c r="I138" s="685" t="s">
        <v>140</v>
      </c>
      <c r="J138" s="182" t="s">
        <v>17</v>
      </c>
      <c r="K138" s="348"/>
      <c r="L138" s="218">
        <v>14.9</v>
      </c>
      <c r="M138" s="301"/>
      <c r="N138" s="325"/>
      <c r="O138" s="552" t="s">
        <v>195</v>
      </c>
      <c r="P138" s="406"/>
      <c r="Q138" s="544">
        <v>100</v>
      </c>
      <c r="R138" s="553"/>
      <c r="S138" s="554"/>
    </row>
    <row r="139" spans="1:19" s="90" customFormat="1" ht="30" customHeight="1" x14ac:dyDescent="0.3">
      <c r="A139" s="43"/>
      <c r="B139" s="618"/>
      <c r="C139" s="228"/>
      <c r="D139" s="178"/>
      <c r="E139" s="1503"/>
      <c r="F139" s="207"/>
      <c r="G139" s="67"/>
      <c r="H139" s="86"/>
      <c r="I139" s="33"/>
      <c r="J139" s="182" t="s">
        <v>17</v>
      </c>
      <c r="K139" s="348"/>
      <c r="L139" s="218"/>
      <c r="M139" s="301">
        <v>14.2</v>
      </c>
      <c r="N139" s="325"/>
      <c r="O139" s="555" t="s">
        <v>171</v>
      </c>
      <c r="P139" s="556"/>
      <c r="Q139" s="557"/>
      <c r="R139" s="404">
        <v>100</v>
      </c>
      <c r="S139" s="558"/>
    </row>
    <row r="140" spans="1:19" s="90" customFormat="1" ht="32.5" customHeight="1" x14ac:dyDescent="0.3">
      <c r="A140" s="43"/>
      <c r="B140" s="618"/>
      <c r="C140" s="228"/>
      <c r="D140" s="178"/>
      <c r="E140" s="196"/>
      <c r="F140" s="207"/>
      <c r="G140" s="67"/>
      <c r="H140" s="86"/>
      <c r="I140" s="33"/>
      <c r="J140" s="182" t="s">
        <v>17</v>
      </c>
      <c r="K140" s="348"/>
      <c r="L140" s="218"/>
      <c r="M140" s="301">
        <v>3.5</v>
      </c>
      <c r="N140" s="325"/>
      <c r="O140" s="648" t="s">
        <v>196</v>
      </c>
      <c r="P140" s="559"/>
      <c r="Q140" s="560"/>
      <c r="R140" s="446">
        <v>100</v>
      </c>
      <c r="S140" s="620"/>
    </row>
    <row r="141" spans="1:19" s="90" customFormat="1" ht="29.5" customHeight="1" x14ac:dyDescent="0.3">
      <c r="A141" s="43"/>
      <c r="B141" s="618"/>
      <c r="C141" s="228"/>
      <c r="D141" s="178"/>
      <c r="E141" s="196"/>
      <c r="F141" s="207"/>
      <c r="G141" s="67"/>
      <c r="H141" s="86"/>
      <c r="I141" s="33"/>
      <c r="J141" s="135" t="s">
        <v>17</v>
      </c>
      <c r="K141" s="264"/>
      <c r="L141" s="70"/>
      <c r="M141" s="302">
        <v>36.299999999999997</v>
      </c>
      <c r="N141" s="353"/>
      <c r="O141" s="682" t="s">
        <v>170</v>
      </c>
      <c r="P141" s="562"/>
      <c r="Q141" s="544"/>
      <c r="R141" s="433">
        <v>100</v>
      </c>
      <c r="S141" s="563"/>
    </row>
    <row r="142" spans="1:19" s="90" customFormat="1" ht="28.9" customHeight="1" x14ac:dyDescent="0.3">
      <c r="A142" s="43"/>
      <c r="B142" s="618"/>
      <c r="C142" s="228"/>
      <c r="D142" s="178"/>
      <c r="E142" s="196"/>
      <c r="F142" s="207"/>
      <c r="G142" s="67"/>
      <c r="H142" s="86"/>
      <c r="I142" s="33"/>
      <c r="J142" s="138" t="s">
        <v>17</v>
      </c>
      <c r="K142" s="452"/>
      <c r="L142" s="662"/>
      <c r="M142" s="307"/>
      <c r="N142" s="373">
        <v>10.3</v>
      </c>
      <c r="O142" s="1350" t="s">
        <v>189</v>
      </c>
      <c r="P142" s="561"/>
      <c r="Q142" s="544"/>
      <c r="R142" s="433"/>
      <c r="S142" s="422">
        <v>100</v>
      </c>
    </row>
    <row r="143" spans="1:19" s="90" customFormat="1" ht="15.75" customHeight="1" x14ac:dyDescent="0.3">
      <c r="A143" s="43"/>
      <c r="B143" s="618"/>
      <c r="C143" s="228"/>
      <c r="D143" s="684"/>
      <c r="E143" s="197"/>
      <c r="F143" s="180"/>
      <c r="G143" s="80"/>
      <c r="H143" s="98"/>
      <c r="I143" s="686"/>
      <c r="J143" s="202" t="s">
        <v>18</v>
      </c>
      <c r="K143" s="81">
        <f>SUM(K138:K138)</f>
        <v>0</v>
      </c>
      <c r="L143" s="355">
        <f>SUM(L138:L142)</f>
        <v>14.9</v>
      </c>
      <c r="M143" s="285">
        <f>SUM(M138:M142)</f>
        <v>54</v>
      </c>
      <c r="N143" s="356">
        <f>SUM(N138:N142)</f>
        <v>10.3</v>
      </c>
      <c r="O143" s="1351"/>
      <c r="P143" s="564"/>
      <c r="Q143" s="565"/>
      <c r="R143" s="438"/>
      <c r="S143" s="566"/>
    </row>
    <row r="144" spans="1:19" s="90" customFormat="1" ht="15.75" customHeight="1" x14ac:dyDescent="0.3">
      <c r="A144" s="43"/>
      <c r="B144" s="618"/>
      <c r="C144" s="206"/>
      <c r="D144" s="636" t="s">
        <v>21</v>
      </c>
      <c r="E144" s="1336" t="s">
        <v>134</v>
      </c>
      <c r="F144" s="494"/>
      <c r="G144" s="1550">
        <v>11010100</v>
      </c>
      <c r="H144" s="89">
        <v>6</v>
      </c>
      <c r="I144" s="1415" t="s">
        <v>143</v>
      </c>
      <c r="J144" s="495" t="s">
        <v>17</v>
      </c>
      <c r="K144" s="472">
        <v>137.4</v>
      </c>
      <c r="L144" s="272">
        <v>155.6</v>
      </c>
      <c r="M144" s="363">
        <v>176.9</v>
      </c>
      <c r="N144" s="352">
        <v>176.9</v>
      </c>
      <c r="O144" s="231" t="s">
        <v>185</v>
      </c>
      <c r="P144" s="58">
        <v>6</v>
      </c>
      <c r="Q144" s="58">
        <v>6</v>
      </c>
      <c r="R144" s="436">
        <v>6</v>
      </c>
      <c r="S144" s="426">
        <v>6</v>
      </c>
    </row>
    <row r="145" spans="1:19" s="90" customFormat="1" ht="15.75" customHeight="1" x14ac:dyDescent="0.3">
      <c r="A145" s="43"/>
      <c r="B145" s="618"/>
      <c r="C145" s="206"/>
      <c r="D145" s="178"/>
      <c r="E145" s="1337"/>
      <c r="F145" s="21"/>
      <c r="G145" s="1551"/>
      <c r="H145" s="125"/>
      <c r="I145" s="1367"/>
      <c r="J145" s="23" t="s">
        <v>55</v>
      </c>
      <c r="K145" s="287">
        <v>25</v>
      </c>
      <c r="L145" s="347">
        <v>21.3</v>
      </c>
      <c r="M145" s="361"/>
      <c r="N145" s="351"/>
      <c r="O145" s="201"/>
      <c r="P145" s="22"/>
      <c r="Q145" s="22"/>
      <c r="R145" s="437"/>
      <c r="S145" s="427"/>
    </row>
    <row r="146" spans="1:19" s="90" customFormat="1" ht="15.75" customHeight="1" x14ac:dyDescent="0.3">
      <c r="A146" s="43"/>
      <c r="B146" s="618"/>
      <c r="C146" s="206"/>
      <c r="D146" s="178"/>
      <c r="E146" s="196"/>
      <c r="F146" s="492"/>
      <c r="G146" s="1552"/>
      <c r="H146" s="493"/>
      <c r="I146" s="1396"/>
      <c r="J146" s="202" t="s">
        <v>18</v>
      </c>
      <c r="K146" s="349">
        <f>SUM(K144:K145)</f>
        <v>162.4</v>
      </c>
      <c r="L146" s="357">
        <f t="shared" ref="L146:N146" si="10">SUM(L144:L145)</f>
        <v>176.9</v>
      </c>
      <c r="M146" s="364">
        <f t="shared" si="10"/>
        <v>176.9</v>
      </c>
      <c r="N146" s="358">
        <f t="shared" si="10"/>
        <v>176.9</v>
      </c>
      <c r="O146" s="230"/>
      <c r="P146" s="449"/>
      <c r="Q146" s="449"/>
      <c r="R146" s="415"/>
      <c r="S146" s="409"/>
    </row>
    <row r="147" spans="1:19" s="90" customFormat="1" ht="15.75" customHeight="1" x14ac:dyDescent="0.3">
      <c r="A147" s="43"/>
      <c r="B147" s="618"/>
      <c r="C147" s="228"/>
      <c r="D147" s="1405"/>
      <c r="E147" s="1502" t="s">
        <v>71</v>
      </c>
      <c r="F147" s="207"/>
      <c r="G147" s="67"/>
      <c r="H147" s="86" t="s">
        <v>16</v>
      </c>
      <c r="I147" s="1367" t="s">
        <v>140</v>
      </c>
      <c r="J147" s="134" t="s">
        <v>17</v>
      </c>
      <c r="K147" s="77">
        <v>160</v>
      </c>
      <c r="L147" s="71"/>
      <c r="M147" s="300"/>
      <c r="N147" s="372"/>
      <c r="O147" s="1553" t="s">
        <v>72</v>
      </c>
      <c r="P147" s="299">
        <v>100</v>
      </c>
      <c r="Q147" s="299"/>
      <c r="R147" s="429"/>
      <c r="S147" s="418"/>
    </row>
    <row r="148" spans="1:19" s="90" customFormat="1" ht="12.75" customHeight="1" x14ac:dyDescent="0.3">
      <c r="A148" s="43"/>
      <c r="B148" s="618"/>
      <c r="C148" s="228"/>
      <c r="D148" s="1406"/>
      <c r="E148" s="1503"/>
      <c r="F148" s="207"/>
      <c r="G148" s="67"/>
      <c r="H148" s="86"/>
      <c r="I148" s="1367"/>
      <c r="J148" s="182"/>
      <c r="K148" s="348"/>
      <c r="L148" s="218"/>
      <c r="M148" s="301"/>
      <c r="N148" s="325"/>
      <c r="O148" s="1553"/>
      <c r="P148" s="299"/>
      <c r="Q148" s="299"/>
      <c r="R148" s="429"/>
      <c r="S148" s="418"/>
    </row>
    <row r="149" spans="1:19" s="90" customFormat="1" ht="14.25" customHeight="1" x14ac:dyDescent="0.3">
      <c r="A149" s="43"/>
      <c r="B149" s="618"/>
      <c r="C149" s="228"/>
      <c r="D149" s="1406"/>
      <c r="E149" s="1554"/>
      <c r="F149" s="180"/>
      <c r="G149" s="80"/>
      <c r="H149" s="98"/>
      <c r="I149" s="1396"/>
      <c r="J149" s="185" t="s">
        <v>18</v>
      </c>
      <c r="K149" s="81">
        <f>SUM(K147:K148)</f>
        <v>160</v>
      </c>
      <c r="L149" s="355">
        <f t="shared" ref="L149:N149" si="11">SUM(L147:L148)</f>
        <v>0</v>
      </c>
      <c r="M149" s="285">
        <f t="shared" si="11"/>
        <v>0</v>
      </c>
      <c r="N149" s="356">
        <f t="shared" si="11"/>
        <v>0</v>
      </c>
      <c r="O149" s="1553"/>
      <c r="P149" s="299"/>
      <c r="Q149" s="299"/>
      <c r="R149" s="429"/>
      <c r="S149" s="418"/>
    </row>
    <row r="150" spans="1:19" s="90" customFormat="1" ht="18" customHeight="1" x14ac:dyDescent="0.3">
      <c r="A150" s="43"/>
      <c r="B150" s="618"/>
      <c r="C150" s="228"/>
      <c r="D150" s="1406"/>
      <c r="E150" s="1502" t="s">
        <v>138</v>
      </c>
      <c r="F150" s="179"/>
      <c r="G150" s="79"/>
      <c r="H150" s="97" t="s">
        <v>16</v>
      </c>
      <c r="I150" s="1415" t="s">
        <v>140</v>
      </c>
      <c r="J150" s="138" t="s">
        <v>135</v>
      </c>
      <c r="K150" s="264">
        <v>21.5</v>
      </c>
      <c r="L150" s="70"/>
      <c r="M150" s="302"/>
      <c r="N150" s="353"/>
      <c r="O150" s="1338" t="s">
        <v>137</v>
      </c>
      <c r="P150" s="241">
        <v>2</v>
      </c>
      <c r="Q150" s="241"/>
      <c r="R150" s="433"/>
      <c r="S150" s="422"/>
    </row>
    <row r="151" spans="1:19" s="90" customFormat="1" ht="15.65" customHeight="1" x14ac:dyDescent="0.3">
      <c r="A151" s="43"/>
      <c r="B151" s="618"/>
      <c r="C151" s="228"/>
      <c r="D151" s="1406"/>
      <c r="E151" s="1503"/>
      <c r="F151" s="180"/>
      <c r="G151" s="80"/>
      <c r="H151" s="98"/>
      <c r="I151" s="1396"/>
      <c r="J151" s="185" t="s">
        <v>18</v>
      </c>
      <c r="K151" s="81">
        <f>SUM(K150:K150)</f>
        <v>21.5</v>
      </c>
      <c r="L151" s="355">
        <f>SUM(L150:L150)</f>
        <v>0</v>
      </c>
      <c r="M151" s="285">
        <f>SUM(M150:M150)</f>
        <v>0</v>
      </c>
      <c r="N151" s="356">
        <f>SUM(N150:N150)</f>
        <v>0</v>
      </c>
      <c r="O151" s="1349"/>
      <c r="P151" s="25"/>
      <c r="Q151" s="25"/>
      <c r="R151" s="435"/>
      <c r="S151" s="425"/>
    </row>
    <row r="152" spans="1:19" s="90" customFormat="1" ht="15.65" customHeight="1" x14ac:dyDescent="0.3">
      <c r="A152" s="39"/>
      <c r="B152" s="618"/>
      <c r="C152" s="228"/>
      <c r="D152" s="178"/>
      <c r="E152" s="196"/>
      <c r="F152" s="1488" t="s">
        <v>37</v>
      </c>
      <c r="G152" s="1489"/>
      <c r="H152" s="1489"/>
      <c r="I152" s="1489"/>
      <c r="J152" s="1490"/>
      <c r="K152" s="225">
        <f>+K137+K149+K146+K151</f>
        <v>596.1</v>
      </c>
      <c r="L152" s="359">
        <f>+L137+L149+L146+L151+L143</f>
        <v>265.39999999999998</v>
      </c>
      <c r="M152" s="537">
        <f>+M137+M149+M146+M151+M143</f>
        <v>548.5</v>
      </c>
      <c r="N152" s="506">
        <f>+N137+N149+N146+N151+N143</f>
        <v>231.70000000000002</v>
      </c>
      <c r="O152" s="1339"/>
      <c r="P152" s="245"/>
      <c r="Q152" s="245"/>
      <c r="R152" s="438"/>
      <c r="S152" s="402"/>
    </row>
    <row r="153" spans="1:19" s="90" customFormat="1" ht="15.65" customHeight="1" thickBot="1" x14ac:dyDescent="0.35">
      <c r="A153" s="254" t="s">
        <v>13</v>
      </c>
      <c r="B153" s="255" t="s">
        <v>21</v>
      </c>
      <c r="C153" s="1410" t="s">
        <v>22</v>
      </c>
      <c r="D153" s="1340"/>
      <c r="E153" s="1340"/>
      <c r="F153" s="1340"/>
      <c r="G153" s="1340"/>
      <c r="H153" s="1340"/>
      <c r="I153" s="1340"/>
      <c r="J153" s="1411"/>
      <c r="K153" s="234">
        <f>+K89+K152+K118</f>
        <v>7612.2000000000007</v>
      </c>
      <c r="L153" s="234">
        <f>+L89+L152+L118+L92</f>
        <v>2191.7999999999997</v>
      </c>
      <c r="M153" s="688">
        <f>+M89+M152+M118+M92</f>
        <v>573</v>
      </c>
      <c r="N153" s="687">
        <f>+N89+N152+N118+N92</f>
        <v>4936.7</v>
      </c>
      <c r="O153" s="1491"/>
      <c r="P153" s="1492"/>
      <c r="Q153" s="1492"/>
      <c r="R153" s="1492"/>
      <c r="S153" s="1493"/>
    </row>
    <row r="154" spans="1:19" s="90" customFormat="1" ht="14.25" customHeight="1" thickBot="1" x14ac:dyDescent="0.35">
      <c r="A154" s="49" t="s">
        <v>13</v>
      </c>
      <c r="B154" s="10" t="s">
        <v>31</v>
      </c>
      <c r="C154" s="1412" t="s">
        <v>38</v>
      </c>
      <c r="D154" s="1413"/>
      <c r="E154" s="1413"/>
      <c r="F154" s="1413"/>
      <c r="G154" s="1413"/>
      <c r="H154" s="1413"/>
      <c r="I154" s="1413"/>
      <c r="J154" s="1413"/>
      <c r="K154" s="1413"/>
      <c r="L154" s="1413"/>
      <c r="M154" s="1413"/>
      <c r="N154" s="1413"/>
      <c r="O154" s="1414"/>
      <c r="P154" s="1417"/>
      <c r="Q154" s="1417"/>
      <c r="R154" s="1417"/>
      <c r="S154" s="1418"/>
    </row>
    <row r="155" spans="1:19" s="90" customFormat="1" ht="29.25" customHeight="1" x14ac:dyDescent="0.3">
      <c r="A155" s="38" t="s">
        <v>13</v>
      </c>
      <c r="B155" s="617" t="s">
        <v>31</v>
      </c>
      <c r="C155" s="3" t="s">
        <v>13</v>
      </c>
      <c r="D155" s="657"/>
      <c r="E155" s="1365" t="s">
        <v>83</v>
      </c>
      <c r="F155" s="162"/>
      <c r="G155" s="237">
        <v>11030607</v>
      </c>
      <c r="H155" s="163" t="s">
        <v>16</v>
      </c>
      <c r="I155" s="1377" t="s">
        <v>140</v>
      </c>
      <c r="J155" s="34" t="s">
        <v>17</v>
      </c>
      <c r="K155" s="133">
        <f>756+393.8</f>
        <v>1149.8</v>
      </c>
      <c r="L155" s="490">
        <v>756</v>
      </c>
      <c r="M155" s="317">
        <v>756</v>
      </c>
      <c r="N155" s="491">
        <v>756</v>
      </c>
      <c r="O155" s="1459" t="s">
        <v>65</v>
      </c>
      <c r="P155" s="1548">
        <v>5</v>
      </c>
      <c r="Q155" s="249">
        <v>4</v>
      </c>
      <c r="R155" s="428">
        <v>4</v>
      </c>
      <c r="S155" s="444">
        <v>4</v>
      </c>
    </row>
    <row r="156" spans="1:19" s="90" customFormat="1" ht="15" customHeight="1" thickBot="1" x14ac:dyDescent="0.35">
      <c r="A156" s="41"/>
      <c r="B156" s="640"/>
      <c r="C156" s="5"/>
      <c r="D156" s="594"/>
      <c r="E156" s="1366"/>
      <c r="F156" s="164"/>
      <c r="G156" s="238"/>
      <c r="H156" s="54"/>
      <c r="I156" s="1368"/>
      <c r="J156" s="35" t="s">
        <v>18</v>
      </c>
      <c r="K156" s="131">
        <f>SUM(K155:K155)</f>
        <v>1149.8</v>
      </c>
      <c r="L156" s="280">
        <f t="shared" ref="L156:N156" si="12">SUM(L155:L155)</f>
        <v>756</v>
      </c>
      <c r="M156" s="318">
        <f t="shared" si="12"/>
        <v>756</v>
      </c>
      <c r="N156" s="313">
        <f t="shared" si="12"/>
        <v>756</v>
      </c>
      <c r="O156" s="1504"/>
      <c r="P156" s="1549"/>
      <c r="Q156" s="653"/>
      <c r="R156" s="446"/>
      <c r="S156" s="445"/>
    </row>
    <row r="157" spans="1:19" s="90" customFormat="1" ht="30" customHeight="1" x14ac:dyDescent="0.3">
      <c r="A157" s="38" t="s">
        <v>13</v>
      </c>
      <c r="B157" s="1354" t="s">
        <v>31</v>
      </c>
      <c r="C157" s="1542" t="s">
        <v>19</v>
      </c>
      <c r="D157" s="1544"/>
      <c r="E157" s="1403" t="s">
        <v>84</v>
      </c>
      <c r="F157" s="1546"/>
      <c r="G157" s="628">
        <v>11030701</v>
      </c>
      <c r="H157" s="1482" t="s">
        <v>16</v>
      </c>
      <c r="I157" s="1377" t="s">
        <v>140</v>
      </c>
      <c r="J157" s="19" t="s">
        <v>17</v>
      </c>
      <c r="K157" s="133">
        <v>33.700000000000003</v>
      </c>
      <c r="L157" s="490">
        <v>33.700000000000003</v>
      </c>
      <c r="M157" s="317">
        <v>55</v>
      </c>
      <c r="N157" s="491">
        <v>55</v>
      </c>
      <c r="O157" s="1460" t="s">
        <v>39</v>
      </c>
      <c r="P157" s="56">
        <v>10</v>
      </c>
      <c r="Q157" s="299">
        <v>11</v>
      </c>
      <c r="R157" s="278">
        <v>15</v>
      </c>
      <c r="S157" s="56">
        <v>18</v>
      </c>
    </row>
    <row r="158" spans="1:19" s="90" customFormat="1" ht="15.75" customHeight="1" thickBot="1" x14ac:dyDescent="0.35">
      <c r="A158" s="41"/>
      <c r="B158" s="1355"/>
      <c r="C158" s="1543"/>
      <c r="D158" s="1545"/>
      <c r="E158" s="1404"/>
      <c r="F158" s="1547"/>
      <c r="G158" s="630"/>
      <c r="H158" s="1483"/>
      <c r="I158" s="1368"/>
      <c r="J158" s="18" t="s">
        <v>18</v>
      </c>
      <c r="K158" s="131">
        <f t="shared" ref="K158:N158" si="13">SUM(K157:K157)</f>
        <v>33.700000000000003</v>
      </c>
      <c r="L158" s="280">
        <f t="shared" si="13"/>
        <v>33.700000000000003</v>
      </c>
      <c r="M158" s="318">
        <f t="shared" si="13"/>
        <v>55</v>
      </c>
      <c r="N158" s="313">
        <f t="shared" si="13"/>
        <v>55</v>
      </c>
      <c r="O158" s="1461"/>
      <c r="P158" s="82"/>
      <c r="Q158" s="277"/>
      <c r="R158" s="416"/>
      <c r="S158" s="411"/>
    </row>
    <row r="159" spans="1:19" s="90" customFormat="1" ht="13.5" thickBot="1" x14ac:dyDescent="0.35">
      <c r="A159" s="37" t="s">
        <v>13</v>
      </c>
      <c r="B159" s="10" t="s">
        <v>31</v>
      </c>
      <c r="C159" s="1402" t="s">
        <v>22</v>
      </c>
      <c r="D159" s="1402"/>
      <c r="E159" s="1402"/>
      <c r="F159" s="1402"/>
      <c r="G159" s="1402"/>
      <c r="H159" s="1402"/>
      <c r="I159" s="1402"/>
      <c r="J159" s="1402"/>
      <c r="K159" s="146">
        <f t="shared" ref="K159:N159" si="14">K158+K156</f>
        <v>1183.5</v>
      </c>
      <c r="L159" s="275">
        <f t="shared" si="14"/>
        <v>789.7</v>
      </c>
      <c r="M159" s="319">
        <f t="shared" si="14"/>
        <v>811</v>
      </c>
      <c r="N159" s="314">
        <f t="shared" si="14"/>
        <v>811</v>
      </c>
      <c r="O159" s="1535"/>
      <c r="P159" s="1536"/>
      <c r="Q159" s="1536"/>
      <c r="R159" s="1536"/>
      <c r="S159" s="1537"/>
    </row>
    <row r="160" spans="1:19" s="101" customFormat="1" ht="15.75" customHeight="1" thickBot="1" x14ac:dyDescent="0.35">
      <c r="A160" s="37" t="s">
        <v>13</v>
      </c>
      <c r="B160" s="1538" t="s">
        <v>40</v>
      </c>
      <c r="C160" s="1539"/>
      <c r="D160" s="1539"/>
      <c r="E160" s="1539"/>
      <c r="F160" s="1539"/>
      <c r="G160" s="1539"/>
      <c r="H160" s="1539"/>
      <c r="I160" s="1539"/>
      <c r="J160" s="1539"/>
      <c r="K160" s="188">
        <f>K153+K85+K26+K159</f>
        <v>16151.5</v>
      </c>
      <c r="L160" s="188">
        <f>L153+L85+L26+L159</f>
        <v>10568</v>
      </c>
      <c r="M160" s="320">
        <f>M153+M85+M26+M159</f>
        <v>9173.2000000000007</v>
      </c>
      <c r="N160" s="315">
        <f>N153+N85+N26+N159</f>
        <v>13551.500000000002</v>
      </c>
      <c r="O160" s="50"/>
      <c r="P160" s="1498"/>
      <c r="Q160" s="1498"/>
      <c r="R160" s="1498"/>
      <c r="S160" s="1499"/>
    </row>
    <row r="161" spans="1:19" s="101" customFormat="1" ht="15.75" customHeight="1" thickBot="1" x14ac:dyDescent="0.35">
      <c r="A161" s="304" t="s">
        <v>41</v>
      </c>
      <c r="B161" s="305" t="s">
        <v>42</v>
      </c>
      <c r="C161" s="306"/>
      <c r="D161" s="306"/>
      <c r="E161" s="306"/>
      <c r="F161" s="306"/>
      <c r="G161" s="306"/>
      <c r="H161" s="306"/>
      <c r="I161" s="306"/>
      <c r="J161" s="306"/>
      <c r="K161" s="189">
        <f t="shared" ref="K161:N161" si="15">K160</f>
        <v>16151.5</v>
      </c>
      <c r="L161" s="189">
        <f t="shared" si="15"/>
        <v>10568</v>
      </c>
      <c r="M161" s="321">
        <f t="shared" si="15"/>
        <v>9173.2000000000007</v>
      </c>
      <c r="N161" s="316">
        <f t="shared" si="15"/>
        <v>13551.500000000002</v>
      </c>
      <c r="O161" s="51"/>
      <c r="P161" s="1500"/>
      <c r="Q161" s="1500"/>
      <c r="R161" s="1500"/>
      <c r="S161" s="1501"/>
    </row>
    <row r="162" spans="1:19" s="101" customFormat="1" ht="14.5" customHeight="1" x14ac:dyDescent="0.3">
      <c r="A162" s="1416" t="s">
        <v>197</v>
      </c>
      <c r="B162" s="1416"/>
      <c r="C162" s="1416"/>
      <c r="D162" s="1416"/>
      <c r="E162" s="1416"/>
      <c r="F162" s="1416"/>
      <c r="G162" s="1416"/>
      <c r="H162" s="1416"/>
      <c r="I162" s="1416"/>
      <c r="J162" s="1416"/>
      <c r="K162" s="1416"/>
      <c r="L162" s="1416"/>
      <c r="M162" s="1416"/>
      <c r="N162" s="1416"/>
      <c r="O162" s="1416"/>
      <c r="P162" s="1416"/>
      <c r="Q162" s="1416"/>
      <c r="R162" s="1416"/>
      <c r="S162" s="1416"/>
    </row>
    <row r="163" spans="1:19" s="90" customFormat="1" ht="18.75" customHeight="1" thickBot="1" x14ac:dyDescent="0.35">
      <c r="A163" s="11"/>
      <c r="B163" s="1484" t="s">
        <v>43</v>
      </c>
      <c r="C163" s="1484"/>
      <c r="D163" s="1484"/>
      <c r="E163" s="1484"/>
      <c r="F163" s="1484"/>
      <c r="G163" s="1484"/>
      <c r="H163" s="1484"/>
      <c r="I163" s="1484"/>
      <c r="J163" s="1484"/>
      <c r="K163" s="1484"/>
      <c r="L163" s="1485"/>
      <c r="M163" s="1485"/>
      <c r="N163" s="1485"/>
      <c r="O163" s="13"/>
      <c r="P163" s="124"/>
      <c r="Q163" s="124"/>
      <c r="R163" s="124"/>
      <c r="S163" s="124"/>
    </row>
    <row r="164" spans="1:19" s="90" customFormat="1" ht="51" customHeight="1" x14ac:dyDescent="0.3">
      <c r="A164" s="12"/>
      <c r="B164" s="1533" t="s">
        <v>44</v>
      </c>
      <c r="C164" s="1534"/>
      <c r="D164" s="1534"/>
      <c r="E164" s="1534"/>
      <c r="F164" s="1534"/>
      <c r="G164" s="1534"/>
      <c r="H164" s="1534"/>
      <c r="I164" s="1534"/>
      <c r="J164" s="1534"/>
      <c r="K164" s="256" t="s">
        <v>154</v>
      </c>
      <c r="L164" s="331" t="s">
        <v>153</v>
      </c>
      <c r="M164" s="346" t="s">
        <v>158</v>
      </c>
      <c r="N164" s="322" t="s">
        <v>159</v>
      </c>
      <c r="O164" s="14"/>
      <c r="P164" s="53"/>
      <c r="Q164" s="53"/>
      <c r="R164" s="53"/>
      <c r="S164" s="53"/>
    </row>
    <row r="165" spans="1:19" s="90" customFormat="1" x14ac:dyDescent="0.3">
      <c r="A165" s="12"/>
      <c r="B165" s="1390" t="s">
        <v>45</v>
      </c>
      <c r="C165" s="1391"/>
      <c r="D165" s="1391"/>
      <c r="E165" s="1391"/>
      <c r="F165" s="1391"/>
      <c r="G165" s="1391"/>
      <c r="H165" s="1391"/>
      <c r="I165" s="1391"/>
      <c r="J165" s="1391"/>
      <c r="K165" s="165">
        <f t="shared" ref="K165:N165" si="16">+K166+K172+K173+K174+K175</f>
        <v>15990.8</v>
      </c>
      <c r="L165" s="332">
        <f t="shared" si="16"/>
        <v>10567.999999999996</v>
      </c>
      <c r="M165" s="339">
        <f t="shared" si="16"/>
        <v>9173.1999999999971</v>
      </c>
      <c r="N165" s="323">
        <f t="shared" si="16"/>
        <v>9717.4999999999982</v>
      </c>
      <c r="O165" s="15"/>
      <c r="P165" s="52"/>
      <c r="Q165" s="52"/>
      <c r="R165" s="52"/>
      <c r="S165" s="52"/>
    </row>
    <row r="166" spans="1:19" s="90" customFormat="1" x14ac:dyDescent="0.3">
      <c r="A166" s="12"/>
      <c r="B166" s="1479" t="s">
        <v>132</v>
      </c>
      <c r="C166" s="1480"/>
      <c r="D166" s="1480"/>
      <c r="E166" s="1480"/>
      <c r="F166" s="1480"/>
      <c r="G166" s="1480"/>
      <c r="H166" s="1480"/>
      <c r="I166" s="1480"/>
      <c r="J166" s="1481"/>
      <c r="K166" s="220">
        <f>SUM(K167:K171)</f>
        <v>14542.399999999998</v>
      </c>
      <c r="L166" s="333">
        <f t="shared" ref="L166:N166" si="17">SUM(L167:L171)</f>
        <v>9770.1999999999971</v>
      </c>
      <c r="M166" s="340">
        <f t="shared" si="17"/>
        <v>9173.1999999999971</v>
      </c>
      <c r="N166" s="324">
        <f t="shared" si="17"/>
        <v>9717.4999999999982</v>
      </c>
      <c r="O166" s="15"/>
      <c r="P166" s="52"/>
      <c r="Q166" s="52"/>
      <c r="R166" s="52"/>
      <c r="S166" s="52"/>
    </row>
    <row r="167" spans="1:19" s="90" customFormat="1" ht="12.75" customHeight="1" x14ac:dyDescent="0.3">
      <c r="A167" s="12"/>
      <c r="B167" s="1531" t="s">
        <v>113</v>
      </c>
      <c r="C167" s="1532"/>
      <c r="D167" s="1532"/>
      <c r="E167" s="1532"/>
      <c r="F167" s="1532"/>
      <c r="G167" s="1532"/>
      <c r="H167" s="1532"/>
      <c r="I167" s="1532"/>
      <c r="J167" s="1532"/>
      <c r="K167" s="193">
        <f>SUMIF(J13:J157,"sb",K13:K157)</f>
        <v>10363.399999999998</v>
      </c>
      <c r="L167" s="218">
        <f>SUMIF(J13:J157,"sb",L13:L157)</f>
        <v>8228.3999999999978</v>
      </c>
      <c r="M167" s="301">
        <f>SUMIF(J13:J157,"sb",M13:M157)</f>
        <v>8842.7999999999975</v>
      </c>
      <c r="N167" s="325">
        <f>SUMIF(J13:J157,"sb",N13:N157)</f>
        <v>9387.0999999999985</v>
      </c>
      <c r="O167" s="59"/>
      <c r="P167" s="78"/>
      <c r="Q167" s="78"/>
      <c r="R167" s="78"/>
      <c r="S167" s="78"/>
    </row>
    <row r="168" spans="1:19" s="90" customFormat="1" ht="14.25" customHeight="1" x14ac:dyDescent="0.3">
      <c r="A168" s="12"/>
      <c r="B168" s="1407" t="s">
        <v>100</v>
      </c>
      <c r="C168" s="1408"/>
      <c r="D168" s="1408"/>
      <c r="E168" s="1408"/>
      <c r="F168" s="1408"/>
      <c r="G168" s="1408"/>
      <c r="H168" s="1408"/>
      <c r="I168" s="1408"/>
      <c r="J168" s="1409"/>
      <c r="K168" s="193">
        <f>SUMIF(J13:J157,"sb(es)",K13:K157)</f>
        <v>553.6</v>
      </c>
      <c r="L168" s="218">
        <f>SUMIF(J13:J157,"sb(es)",L13:L157)</f>
        <v>32.600000000000009</v>
      </c>
      <c r="M168" s="301">
        <f>SUMIF(J13:J157,"sb(es)",M13:M157)</f>
        <v>0</v>
      </c>
      <c r="N168" s="325">
        <f>SUMIF(J13:J157,"sb(es)",N13:N157)</f>
        <v>0</v>
      </c>
      <c r="O168" s="59"/>
      <c r="P168" s="78"/>
      <c r="Q168" s="78"/>
      <c r="R168" s="78"/>
      <c r="S168" s="78"/>
    </row>
    <row r="169" spans="1:19" s="90" customFormat="1" ht="15.75" customHeight="1" x14ac:dyDescent="0.3">
      <c r="A169" s="12"/>
      <c r="B169" s="1407" t="s">
        <v>101</v>
      </c>
      <c r="C169" s="1408"/>
      <c r="D169" s="1408"/>
      <c r="E169" s="1408"/>
      <c r="F169" s="1408"/>
      <c r="G169" s="1408"/>
      <c r="H169" s="1408"/>
      <c r="I169" s="1408"/>
      <c r="J169" s="1409"/>
      <c r="K169" s="193">
        <f>SUMIF(J13:J157,"sb(vb)",K13:K157)</f>
        <v>48.8</v>
      </c>
      <c r="L169" s="218">
        <f>SUMIF(J13:J157,"sb(vb)",L13:L157)</f>
        <v>2.8</v>
      </c>
      <c r="M169" s="301">
        <f>SUMIF(J13:J157,"sb(vb)",M13:M157)</f>
        <v>0</v>
      </c>
      <c r="N169" s="325">
        <f>SUMIF(J13:J157,"sb(vb)",N13:N157)</f>
        <v>0</v>
      </c>
      <c r="O169" s="59"/>
      <c r="P169" s="173"/>
      <c r="Q169" s="173"/>
      <c r="R169" s="173"/>
      <c r="S169" s="173"/>
    </row>
    <row r="170" spans="1:19" s="90" customFormat="1" ht="12.75" customHeight="1" x14ac:dyDescent="0.3">
      <c r="A170" s="12"/>
      <c r="B170" s="1540" t="s">
        <v>87</v>
      </c>
      <c r="C170" s="1541"/>
      <c r="D170" s="1541"/>
      <c r="E170" s="1541"/>
      <c r="F170" s="1541"/>
      <c r="G170" s="1541"/>
      <c r="H170" s="1541"/>
      <c r="I170" s="1541"/>
      <c r="J170" s="1541"/>
      <c r="K170" s="193">
        <f>SUMIF(J16:J158,"sb(p)",K16:K158)</f>
        <v>3245.8</v>
      </c>
      <c r="L170" s="218">
        <f>SUMIF(J16:J158,"sb(p)",L16:L158)</f>
        <v>1206.3</v>
      </c>
      <c r="M170" s="301">
        <f>SUMIF(J16:J158,"sb(p)",M16:M158)</f>
        <v>0</v>
      </c>
      <c r="N170" s="325">
        <f>SUMIF(J16:J158,"sb(p)",N16:N158)</f>
        <v>0</v>
      </c>
      <c r="O170" s="59"/>
      <c r="P170" s="173"/>
      <c r="Q170" s="173"/>
      <c r="R170" s="173"/>
      <c r="S170" s="173"/>
    </row>
    <row r="171" spans="1:19" s="90" customFormat="1" ht="15" customHeight="1" x14ac:dyDescent="0.3">
      <c r="A171" s="12"/>
      <c r="B171" s="1407" t="s">
        <v>114</v>
      </c>
      <c r="C171" s="1408"/>
      <c r="D171" s="1408"/>
      <c r="E171" s="1408"/>
      <c r="F171" s="1408"/>
      <c r="G171" s="1408"/>
      <c r="H171" s="1408"/>
      <c r="I171" s="1408"/>
      <c r="J171" s="1408"/>
      <c r="K171" s="147">
        <f>SUMIF(J13:J157,"sb(sp)",K13:K157)</f>
        <v>330.8</v>
      </c>
      <c r="L171" s="334">
        <f>SUMIF(J13:J157,"sb(sp)",L13:L157)</f>
        <v>300.10000000000002</v>
      </c>
      <c r="M171" s="341">
        <f>SUMIF(J13:J157,"sb(sp)",M13:M157)</f>
        <v>330.4</v>
      </c>
      <c r="N171" s="326">
        <f>SUMIF(J13:J157,"sb(sp)",N13:N157)</f>
        <v>330.4</v>
      </c>
      <c r="O171" s="59"/>
      <c r="P171" s="173"/>
      <c r="Q171" s="173"/>
      <c r="R171" s="173"/>
      <c r="S171" s="173"/>
    </row>
    <row r="172" spans="1:19" s="90" customFormat="1" ht="14.25" customHeight="1" x14ac:dyDescent="0.3">
      <c r="A172" s="12"/>
      <c r="B172" s="1393" t="s">
        <v>130</v>
      </c>
      <c r="C172" s="1394"/>
      <c r="D172" s="1394"/>
      <c r="E172" s="1394"/>
      <c r="F172" s="1394"/>
      <c r="G172" s="1394"/>
      <c r="H172" s="1394"/>
      <c r="I172" s="1394"/>
      <c r="J172" s="1395"/>
      <c r="K172" s="219">
        <f>SUMIF(J16:J158,"sb(esl)",K16:K158)</f>
        <v>360.7</v>
      </c>
      <c r="L172" s="335">
        <f>SUMIF(J16:J158,"sb(esl)",L16:L158)</f>
        <v>191.8</v>
      </c>
      <c r="M172" s="342">
        <f>SUMIF(J16:J158,"sb(esl)",M16:M158)</f>
        <v>0</v>
      </c>
      <c r="N172" s="327">
        <f>SUMIF(J16:J158,"sb(esl)",N16:N158)</f>
        <v>0</v>
      </c>
      <c r="O172" s="59"/>
      <c r="P172" s="78"/>
      <c r="Q172" s="78"/>
      <c r="R172" s="78"/>
      <c r="S172" s="78"/>
    </row>
    <row r="173" spans="1:19" s="90" customFormat="1" ht="15.75" customHeight="1" x14ac:dyDescent="0.3">
      <c r="A173" s="12"/>
      <c r="B173" s="1393" t="s">
        <v>131</v>
      </c>
      <c r="C173" s="1394"/>
      <c r="D173" s="1394"/>
      <c r="E173" s="1394"/>
      <c r="F173" s="1394"/>
      <c r="G173" s="1394"/>
      <c r="H173" s="1394"/>
      <c r="I173" s="1394"/>
      <c r="J173" s="1395"/>
      <c r="K173" s="219">
        <f>SUMIF(J16:J158,"sb(vbl)",K16:K158)</f>
        <v>31.8</v>
      </c>
      <c r="L173" s="335">
        <f>SUMIF(J16:J158,"sb(vbl)",L16:L158)</f>
        <v>17</v>
      </c>
      <c r="M173" s="342">
        <f>SUMIF(J16:J158,"sb(vbl)",M16:M158)</f>
        <v>0</v>
      </c>
      <c r="N173" s="327">
        <f>SUMIF(J16:J158,"sb(vbl)",N16:N158)</f>
        <v>0</v>
      </c>
      <c r="O173" s="59"/>
      <c r="P173" s="173"/>
      <c r="Q173" s="173"/>
      <c r="R173" s="173"/>
      <c r="S173" s="173"/>
    </row>
    <row r="174" spans="1:19" s="90" customFormat="1" ht="12.75" customHeight="1" x14ac:dyDescent="0.3">
      <c r="A174" s="12"/>
      <c r="B174" s="1400" t="s">
        <v>56</v>
      </c>
      <c r="C174" s="1401"/>
      <c r="D174" s="1401"/>
      <c r="E174" s="1401"/>
      <c r="F174" s="1401"/>
      <c r="G174" s="1401"/>
      <c r="H174" s="1401"/>
      <c r="I174" s="1401"/>
      <c r="J174" s="1401"/>
      <c r="K174" s="219">
        <f>SUMIF(J13:J157,"sb(l)",K13:K157)</f>
        <v>931.7</v>
      </c>
      <c r="L174" s="335">
        <f>SUMIF(J13:J157,"sb(l)",L13:L157)</f>
        <v>507.2</v>
      </c>
      <c r="M174" s="342">
        <f>SUMIF(J13:J157,"sb(l)",M13:M157)</f>
        <v>0</v>
      </c>
      <c r="N174" s="327">
        <f>SUMIF(J13:J157,"sb(l)",N13:N157)</f>
        <v>0</v>
      </c>
      <c r="O174" s="59"/>
      <c r="P174" s="173"/>
      <c r="Q174" s="173"/>
      <c r="R174" s="173"/>
      <c r="S174" s="173"/>
    </row>
    <row r="175" spans="1:19" s="90" customFormat="1" ht="15" customHeight="1" x14ac:dyDescent="0.3">
      <c r="A175" s="12"/>
      <c r="B175" s="1393" t="s">
        <v>54</v>
      </c>
      <c r="C175" s="1394"/>
      <c r="D175" s="1394"/>
      <c r="E175" s="1394"/>
      <c r="F175" s="1394"/>
      <c r="G175" s="1394"/>
      <c r="H175" s="1394"/>
      <c r="I175" s="1394"/>
      <c r="J175" s="1395"/>
      <c r="K175" s="219">
        <f>SUMIF(J13:J157,"sb(spl)",K13:K157)</f>
        <v>124.2</v>
      </c>
      <c r="L175" s="335">
        <f>SUMIF(J13:J157,"sb(spl)",L13:L157)</f>
        <v>81.8</v>
      </c>
      <c r="M175" s="342">
        <f>SUMIF(J13:J157,"sb(spl)",M13:M157)</f>
        <v>0</v>
      </c>
      <c r="N175" s="327">
        <f>SUMIF(J13:J157,"sb(spl)",N13:N157)</f>
        <v>0</v>
      </c>
      <c r="O175" s="59"/>
      <c r="P175" s="173"/>
      <c r="Q175" s="173"/>
      <c r="R175" s="173"/>
      <c r="S175" s="173"/>
    </row>
    <row r="176" spans="1:19" s="90" customFormat="1" x14ac:dyDescent="0.3">
      <c r="A176" s="12"/>
      <c r="B176" s="1390" t="s">
        <v>46</v>
      </c>
      <c r="C176" s="1391"/>
      <c r="D176" s="1391"/>
      <c r="E176" s="1391"/>
      <c r="F176" s="1391"/>
      <c r="G176" s="1391"/>
      <c r="H176" s="1391"/>
      <c r="I176" s="1391"/>
      <c r="J176" s="1392"/>
      <c r="K176" s="166">
        <f>SUM(K177:K178)</f>
        <v>160.69999999999999</v>
      </c>
      <c r="L176" s="336">
        <f t="shared" ref="L176:N176" si="18">SUM(L177:L178)</f>
        <v>0</v>
      </c>
      <c r="M176" s="343">
        <f t="shared" si="18"/>
        <v>0</v>
      </c>
      <c r="N176" s="328">
        <f t="shared" si="18"/>
        <v>3834</v>
      </c>
      <c r="O176" s="59"/>
      <c r="P176" s="174"/>
      <c r="Q176" s="174"/>
      <c r="R176" s="174"/>
      <c r="S176" s="174"/>
    </row>
    <row r="177" spans="1:22" s="90" customFormat="1" x14ac:dyDescent="0.3">
      <c r="A177" s="12"/>
      <c r="B177" s="1531" t="s">
        <v>47</v>
      </c>
      <c r="C177" s="1532"/>
      <c r="D177" s="1532"/>
      <c r="E177" s="1532"/>
      <c r="F177" s="1532"/>
      <c r="G177" s="1532"/>
      <c r="H177" s="1532"/>
      <c r="I177" s="1532"/>
      <c r="J177" s="1532"/>
      <c r="K177" s="223">
        <f>SUMIF(J13:J157,"lrvb",K13:K157)</f>
        <v>139.19999999999999</v>
      </c>
      <c r="L177" s="337">
        <f>SUMIF(J13:J157,"lrvb",L13:L157)</f>
        <v>0</v>
      </c>
      <c r="M177" s="344">
        <f>SUMIF(J13:J157,"lrvb",M13:M157)</f>
        <v>0</v>
      </c>
      <c r="N177" s="329">
        <f>SUMIF(J13:J157,"lrvb",N13:N157)</f>
        <v>3834</v>
      </c>
      <c r="O177" s="59"/>
      <c r="P177" s="176"/>
      <c r="Q177" s="176"/>
      <c r="R177" s="176"/>
      <c r="S177" s="176"/>
      <c r="V177" s="99"/>
    </row>
    <row r="178" spans="1:22" s="90" customFormat="1" x14ac:dyDescent="0.3">
      <c r="A178" s="12"/>
      <c r="B178" s="1528" t="s">
        <v>136</v>
      </c>
      <c r="C178" s="1529"/>
      <c r="D178" s="1529"/>
      <c r="E178" s="1529"/>
      <c r="F178" s="1529"/>
      <c r="G178" s="1529"/>
      <c r="H178" s="1529"/>
      <c r="I178" s="1529"/>
      <c r="J178" s="1530"/>
      <c r="K178" s="224">
        <f>SUMIF(J16:J158,"Kt",K16:K158)</f>
        <v>21.5</v>
      </c>
      <c r="L178" s="338">
        <f>SUMIF(J16:J158,"Kt",L16:L158)</f>
        <v>0</v>
      </c>
      <c r="M178" s="345">
        <f>SUMIF(J16:J158,"Kt",M16:M158)</f>
        <v>0</v>
      </c>
      <c r="N178" s="330">
        <f>SUMIF(J16:J158,"Kt",N16:N158)</f>
        <v>0</v>
      </c>
      <c r="O178" s="59"/>
      <c r="P178" s="176"/>
      <c r="Q178" s="176"/>
      <c r="R178" s="176"/>
      <c r="S178" s="176"/>
      <c r="V178" s="99"/>
    </row>
    <row r="179" spans="1:22" ht="13.5" thickBot="1" x14ac:dyDescent="0.35">
      <c r="A179" s="16"/>
      <c r="B179" s="1387" t="s">
        <v>18</v>
      </c>
      <c r="C179" s="1388"/>
      <c r="D179" s="1388"/>
      <c r="E179" s="1388"/>
      <c r="F179" s="1388"/>
      <c r="G179" s="1388"/>
      <c r="H179" s="1388"/>
      <c r="I179" s="1388"/>
      <c r="J179" s="1389"/>
      <c r="K179" s="131">
        <f>K176+K165</f>
        <v>16151.5</v>
      </c>
      <c r="L179" s="280">
        <f t="shared" ref="L179:N179" si="19">L176+L165</f>
        <v>10567.999999999996</v>
      </c>
      <c r="M179" s="318">
        <f t="shared" si="19"/>
        <v>9173.1999999999971</v>
      </c>
      <c r="N179" s="313">
        <f t="shared" si="19"/>
        <v>13551.499999999998</v>
      </c>
      <c r="O179" s="59"/>
      <c r="P179" s="175"/>
      <c r="Q179" s="175"/>
      <c r="R179" s="175"/>
      <c r="S179" s="175"/>
    </row>
    <row r="180" spans="1:22" x14ac:dyDescent="0.3">
      <c r="F180" s="169" t="s">
        <v>70</v>
      </c>
      <c r="G180" s="169"/>
      <c r="H180" s="169"/>
      <c r="I180" s="169"/>
      <c r="J180" s="169"/>
    </row>
    <row r="181" spans="1:22" x14ac:dyDescent="0.3">
      <c r="K181" s="716">
        <f>+K179-K161</f>
        <v>0</v>
      </c>
      <c r="L181" s="716">
        <f t="shared" ref="L181:N181" si="20">+L179-L161</f>
        <v>0</v>
      </c>
      <c r="M181" s="716">
        <f t="shared" si="20"/>
        <v>0</v>
      </c>
      <c r="N181" s="716">
        <f t="shared" si="20"/>
        <v>0</v>
      </c>
    </row>
    <row r="182" spans="1:22" x14ac:dyDescent="0.3">
      <c r="J182" s="215"/>
      <c r="K182" s="310"/>
      <c r="L182" s="310"/>
      <c r="M182" s="310"/>
      <c r="N182" s="310"/>
      <c r="O182" s="215"/>
    </row>
    <row r="183" spans="1:22" x14ac:dyDescent="0.3">
      <c r="J183" s="215"/>
      <c r="K183" s="311"/>
      <c r="L183" s="311"/>
      <c r="M183" s="311"/>
      <c r="N183" s="311"/>
      <c r="O183" s="215"/>
    </row>
    <row r="184" spans="1:22" x14ac:dyDescent="0.3">
      <c r="J184" s="216"/>
      <c r="K184" s="312"/>
      <c r="L184" s="312"/>
      <c r="M184" s="312"/>
      <c r="N184" s="312"/>
      <c r="O184" s="215"/>
    </row>
    <row r="185" spans="1:22" x14ac:dyDescent="0.3">
      <c r="J185" s="216"/>
      <c r="K185" s="312"/>
      <c r="L185" s="312"/>
      <c r="M185" s="312"/>
      <c r="N185" s="312"/>
      <c r="O185" s="215"/>
    </row>
    <row r="186" spans="1:22" x14ac:dyDescent="0.3">
      <c r="J186" s="215"/>
      <c r="K186" s="311"/>
      <c r="L186" s="311"/>
      <c r="M186" s="311"/>
      <c r="N186" s="311"/>
      <c r="O186" s="215"/>
    </row>
  </sheetData>
  <mergeCells count="193">
    <mergeCell ref="S57:S58"/>
    <mergeCell ref="R59:R60"/>
    <mergeCell ref="O109:O110"/>
    <mergeCell ref="O81:O82"/>
    <mergeCell ref="I87:I89"/>
    <mergeCell ref="E87:E89"/>
    <mergeCell ref="C86:S86"/>
    <mergeCell ref="O85:S85"/>
    <mergeCell ref="Q70:Q71"/>
    <mergeCell ref="E81:E82"/>
    <mergeCell ref="K56:K57"/>
    <mergeCell ref="Q57:Q58"/>
    <mergeCell ref="R57:R58"/>
    <mergeCell ref="R70:R71"/>
    <mergeCell ref="D56:D57"/>
    <mergeCell ref="E77:E80"/>
    <mergeCell ref="I77:I78"/>
    <mergeCell ref="I73:I74"/>
    <mergeCell ref="E56:E58"/>
    <mergeCell ref="G75:G76"/>
    <mergeCell ref="O75:O76"/>
    <mergeCell ref="O57:O58"/>
    <mergeCell ref="I59:I60"/>
    <mergeCell ref="S59:S60"/>
    <mergeCell ref="B178:J178"/>
    <mergeCell ref="B177:J177"/>
    <mergeCell ref="B164:J164"/>
    <mergeCell ref="B87:B89"/>
    <mergeCell ref="C87:C89"/>
    <mergeCell ref="B171:J171"/>
    <mergeCell ref="O159:S159"/>
    <mergeCell ref="B160:J160"/>
    <mergeCell ref="B170:J170"/>
    <mergeCell ref="B167:J167"/>
    <mergeCell ref="B168:J168"/>
    <mergeCell ref="C157:C158"/>
    <mergeCell ref="D157:D158"/>
    <mergeCell ref="E155:E156"/>
    <mergeCell ref="I155:I156"/>
    <mergeCell ref="F157:F158"/>
    <mergeCell ref="P155:P156"/>
    <mergeCell ref="G144:G146"/>
    <mergeCell ref="I150:I151"/>
    <mergeCell ref="E132:E133"/>
    <mergeCell ref="O147:O149"/>
    <mergeCell ref="E107:E108"/>
    <mergeCell ref="E138:E139"/>
    <mergeCell ref="E147:E149"/>
    <mergeCell ref="I1:S1"/>
    <mergeCell ref="E43:E45"/>
    <mergeCell ref="H20:H22"/>
    <mergeCell ref="C12:S12"/>
    <mergeCell ref="E13:E16"/>
    <mergeCell ref="F13:F16"/>
    <mergeCell ref="G13:G16"/>
    <mergeCell ref="S70:S71"/>
    <mergeCell ref="O7:O8"/>
    <mergeCell ref="G6:G8"/>
    <mergeCell ref="H6:H8"/>
    <mergeCell ref="J6:J8"/>
    <mergeCell ref="K6:K8"/>
    <mergeCell ref="L6:L8"/>
    <mergeCell ref="M6:M8"/>
    <mergeCell ref="N6:N8"/>
    <mergeCell ref="H13:H16"/>
    <mergeCell ref="C26:J26"/>
    <mergeCell ref="C17:C19"/>
    <mergeCell ref="H17:H19"/>
    <mergeCell ref="I17:I19"/>
    <mergeCell ref="F51:F55"/>
    <mergeCell ref="E40:E42"/>
    <mergeCell ref="J56:J57"/>
    <mergeCell ref="Q59:Q60"/>
    <mergeCell ref="A2:S2"/>
    <mergeCell ref="A20:A22"/>
    <mergeCell ref="B166:J166"/>
    <mergeCell ref="H157:H158"/>
    <mergeCell ref="C72:C74"/>
    <mergeCell ref="E72:E74"/>
    <mergeCell ref="F72:F74"/>
    <mergeCell ref="B163:N163"/>
    <mergeCell ref="B165:J165"/>
    <mergeCell ref="O135:O136"/>
    <mergeCell ref="F152:J152"/>
    <mergeCell ref="O153:S153"/>
    <mergeCell ref="O150:O152"/>
    <mergeCell ref="O77:O78"/>
    <mergeCell ref="G72:G74"/>
    <mergeCell ref="O73:O74"/>
    <mergeCell ref="I118:J118"/>
    <mergeCell ref="B157:B158"/>
    <mergeCell ref="P160:S160"/>
    <mergeCell ref="P161:S161"/>
    <mergeCell ref="O157:O158"/>
    <mergeCell ref="E150:E151"/>
    <mergeCell ref="O155:O156"/>
    <mergeCell ref="A3:S3"/>
    <mergeCell ref="A17:A19"/>
    <mergeCell ref="E17:E19"/>
    <mergeCell ref="F17:F19"/>
    <mergeCell ref="B11:S11"/>
    <mergeCell ref="O18:O19"/>
    <mergeCell ref="P21:P22"/>
    <mergeCell ref="A23:A25"/>
    <mergeCell ref="B23:B25"/>
    <mergeCell ref="C23:C25"/>
    <mergeCell ref="E23:E25"/>
    <mergeCell ref="O23:O25"/>
    <mergeCell ref="B17:B19"/>
    <mergeCell ref="R18:R19"/>
    <mergeCell ref="G20:G22"/>
    <mergeCell ref="G17:G19"/>
    <mergeCell ref="O15:O16"/>
    <mergeCell ref="O21:O22"/>
    <mergeCell ref="P5:S5"/>
    <mergeCell ref="A4:S4"/>
    <mergeCell ref="A6:A8"/>
    <mergeCell ref="B6:B8"/>
    <mergeCell ref="P7:S7"/>
    <mergeCell ref="C6:C8"/>
    <mergeCell ref="E6:E8"/>
    <mergeCell ref="F6:F8"/>
    <mergeCell ref="O6:S6"/>
    <mergeCell ref="E28:E29"/>
    <mergeCell ref="E30:E32"/>
    <mergeCell ref="A9:S9"/>
    <mergeCell ref="A10:S10"/>
    <mergeCell ref="I6:I8"/>
    <mergeCell ref="I28:I30"/>
    <mergeCell ref="O26:S26"/>
    <mergeCell ref="C27:S27"/>
    <mergeCell ref="B20:B22"/>
    <mergeCell ref="C20:C22"/>
    <mergeCell ref="E20:E22"/>
    <mergeCell ref="F20:F22"/>
    <mergeCell ref="F23:F25"/>
    <mergeCell ref="G23:G25"/>
    <mergeCell ref="A81:A82"/>
    <mergeCell ref="B81:B82"/>
    <mergeCell ref="C81:C82"/>
    <mergeCell ref="B179:J179"/>
    <mergeCell ref="B176:J176"/>
    <mergeCell ref="B175:J175"/>
    <mergeCell ref="I147:I149"/>
    <mergeCell ref="E93:E94"/>
    <mergeCell ref="G95:G96"/>
    <mergeCell ref="B174:J174"/>
    <mergeCell ref="C159:J159"/>
    <mergeCell ref="E157:E158"/>
    <mergeCell ref="I157:I158"/>
    <mergeCell ref="D147:D149"/>
    <mergeCell ref="D150:D151"/>
    <mergeCell ref="B172:J172"/>
    <mergeCell ref="B173:J173"/>
    <mergeCell ref="B169:J169"/>
    <mergeCell ref="C153:J153"/>
    <mergeCell ref="C154:O154"/>
    <mergeCell ref="I144:I146"/>
    <mergeCell ref="A162:S162"/>
    <mergeCell ref="P154:S154"/>
    <mergeCell ref="I105:I106"/>
    <mergeCell ref="A72:A74"/>
    <mergeCell ref="E75:E76"/>
    <mergeCell ref="H23:H25"/>
    <mergeCell ref="I23:I25"/>
    <mergeCell ref="E36:E38"/>
    <mergeCell ref="E46:E47"/>
    <mergeCell ref="B72:B74"/>
    <mergeCell ref="I75:I76"/>
    <mergeCell ref="E51:E55"/>
    <mergeCell ref="E70:E71"/>
    <mergeCell ref="E59:E60"/>
    <mergeCell ref="D43:D45"/>
    <mergeCell ref="I31:I35"/>
    <mergeCell ref="A83:A84"/>
    <mergeCell ref="B83:B84"/>
    <mergeCell ref="C83:C84"/>
    <mergeCell ref="O83:O84"/>
    <mergeCell ref="B90:B92"/>
    <mergeCell ref="C90:C92"/>
    <mergeCell ref="E90:E92"/>
    <mergeCell ref="I90:I92"/>
    <mergeCell ref="E83:E84"/>
    <mergeCell ref="O91:O92"/>
    <mergeCell ref="E144:E145"/>
    <mergeCell ref="E105:E106"/>
    <mergeCell ref="C85:J85"/>
    <mergeCell ref="E114:E115"/>
    <mergeCell ref="F114:F115"/>
    <mergeCell ref="O114:O115"/>
    <mergeCell ref="E117:E118"/>
    <mergeCell ref="O107:O108"/>
    <mergeCell ref="O142:O143"/>
  </mergeCells>
  <printOptions horizontalCentered="1"/>
  <pageMargins left="0.78740157480314965" right="0.19685039370078741" top="0.39370078740157483" bottom="0.39370078740157483" header="0.31496062992125984" footer="0.31496062992125984"/>
  <pageSetup paperSize="9" scale="61" orientation="portrait" r:id="rId1"/>
  <rowBreaks count="1" manualBreakCount="1">
    <brk id="53"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8"/>
  <sheetViews>
    <sheetView tabSelected="1" zoomScaleNormal="100" zoomScaleSheetLayoutView="100" workbookViewId="0">
      <selection activeCell="A4" sqref="A4:O4"/>
    </sheetView>
  </sheetViews>
  <sheetFormatPr defaultColWidth="9.1796875" defaultRowHeight="13" x14ac:dyDescent="0.3"/>
  <cols>
    <col min="1" max="1" width="3.1796875" style="167" customWidth="1"/>
    <col min="2" max="2" width="3.1796875" style="168" customWidth="1"/>
    <col min="3" max="3" width="3.26953125" style="168" customWidth="1"/>
    <col min="4" max="4" width="28.26953125" style="167" customWidth="1"/>
    <col min="5" max="5" width="3" style="170" customWidth="1"/>
    <col min="6" max="6" width="3" style="171" hidden="1" customWidth="1"/>
    <col min="7" max="7" width="3" style="168" hidden="1" customWidth="1"/>
    <col min="8" max="8" width="8.1796875" style="167" customWidth="1"/>
    <col min="9" max="10" width="7.7265625" style="168" customWidth="1"/>
    <col min="11" max="11" width="10.1796875" style="168" customWidth="1"/>
    <col min="12" max="12" width="25.1796875" style="167" customWidth="1"/>
    <col min="13" max="15" width="6.26953125" style="168" customWidth="1"/>
    <col min="16" max="16384" width="9.1796875" style="167"/>
  </cols>
  <sheetData>
    <row r="1" spans="1:15" ht="34.15" customHeight="1" x14ac:dyDescent="0.3">
      <c r="I1" s="771"/>
      <c r="J1" s="771"/>
      <c r="K1" s="771"/>
      <c r="L1" s="1579" t="s">
        <v>214</v>
      </c>
      <c r="M1" s="1579"/>
      <c r="N1" s="1579"/>
      <c r="O1" s="1579"/>
    </row>
    <row r="2" spans="1:15" ht="31.9" customHeight="1" x14ac:dyDescent="0.3">
      <c r="I2" s="771"/>
      <c r="J2" s="771"/>
      <c r="K2" s="771"/>
      <c r="L2" s="752" t="s">
        <v>215</v>
      </c>
      <c r="M2" s="752"/>
      <c r="N2" s="752"/>
      <c r="O2" s="752"/>
    </row>
    <row r="3" spans="1:15" s="90" customFormat="1" ht="14.5" customHeight="1" x14ac:dyDescent="0.3">
      <c r="A3" s="1478" t="s">
        <v>213</v>
      </c>
      <c r="B3" s="1478"/>
      <c r="C3" s="1478"/>
      <c r="D3" s="1478"/>
      <c r="E3" s="1478"/>
      <c r="F3" s="1478"/>
      <c r="G3" s="1478"/>
      <c r="H3" s="1478"/>
      <c r="I3" s="1478"/>
      <c r="J3" s="1478"/>
      <c r="K3" s="1478"/>
      <c r="L3" s="1478"/>
      <c r="M3" s="1478"/>
      <c r="N3" s="1478"/>
      <c r="O3" s="1478"/>
    </row>
    <row r="4" spans="1:15" s="90" customFormat="1" ht="15" customHeight="1" x14ac:dyDescent="0.3">
      <c r="A4" s="1452" t="s">
        <v>0</v>
      </c>
      <c r="B4" s="1452"/>
      <c r="C4" s="1452"/>
      <c r="D4" s="1452"/>
      <c r="E4" s="1452"/>
      <c r="F4" s="1452"/>
      <c r="G4" s="1452"/>
      <c r="H4" s="1452"/>
      <c r="I4" s="1452"/>
      <c r="J4" s="1452"/>
      <c r="K4" s="1452"/>
      <c r="L4" s="1452"/>
      <c r="M4" s="1452"/>
      <c r="N4" s="1452"/>
      <c r="O4" s="1452"/>
    </row>
    <row r="5" spans="1:15" s="90" customFormat="1" ht="15" customHeight="1" x14ac:dyDescent="0.3">
      <c r="A5" s="1466" t="s">
        <v>1</v>
      </c>
      <c r="B5" s="1466"/>
      <c r="C5" s="1466"/>
      <c r="D5" s="1466"/>
      <c r="E5" s="1466"/>
      <c r="F5" s="1466"/>
      <c r="G5" s="1466"/>
      <c r="H5" s="1466"/>
      <c r="I5" s="1466"/>
      <c r="J5" s="1466"/>
      <c r="K5" s="1466"/>
      <c r="L5" s="1466"/>
      <c r="M5" s="1466"/>
      <c r="N5" s="1466"/>
      <c r="O5" s="1466"/>
    </row>
    <row r="6" spans="1:15" s="90" customFormat="1" ht="19.899999999999999" customHeight="1" thickBot="1" x14ac:dyDescent="0.35">
      <c r="A6" s="1"/>
      <c r="B6" s="1"/>
      <c r="C6" s="1"/>
      <c r="D6" s="126"/>
      <c r="E6" s="117"/>
      <c r="F6" s="61"/>
      <c r="G6" s="126"/>
      <c r="H6" s="126"/>
      <c r="I6" s="2"/>
      <c r="J6" s="2"/>
      <c r="K6" s="2"/>
      <c r="L6" s="253"/>
      <c r="M6" s="1465" t="s">
        <v>216</v>
      </c>
      <c r="N6" s="1465"/>
      <c r="O6" s="1465"/>
    </row>
    <row r="7" spans="1:15" s="90" customFormat="1" ht="18.649999999999999" customHeight="1" x14ac:dyDescent="0.3">
      <c r="A7" s="1467" t="s">
        <v>2</v>
      </c>
      <c r="B7" s="1470" t="s">
        <v>3</v>
      </c>
      <c r="C7" s="1470" t="s">
        <v>4</v>
      </c>
      <c r="D7" s="1421" t="s">
        <v>5</v>
      </c>
      <c r="E7" s="1423" t="s">
        <v>6</v>
      </c>
      <c r="F7" s="1513" t="s">
        <v>68</v>
      </c>
      <c r="G7" s="1516" t="s">
        <v>7</v>
      </c>
      <c r="H7" s="1518" t="s">
        <v>8</v>
      </c>
      <c r="I7" s="1521" t="s">
        <v>237</v>
      </c>
      <c r="J7" s="1521" t="s">
        <v>239</v>
      </c>
      <c r="K7" s="1521" t="s">
        <v>238</v>
      </c>
      <c r="L7" s="1425" t="s">
        <v>9</v>
      </c>
      <c r="M7" s="1426"/>
      <c r="N7" s="1426"/>
      <c r="O7" s="1427"/>
    </row>
    <row r="8" spans="1:15" s="90" customFormat="1" ht="16.5" customHeight="1" x14ac:dyDescent="0.3">
      <c r="A8" s="1468"/>
      <c r="B8" s="1471"/>
      <c r="C8" s="1471"/>
      <c r="D8" s="1422"/>
      <c r="E8" s="1424"/>
      <c r="F8" s="1514"/>
      <c r="G8" s="1517"/>
      <c r="H8" s="1519"/>
      <c r="I8" s="1522"/>
      <c r="J8" s="1522"/>
      <c r="K8" s="1522"/>
      <c r="L8" s="1512" t="s">
        <v>5</v>
      </c>
      <c r="M8" s="1580" t="s">
        <v>10</v>
      </c>
      <c r="N8" s="1581"/>
      <c r="O8" s="1582"/>
    </row>
    <row r="9" spans="1:15" s="90" customFormat="1" ht="87.75" customHeight="1" thickBot="1" x14ac:dyDescent="0.35">
      <c r="A9" s="1469"/>
      <c r="B9" s="1472"/>
      <c r="C9" s="1472"/>
      <c r="D9" s="1422"/>
      <c r="E9" s="1424"/>
      <c r="F9" s="1515"/>
      <c r="G9" s="1517"/>
      <c r="H9" s="1520"/>
      <c r="I9" s="1523"/>
      <c r="J9" s="1523"/>
      <c r="K9" s="1523"/>
      <c r="L9" s="1512"/>
      <c r="M9" s="772" t="s">
        <v>155</v>
      </c>
      <c r="N9" s="448" t="s">
        <v>230</v>
      </c>
      <c r="O9" s="447" t="s">
        <v>156</v>
      </c>
    </row>
    <row r="10" spans="1:15" s="90" customFormat="1" ht="30.65" customHeight="1" x14ac:dyDescent="0.3">
      <c r="A10" s="1430" t="s">
        <v>11</v>
      </c>
      <c r="B10" s="1431"/>
      <c r="C10" s="1431"/>
      <c r="D10" s="1431"/>
      <c r="E10" s="1431"/>
      <c r="F10" s="1431"/>
      <c r="G10" s="1431"/>
      <c r="H10" s="1432"/>
      <c r="I10" s="1432"/>
      <c r="J10" s="1432"/>
      <c r="K10" s="1432"/>
      <c r="L10" s="1431"/>
      <c r="M10" s="1431"/>
      <c r="N10" s="1431"/>
      <c r="O10" s="1433"/>
    </row>
    <row r="11" spans="1:15" s="90" customFormat="1" ht="15.75" customHeight="1" x14ac:dyDescent="0.3">
      <c r="A11" s="1434" t="s">
        <v>12</v>
      </c>
      <c r="B11" s="1435"/>
      <c r="C11" s="1435"/>
      <c r="D11" s="1435"/>
      <c r="E11" s="1435"/>
      <c r="F11" s="1435"/>
      <c r="G11" s="1435"/>
      <c r="H11" s="1435"/>
      <c r="I11" s="1435"/>
      <c r="J11" s="1435"/>
      <c r="K11" s="1435"/>
      <c r="L11" s="1435"/>
      <c r="M11" s="1435"/>
      <c r="N11" s="1435"/>
      <c r="O11" s="1436"/>
    </row>
    <row r="12" spans="1:15" s="90" customFormat="1" ht="31.15" customHeight="1" x14ac:dyDescent="0.3">
      <c r="A12" s="116" t="s">
        <v>13</v>
      </c>
      <c r="B12" s="1453" t="s">
        <v>14</v>
      </c>
      <c r="C12" s="1453"/>
      <c r="D12" s="1453"/>
      <c r="E12" s="1453"/>
      <c r="F12" s="1453"/>
      <c r="G12" s="1453"/>
      <c r="H12" s="1453"/>
      <c r="I12" s="1453"/>
      <c r="J12" s="1453"/>
      <c r="K12" s="1453"/>
      <c r="L12" s="1454"/>
      <c r="M12" s="1454"/>
      <c r="N12" s="1454"/>
      <c r="O12" s="1455"/>
    </row>
    <row r="13" spans="1:15" s="90" customFormat="1" ht="15.75" customHeight="1" thickBot="1" x14ac:dyDescent="0.35">
      <c r="A13" s="736" t="s">
        <v>13</v>
      </c>
      <c r="B13" s="744" t="s">
        <v>13</v>
      </c>
      <c r="C13" s="1507" t="s">
        <v>15</v>
      </c>
      <c r="D13" s="1508"/>
      <c r="E13" s="1508"/>
      <c r="F13" s="1508"/>
      <c r="G13" s="1508"/>
      <c r="H13" s="1508"/>
      <c r="I13" s="1508"/>
      <c r="J13" s="1508"/>
      <c r="K13" s="1508"/>
      <c r="L13" s="1508"/>
      <c r="M13" s="1508"/>
      <c r="N13" s="1508"/>
      <c r="O13" s="1509"/>
    </row>
    <row r="14" spans="1:15" s="90" customFormat="1" ht="30" customHeight="1" x14ac:dyDescent="0.3">
      <c r="A14" s="42" t="s">
        <v>13</v>
      </c>
      <c r="B14" s="102" t="s">
        <v>13</v>
      </c>
      <c r="C14" s="105" t="s">
        <v>13</v>
      </c>
      <c r="D14" s="1358" t="s">
        <v>111</v>
      </c>
      <c r="E14" s="1447"/>
      <c r="F14" s="1450">
        <v>11020306</v>
      </c>
      <c r="G14" s="1374" t="s">
        <v>16</v>
      </c>
      <c r="H14" s="58" t="s">
        <v>17</v>
      </c>
      <c r="I14" s="68">
        <f>120-2</f>
        <v>118</v>
      </c>
      <c r="J14" s="376"/>
      <c r="K14" s="374"/>
      <c r="L14" s="507" t="s">
        <v>160</v>
      </c>
      <c r="M14" s="303">
        <v>1</v>
      </c>
      <c r="N14" s="391"/>
      <c r="O14" s="386"/>
    </row>
    <row r="15" spans="1:15" s="90" customFormat="1" ht="30.65" customHeight="1" x14ac:dyDescent="0.3">
      <c r="A15" s="43"/>
      <c r="B15" s="103"/>
      <c r="C15" s="106"/>
      <c r="D15" s="1382"/>
      <c r="E15" s="1448"/>
      <c r="F15" s="1451"/>
      <c r="G15" s="1375"/>
      <c r="H15" s="58" t="s">
        <v>17</v>
      </c>
      <c r="I15" s="70"/>
      <c r="J15" s="302">
        <v>20.6</v>
      </c>
      <c r="K15" s="353"/>
      <c r="L15" s="1338" t="s">
        <v>161</v>
      </c>
      <c r="M15" s="773"/>
      <c r="N15" s="433">
        <v>1</v>
      </c>
      <c r="O15" s="422"/>
    </row>
    <row r="16" spans="1:15" s="90" customFormat="1" ht="15" customHeight="1" thickBot="1" x14ac:dyDescent="0.35">
      <c r="A16" s="44"/>
      <c r="B16" s="104"/>
      <c r="C16" s="107"/>
      <c r="D16" s="1359"/>
      <c r="E16" s="1449"/>
      <c r="F16" s="1464"/>
      <c r="G16" s="1506"/>
      <c r="H16" s="737" t="s">
        <v>18</v>
      </c>
      <c r="I16" s="280">
        <f>SUM(I14:I15)</f>
        <v>118</v>
      </c>
      <c r="J16" s="318">
        <f>SUM(J15:J15)</f>
        <v>20.6</v>
      </c>
      <c r="K16" s="567">
        <f>SUM(K15:K15)</f>
        <v>0</v>
      </c>
      <c r="L16" s="1366"/>
      <c r="M16" s="575"/>
      <c r="N16" s="416"/>
      <c r="O16" s="411"/>
    </row>
    <row r="17" spans="1:20" s="90" customFormat="1" ht="30" customHeight="1" x14ac:dyDescent="0.3">
      <c r="A17" s="1371" t="s">
        <v>13</v>
      </c>
      <c r="B17" s="1354" t="s">
        <v>13</v>
      </c>
      <c r="C17" s="1444" t="s">
        <v>19</v>
      </c>
      <c r="D17" s="1358" t="s">
        <v>50</v>
      </c>
      <c r="E17" s="1447"/>
      <c r="F17" s="1450">
        <v>11020307</v>
      </c>
      <c r="G17" s="1374" t="s">
        <v>16</v>
      </c>
      <c r="H17" s="6" t="s">
        <v>17</v>
      </c>
      <c r="I17" s="281">
        <v>13</v>
      </c>
      <c r="J17" s="382">
        <v>13</v>
      </c>
      <c r="K17" s="380">
        <v>15</v>
      </c>
      <c r="L17" s="751" t="s">
        <v>20</v>
      </c>
      <c r="M17" s="466">
        <v>21</v>
      </c>
      <c r="N17" s="721">
        <v>22</v>
      </c>
      <c r="O17" s="388">
        <v>23</v>
      </c>
    </row>
    <row r="18" spans="1:20" s="90" customFormat="1" ht="15" customHeight="1" x14ac:dyDescent="0.3">
      <c r="A18" s="1372"/>
      <c r="B18" s="1380"/>
      <c r="C18" s="1445"/>
      <c r="D18" s="1382"/>
      <c r="E18" s="1448"/>
      <c r="F18" s="1451"/>
      <c r="G18" s="1375"/>
      <c r="H18" s="22"/>
      <c r="I18" s="282"/>
      <c r="J18" s="383"/>
      <c r="K18" s="381"/>
      <c r="L18" s="1456" t="s">
        <v>96</v>
      </c>
      <c r="M18" s="451">
        <v>510</v>
      </c>
      <c r="N18" s="1462">
        <v>515</v>
      </c>
      <c r="O18" s="389">
        <v>520</v>
      </c>
    </row>
    <row r="19" spans="1:20" s="90" customFormat="1" ht="15" customHeight="1" thickBot="1" x14ac:dyDescent="0.35">
      <c r="A19" s="1372"/>
      <c r="B19" s="1380"/>
      <c r="C19" s="1445"/>
      <c r="D19" s="1382"/>
      <c r="E19" s="1448"/>
      <c r="F19" s="1451"/>
      <c r="G19" s="1376"/>
      <c r="H19" s="743" t="s">
        <v>18</v>
      </c>
      <c r="I19" s="280">
        <f t="shared" ref="I19:K19" si="0">+I17</f>
        <v>13</v>
      </c>
      <c r="J19" s="318">
        <f t="shared" si="0"/>
        <v>13</v>
      </c>
      <c r="K19" s="313">
        <f t="shared" si="0"/>
        <v>15</v>
      </c>
      <c r="L19" s="1457"/>
      <c r="M19" s="576"/>
      <c r="N19" s="1463"/>
      <c r="O19" s="577"/>
    </row>
    <row r="20" spans="1:20" s="90" customFormat="1" ht="30" customHeight="1" x14ac:dyDescent="0.3">
      <c r="A20" s="1371" t="s">
        <v>13</v>
      </c>
      <c r="B20" s="1354" t="s">
        <v>13</v>
      </c>
      <c r="C20" s="1444" t="s">
        <v>21</v>
      </c>
      <c r="D20" s="1358" t="s">
        <v>75</v>
      </c>
      <c r="E20" s="1447"/>
      <c r="F20" s="1450">
        <v>11020310</v>
      </c>
      <c r="G20" s="1374" t="s">
        <v>16</v>
      </c>
      <c r="H20" s="6" t="s">
        <v>17</v>
      </c>
      <c r="I20" s="281">
        <f>81.1-38.8</f>
        <v>42.3</v>
      </c>
      <c r="J20" s="382">
        <v>81.099999999999994</v>
      </c>
      <c r="K20" s="380">
        <v>81.099999999999994</v>
      </c>
      <c r="L20" s="244" t="s">
        <v>60</v>
      </c>
      <c r="M20" s="774">
        <v>678</v>
      </c>
      <c r="N20" s="775">
        <v>1300</v>
      </c>
      <c r="O20" s="776">
        <v>1300</v>
      </c>
      <c r="R20" s="99"/>
      <c r="S20" s="99"/>
      <c r="T20" s="99"/>
    </row>
    <row r="21" spans="1:20" s="90" customFormat="1" ht="29.25" customHeight="1" x14ac:dyDescent="0.3">
      <c r="A21" s="1372"/>
      <c r="B21" s="1380"/>
      <c r="C21" s="1445"/>
      <c r="D21" s="1382"/>
      <c r="E21" s="1448"/>
      <c r="F21" s="1451"/>
      <c r="G21" s="1375"/>
      <c r="H21" s="449"/>
      <c r="I21" s="218"/>
      <c r="J21" s="301"/>
      <c r="K21" s="325"/>
      <c r="L21" s="1456" t="s">
        <v>76</v>
      </c>
      <c r="M21" s="757">
        <v>21</v>
      </c>
      <c r="N21" s="759">
        <v>21</v>
      </c>
      <c r="O21" s="763">
        <v>21</v>
      </c>
    </row>
    <row r="22" spans="1:20" s="90" customFormat="1" ht="16.149999999999999" customHeight="1" thickBot="1" x14ac:dyDescent="0.35">
      <c r="A22" s="1373"/>
      <c r="B22" s="1355"/>
      <c r="C22" s="1446"/>
      <c r="D22" s="1359"/>
      <c r="E22" s="1449"/>
      <c r="F22" s="1464"/>
      <c r="G22" s="1506"/>
      <c r="H22" s="743" t="s">
        <v>18</v>
      </c>
      <c r="I22" s="280">
        <f t="shared" ref="I22:K22" si="1">SUM(I20:I21)</f>
        <v>42.3</v>
      </c>
      <c r="J22" s="318">
        <f t="shared" si="1"/>
        <v>81.099999999999994</v>
      </c>
      <c r="K22" s="313">
        <f t="shared" si="1"/>
        <v>81.099999999999994</v>
      </c>
      <c r="L22" s="1457"/>
      <c r="M22" s="777"/>
      <c r="N22" s="392"/>
      <c r="O22" s="385"/>
    </row>
    <row r="23" spans="1:20" s="90" customFormat="1" ht="18" customHeight="1" x14ac:dyDescent="0.3">
      <c r="A23" s="1371" t="s">
        <v>13</v>
      </c>
      <c r="B23" s="1354" t="s">
        <v>13</v>
      </c>
      <c r="C23" s="1444" t="s">
        <v>31</v>
      </c>
      <c r="D23" s="1358" t="s">
        <v>89</v>
      </c>
      <c r="E23" s="1447"/>
      <c r="F23" s="1450">
        <v>11020307</v>
      </c>
      <c r="G23" s="1374" t="s">
        <v>16</v>
      </c>
      <c r="H23" s="6" t="s">
        <v>17</v>
      </c>
      <c r="I23" s="68">
        <v>12</v>
      </c>
      <c r="J23" s="382">
        <v>25</v>
      </c>
      <c r="K23" s="380">
        <v>25</v>
      </c>
      <c r="L23" s="1459" t="s">
        <v>63</v>
      </c>
      <c r="M23" s="249">
        <v>1</v>
      </c>
      <c r="N23" s="428">
        <v>2</v>
      </c>
      <c r="O23" s="444">
        <v>2</v>
      </c>
    </row>
    <row r="24" spans="1:20" s="90" customFormat="1" ht="13.5" customHeight="1" x14ac:dyDescent="0.3">
      <c r="A24" s="1372"/>
      <c r="B24" s="1380"/>
      <c r="C24" s="1445"/>
      <c r="D24" s="1382"/>
      <c r="E24" s="1448"/>
      <c r="F24" s="1451"/>
      <c r="G24" s="1375"/>
      <c r="H24" s="22"/>
      <c r="I24" s="282"/>
      <c r="J24" s="383"/>
      <c r="K24" s="381"/>
      <c r="L24" s="1460"/>
      <c r="M24" s="299"/>
      <c r="N24" s="429"/>
      <c r="O24" s="418"/>
      <c r="S24" s="99"/>
    </row>
    <row r="25" spans="1:20" s="90" customFormat="1" ht="15" customHeight="1" thickBot="1" x14ac:dyDescent="0.35">
      <c r="A25" s="1372"/>
      <c r="B25" s="1380"/>
      <c r="C25" s="1445"/>
      <c r="D25" s="1382"/>
      <c r="E25" s="1448"/>
      <c r="F25" s="1451"/>
      <c r="G25" s="1376"/>
      <c r="H25" s="743" t="s">
        <v>18</v>
      </c>
      <c r="I25" s="280">
        <f t="shared" ref="I25:K25" si="2">+I23</f>
        <v>12</v>
      </c>
      <c r="J25" s="318">
        <f t="shared" si="2"/>
        <v>25</v>
      </c>
      <c r="K25" s="313">
        <f t="shared" si="2"/>
        <v>25</v>
      </c>
      <c r="L25" s="1461"/>
      <c r="M25" s="778"/>
      <c r="N25" s="580"/>
      <c r="O25" s="581"/>
    </row>
    <row r="26" spans="1:20" s="90" customFormat="1" ht="15.75" customHeight="1" thickBot="1" x14ac:dyDescent="0.35">
      <c r="A26" s="37" t="s">
        <v>13</v>
      </c>
      <c r="B26" s="10" t="s">
        <v>13</v>
      </c>
      <c r="C26" s="1402" t="s">
        <v>22</v>
      </c>
      <c r="D26" s="1402"/>
      <c r="E26" s="1402"/>
      <c r="F26" s="1402"/>
      <c r="G26" s="1402"/>
      <c r="H26" s="1402"/>
      <c r="I26" s="275">
        <f>I22+I19+I16+I25</f>
        <v>185.3</v>
      </c>
      <c r="J26" s="319">
        <f t="shared" ref="J26:K26" si="3">J22+J19+J16+J25</f>
        <v>139.69999999999999</v>
      </c>
      <c r="K26" s="314">
        <f t="shared" si="3"/>
        <v>121.1</v>
      </c>
      <c r="L26" s="1440"/>
      <c r="M26" s="1440"/>
      <c r="N26" s="1440"/>
      <c r="O26" s="1441"/>
    </row>
    <row r="27" spans="1:20" s="90" customFormat="1" ht="16.5" customHeight="1" thickBot="1" x14ac:dyDescent="0.35">
      <c r="A27" s="37" t="s">
        <v>13</v>
      </c>
      <c r="B27" s="10" t="s">
        <v>19</v>
      </c>
      <c r="C27" s="1442" t="s">
        <v>23</v>
      </c>
      <c r="D27" s="1442"/>
      <c r="E27" s="1442"/>
      <c r="F27" s="1442"/>
      <c r="G27" s="1442"/>
      <c r="H27" s="1442"/>
      <c r="I27" s="1442"/>
      <c r="J27" s="1442"/>
      <c r="K27" s="1442"/>
      <c r="L27" s="1442"/>
      <c r="M27" s="1442"/>
      <c r="N27" s="1442"/>
      <c r="O27" s="1443"/>
    </row>
    <row r="28" spans="1:20" s="90" customFormat="1" ht="14.25" customHeight="1" x14ac:dyDescent="0.3">
      <c r="A28" s="741" t="s">
        <v>13</v>
      </c>
      <c r="B28" s="725" t="s">
        <v>19</v>
      </c>
      <c r="C28" s="4" t="s">
        <v>13</v>
      </c>
      <c r="D28" s="1428" t="s">
        <v>24</v>
      </c>
      <c r="E28" s="118"/>
      <c r="F28" s="62"/>
      <c r="G28" s="789">
        <v>2</v>
      </c>
      <c r="H28" s="791" t="s">
        <v>25</v>
      </c>
      <c r="I28" s="528">
        <v>300.10000000000002</v>
      </c>
      <c r="J28" s="376">
        <v>330.4</v>
      </c>
      <c r="K28" s="528">
        <v>330.4</v>
      </c>
      <c r="L28" s="1358" t="s">
        <v>88</v>
      </c>
      <c r="M28" s="459">
        <v>3144</v>
      </c>
      <c r="N28" s="413">
        <v>2450</v>
      </c>
      <c r="O28" s="407">
        <v>2500</v>
      </c>
    </row>
    <row r="29" spans="1:20" s="90" customFormat="1" ht="14.25" customHeight="1" x14ac:dyDescent="0.3">
      <c r="A29" s="747"/>
      <c r="B29" s="726"/>
      <c r="C29" s="4"/>
      <c r="D29" s="1429"/>
      <c r="E29" s="118"/>
      <c r="F29" s="63"/>
      <c r="G29" s="784"/>
      <c r="H29" s="136" t="s">
        <v>48</v>
      </c>
      <c r="I29" s="264">
        <v>81.8</v>
      </c>
      <c r="J29" s="302"/>
      <c r="K29" s="264"/>
      <c r="L29" s="1382"/>
      <c r="M29" s="460"/>
      <c r="N29" s="414"/>
      <c r="O29" s="408"/>
    </row>
    <row r="30" spans="1:20" s="90" customFormat="1" ht="14.25" customHeight="1" x14ac:dyDescent="0.3">
      <c r="A30" s="770"/>
      <c r="B30" s="761"/>
      <c r="C30" s="4"/>
      <c r="D30" s="765"/>
      <c r="E30" s="118"/>
      <c r="F30" s="63"/>
      <c r="G30" s="784"/>
      <c r="H30" s="136" t="s">
        <v>17</v>
      </c>
      <c r="I30" s="264">
        <f>4925.1+21.6-3.2+12+5+24.3+19.2</f>
        <v>5004.0000000000009</v>
      </c>
      <c r="J30" s="302">
        <v>5071.5</v>
      </c>
      <c r="K30" s="264">
        <v>5081.7</v>
      </c>
      <c r="L30" s="1381" t="s">
        <v>221</v>
      </c>
      <c r="M30" s="461">
        <v>958</v>
      </c>
      <c r="N30" s="758">
        <v>944</v>
      </c>
      <c r="O30" s="509">
        <v>944</v>
      </c>
    </row>
    <row r="31" spans="1:20" s="90" customFormat="1" ht="14.25" customHeight="1" x14ac:dyDescent="0.3">
      <c r="A31" s="770"/>
      <c r="B31" s="761"/>
      <c r="C31" s="4"/>
      <c r="D31" s="765"/>
      <c r="E31" s="118"/>
      <c r="F31" s="63"/>
      <c r="G31" s="784"/>
      <c r="H31" s="836"/>
      <c r="I31" s="837"/>
      <c r="J31" s="838"/>
      <c r="K31" s="837"/>
      <c r="L31" s="1583"/>
      <c r="M31" s="462"/>
      <c r="N31" s="512"/>
      <c r="O31" s="513"/>
    </row>
    <row r="32" spans="1:20" s="90" customFormat="1" ht="39.75" customHeight="1" x14ac:dyDescent="0.3">
      <c r="A32" s="770"/>
      <c r="B32" s="761"/>
      <c r="C32" s="4"/>
      <c r="D32" s="765"/>
      <c r="E32" s="118"/>
      <c r="F32" s="63"/>
      <c r="G32" s="784"/>
      <c r="H32" s="836"/>
      <c r="I32" s="837"/>
      <c r="J32" s="838"/>
      <c r="K32" s="837"/>
      <c r="L32" s="551" t="s">
        <v>222</v>
      </c>
      <c r="M32" s="462">
        <v>20575</v>
      </c>
      <c r="N32" s="512">
        <v>19034</v>
      </c>
      <c r="O32" s="513">
        <v>19034</v>
      </c>
    </row>
    <row r="33" spans="1:15" s="90" customFormat="1" ht="30.75" customHeight="1" x14ac:dyDescent="0.3">
      <c r="A33" s="770"/>
      <c r="B33" s="1126"/>
      <c r="C33" s="4"/>
      <c r="D33" s="1379" t="s">
        <v>26</v>
      </c>
      <c r="E33" s="118"/>
      <c r="F33" s="63"/>
      <c r="G33" s="784"/>
      <c r="H33" s="836"/>
      <c r="I33" s="837"/>
      <c r="J33" s="838"/>
      <c r="K33" s="837"/>
      <c r="L33" s="551" t="s">
        <v>262</v>
      </c>
      <c r="M33" s="456">
        <v>1</v>
      </c>
      <c r="N33" s="400"/>
      <c r="O33" s="401"/>
    </row>
    <row r="34" spans="1:15" s="90" customFormat="1" ht="20.25" customHeight="1" x14ac:dyDescent="0.3">
      <c r="A34" s="770"/>
      <c r="B34" s="1126"/>
      <c r="C34" s="4"/>
      <c r="D34" s="1379"/>
      <c r="E34" s="118"/>
      <c r="F34" s="63"/>
      <c r="G34" s="784"/>
      <c r="H34" s="836"/>
      <c r="I34" s="837"/>
      <c r="J34" s="838"/>
      <c r="K34" s="837"/>
      <c r="L34" s="1151" t="s">
        <v>97</v>
      </c>
      <c r="M34" s="460">
        <v>5</v>
      </c>
      <c r="N34" s="414"/>
      <c r="O34" s="513"/>
    </row>
    <row r="35" spans="1:15" s="90" customFormat="1" ht="28.9" customHeight="1" x14ac:dyDescent="0.3">
      <c r="A35" s="747"/>
      <c r="B35" s="726"/>
      <c r="C35" s="4"/>
      <c r="D35" s="1379"/>
      <c r="E35" s="118"/>
      <c r="F35" s="83">
        <v>11030201</v>
      </c>
      <c r="G35" s="784"/>
      <c r="H35" s="1152" t="s">
        <v>217</v>
      </c>
      <c r="I35" s="787">
        <f>1705.5+21.6</f>
        <v>1727.1</v>
      </c>
      <c r="J35" s="781">
        <f>1739.5+85</f>
        <v>1824.5</v>
      </c>
      <c r="K35" s="787">
        <v>1774</v>
      </c>
      <c r="L35" s="450" t="s">
        <v>162</v>
      </c>
      <c r="M35" s="461"/>
      <c r="N35" s="758">
        <v>1</v>
      </c>
      <c r="O35" s="401"/>
    </row>
    <row r="36" spans="1:15" s="90" customFormat="1" ht="29.25" customHeight="1" x14ac:dyDescent="0.3">
      <c r="A36" s="747"/>
      <c r="B36" s="726"/>
      <c r="C36" s="4"/>
      <c r="D36" s="1525"/>
      <c r="E36" s="118"/>
      <c r="F36" s="63"/>
      <c r="G36" s="784"/>
      <c r="H36" s="1152"/>
      <c r="I36" s="787"/>
      <c r="J36" s="781"/>
      <c r="K36" s="787"/>
      <c r="L36" s="450" t="s">
        <v>163</v>
      </c>
      <c r="M36" s="456"/>
      <c r="N36" s="400">
        <v>1</v>
      </c>
      <c r="O36" s="509"/>
    </row>
    <row r="37" spans="1:15" s="90" customFormat="1" ht="27.65" customHeight="1" x14ac:dyDescent="0.3">
      <c r="A37" s="747"/>
      <c r="B37" s="726"/>
      <c r="C37" s="4"/>
      <c r="D37" s="764" t="s">
        <v>27</v>
      </c>
      <c r="E37" s="118"/>
      <c r="F37" s="63">
        <v>11030301</v>
      </c>
      <c r="G37" s="784"/>
      <c r="H37" s="1152" t="s">
        <v>217</v>
      </c>
      <c r="I37" s="787">
        <f>732.1-3.2</f>
        <v>728.9</v>
      </c>
      <c r="J37" s="781">
        <v>758.7</v>
      </c>
      <c r="K37" s="787">
        <v>773.8</v>
      </c>
      <c r="L37" s="450"/>
      <c r="M37" s="792"/>
      <c r="N37" s="515"/>
      <c r="O37" s="793"/>
    </row>
    <row r="38" spans="1:15" s="90" customFormat="1" ht="29.25" customHeight="1" x14ac:dyDescent="0.3">
      <c r="A38" s="747"/>
      <c r="B38" s="726"/>
      <c r="C38" s="4"/>
      <c r="D38" s="1134" t="s">
        <v>28</v>
      </c>
      <c r="E38" s="118"/>
      <c r="F38" s="64">
        <v>11030401</v>
      </c>
      <c r="G38" s="784"/>
      <c r="H38" s="1152" t="s">
        <v>217</v>
      </c>
      <c r="I38" s="787">
        <f>549.9+12</f>
        <v>561.9</v>
      </c>
      <c r="J38" s="781">
        <v>574.79999999999995</v>
      </c>
      <c r="K38" s="787">
        <v>586.29999999999995</v>
      </c>
      <c r="L38" s="450" t="s">
        <v>259</v>
      </c>
      <c r="M38" s="456">
        <v>1</v>
      </c>
      <c r="N38" s="400"/>
      <c r="O38" s="401"/>
    </row>
    <row r="39" spans="1:15" s="90" customFormat="1" ht="29.25" customHeight="1" x14ac:dyDescent="0.3">
      <c r="A39" s="747"/>
      <c r="B39" s="726"/>
      <c r="C39" s="4"/>
      <c r="D39" s="762" t="s">
        <v>29</v>
      </c>
      <c r="E39" s="118"/>
      <c r="F39" s="235">
        <v>11030501</v>
      </c>
      <c r="G39" s="784"/>
      <c r="H39" s="1152" t="s">
        <v>217</v>
      </c>
      <c r="I39" s="787">
        <v>110</v>
      </c>
      <c r="J39" s="783"/>
      <c r="K39" s="788"/>
      <c r="L39" s="754"/>
      <c r="M39" s="595"/>
      <c r="N39" s="663"/>
      <c r="O39" s="664"/>
    </row>
    <row r="40" spans="1:15" s="90" customFormat="1" ht="28.15" customHeight="1" x14ac:dyDescent="0.3">
      <c r="A40" s="747"/>
      <c r="B40" s="726"/>
      <c r="C40" s="4"/>
      <c r="D40" s="764" t="s">
        <v>53</v>
      </c>
      <c r="E40" s="119"/>
      <c r="F40" s="64">
        <v>11030801</v>
      </c>
      <c r="G40" s="784"/>
      <c r="H40" s="1152" t="s">
        <v>217</v>
      </c>
      <c r="I40" s="787">
        <f>825.1-4.1+9.1</f>
        <v>830.1</v>
      </c>
      <c r="J40" s="781">
        <v>870.9</v>
      </c>
      <c r="K40" s="787">
        <v>888.3</v>
      </c>
      <c r="L40" s="232" t="s">
        <v>212</v>
      </c>
      <c r="M40" s="240">
        <v>1</v>
      </c>
      <c r="N40" s="436"/>
      <c r="O40" s="518"/>
    </row>
    <row r="41" spans="1:15" s="90" customFormat="1" ht="29.25" customHeight="1" x14ac:dyDescent="0.3">
      <c r="A41" s="747"/>
      <c r="B41" s="726"/>
      <c r="C41" s="4"/>
      <c r="D41" s="730"/>
      <c r="E41" s="118"/>
      <c r="F41" s="83"/>
      <c r="G41" s="784"/>
      <c r="H41" s="1152"/>
      <c r="I41" s="787"/>
      <c r="J41" s="781"/>
      <c r="K41" s="787"/>
      <c r="L41" s="232" t="s">
        <v>164</v>
      </c>
      <c r="M41" s="464"/>
      <c r="N41" s="398">
        <v>1</v>
      </c>
      <c r="O41" s="426"/>
    </row>
    <row r="42" spans="1:15" s="90" customFormat="1" ht="17.5" customHeight="1" x14ac:dyDescent="0.3">
      <c r="A42" s="747"/>
      <c r="B42" s="726"/>
      <c r="C42" s="4"/>
      <c r="D42" s="1381" t="s">
        <v>51</v>
      </c>
      <c r="E42" s="1524"/>
      <c r="F42" s="728">
        <v>11020101</v>
      </c>
      <c r="G42" s="784"/>
      <c r="H42" s="1329" t="s">
        <v>217</v>
      </c>
      <c r="I42" s="787">
        <f>747.5+24.3+19.2</f>
        <v>791</v>
      </c>
      <c r="J42" s="781">
        <v>834.1</v>
      </c>
      <c r="K42" s="787">
        <v>850.8</v>
      </c>
      <c r="L42" s="8" t="s">
        <v>93</v>
      </c>
      <c r="M42" s="456">
        <v>18</v>
      </c>
      <c r="N42" s="400">
        <v>18</v>
      </c>
      <c r="O42" s="401">
        <v>18</v>
      </c>
    </row>
    <row r="43" spans="1:15" s="90" customFormat="1" ht="17.5" customHeight="1" x14ac:dyDescent="0.3">
      <c r="A43" s="747"/>
      <c r="B43" s="726"/>
      <c r="C43" s="4"/>
      <c r="D43" s="1382"/>
      <c r="E43" s="1524"/>
      <c r="F43" s="729"/>
      <c r="G43" s="784"/>
      <c r="H43" s="1230"/>
      <c r="I43" s="1332"/>
      <c r="J43" s="783"/>
      <c r="K43" s="788"/>
      <c r="L43" s="521" t="s">
        <v>165</v>
      </c>
      <c r="M43" s="456">
        <v>7</v>
      </c>
      <c r="N43" s="400"/>
      <c r="O43" s="401"/>
    </row>
    <row r="44" spans="1:15" s="90" customFormat="1" ht="31.15" customHeight="1" x14ac:dyDescent="0.3">
      <c r="A44" s="747"/>
      <c r="B44" s="726"/>
      <c r="C44" s="4"/>
      <c r="D44" s="1382"/>
      <c r="E44" s="1524"/>
      <c r="F44" s="729"/>
      <c r="G44" s="784"/>
      <c r="H44" s="1230"/>
      <c r="I44" s="1109"/>
      <c r="J44" s="781"/>
      <c r="K44" s="787"/>
      <c r="L44" s="521" t="s">
        <v>223</v>
      </c>
      <c r="M44" s="456">
        <v>5</v>
      </c>
      <c r="N44" s="400"/>
      <c r="O44" s="401"/>
    </row>
    <row r="45" spans="1:15" s="90" customFormat="1" ht="18.649999999999999" customHeight="1" x14ac:dyDescent="0.3">
      <c r="A45" s="747"/>
      <c r="B45" s="726"/>
      <c r="C45" s="4"/>
      <c r="D45" s="1382"/>
      <c r="E45" s="1524"/>
      <c r="F45" s="729"/>
      <c r="G45" s="784"/>
      <c r="H45" s="1152"/>
      <c r="I45" s="787"/>
      <c r="J45" s="781"/>
      <c r="K45" s="787"/>
      <c r="L45" s="521" t="s">
        <v>173</v>
      </c>
      <c r="M45" s="456">
        <v>1</v>
      </c>
      <c r="N45" s="400"/>
      <c r="O45" s="401"/>
    </row>
    <row r="46" spans="1:15" s="90" customFormat="1" ht="27" customHeight="1" x14ac:dyDescent="0.3">
      <c r="A46" s="747"/>
      <c r="B46" s="726"/>
      <c r="C46" s="4"/>
      <c r="D46" s="1382"/>
      <c r="E46" s="1524"/>
      <c r="F46" s="729"/>
      <c r="G46" s="784"/>
      <c r="H46" s="1152"/>
      <c r="I46" s="787"/>
      <c r="J46" s="781"/>
      <c r="K46" s="787"/>
      <c r="L46" s="522" t="s">
        <v>174</v>
      </c>
      <c r="M46" s="456">
        <v>1</v>
      </c>
      <c r="N46" s="400"/>
      <c r="O46" s="401"/>
    </row>
    <row r="47" spans="1:15" s="90" customFormat="1" ht="29.25" customHeight="1" x14ac:dyDescent="0.3">
      <c r="A47" s="747"/>
      <c r="B47" s="726"/>
      <c r="C47" s="4"/>
      <c r="D47" s="1338" t="s">
        <v>66</v>
      </c>
      <c r="E47" s="118"/>
      <c r="F47" s="63">
        <v>11020102</v>
      </c>
      <c r="G47" s="784"/>
      <c r="H47" s="1588" t="s">
        <v>217</v>
      </c>
      <c r="I47" s="787">
        <f>291.7-61.9-15.7-14.1</f>
        <v>200</v>
      </c>
      <c r="J47" s="781">
        <f>291.7-61.9-21.3</f>
        <v>208.49999999999997</v>
      </c>
      <c r="K47" s="787">
        <f>291.7-61.9-21.3</f>
        <v>208.49999999999997</v>
      </c>
      <c r="L47" s="8" t="s">
        <v>94</v>
      </c>
      <c r="M47" s="456">
        <v>4</v>
      </c>
      <c r="N47" s="400">
        <v>3</v>
      </c>
      <c r="O47" s="401">
        <v>3</v>
      </c>
    </row>
    <row r="48" spans="1:15" s="90" customFormat="1" ht="27" customHeight="1" x14ac:dyDescent="0.3">
      <c r="A48" s="747"/>
      <c r="B48" s="726"/>
      <c r="C48" s="4"/>
      <c r="D48" s="1349"/>
      <c r="E48" s="118"/>
      <c r="F48" s="63"/>
      <c r="G48" s="784"/>
      <c r="H48" s="1589"/>
      <c r="I48" s="839"/>
      <c r="J48" s="840"/>
      <c r="K48" s="839"/>
      <c r="L48" s="1338" t="s">
        <v>110</v>
      </c>
      <c r="M48" s="1584">
        <f>19355-2076</f>
        <v>17279</v>
      </c>
      <c r="N48" s="1569">
        <f>19355-2767</f>
        <v>16588</v>
      </c>
      <c r="O48" s="1586">
        <f>19355-2767</f>
        <v>16588</v>
      </c>
    </row>
    <row r="49" spans="1:19" s="90" customFormat="1" ht="15.75" customHeight="1" thickBot="1" x14ac:dyDescent="0.35">
      <c r="A49" s="742"/>
      <c r="B49" s="739"/>
      <c r="C49" s="5"/>
      <c r="D49" s="1366"/>
      <c r="E49" s="120"/>
      <c r="F49" s="222"/>
      <c r="G49" s="790"/>
      <c r="H49" s="143" t="s">
        <v>18</v>
      </c>
      <c r="I49" s="689">
        <f>SUM(I28:I30)</f>
        <v>5385.9000000000005</v>
      </c>
      <c r="J49" s="362">
        <f>SUM(J28:J30)</f>
        <v>5401.9</v>
      </c>
      <c r="K49" s="354">
        <f>SUM(K28:K30)</f>
        <v>5412.0999999999995</v>
      </c>
      <c r="L49" s="1366"/>
      <c r="M49" s="1585"/>
      <c r="N49" s="1570"/>
      <c r="O49" s="1587"/>
    </row>
    <row r="50" spans="1:19" s="90" customFormat="1" ht="17.25" customHeight="1" x14ac:dyDescent="0.3">
      <c r="A50" s="38" t="s">
        <v>13</v>
      </c>
      <c r="B50" s="725" t="s">
        <v>19</v>
      </c>
      <c r="C50" s="3" t="s">
        <v>19</v>
      </c>
      <c r="D50" s="1383" t="s">
        <v>90</v>
      </c>
      <c r="E50" s="148"/>
      <c r="F50" s="149"/>
      <c r="G50" s="789" t="s">
        <v>16</v>
      </c>
      <c r="H50" s="797" t="s">
        <v>17</v>
      </c>
      <c r="I50" s="796">
        <f>1290.1-16.8-8.9</f>
        <v>1264.3999999999999</v>
      </c>
      <c r="J50" s="377">
        <v>1970.2</v>
      </c>
      <c r="K50" s="796">
        <v>1993.2</v>
      </c>
      <c r="L50" s="755" t="s">
        <v>91</v>
      </c>
      <c r="M50" s="1476">
        <v>69</v>
      </c>
      <c r="N50" s="1557">
        <v>69</v>
      </c>
      <c r="O50" s="1577">
        <v>70</v>
      </c>
    </row>
    <row r="51" spans="1:19" s="90" customFormat="1" ht="12.75" customHeight="1" x14ac:dyDescent="0.3">
      <c r="A51" s="39"/>
      <c r="B51" s="726"/>
      <c r="C51" s="4"/>
      <c r="D51" s="1384"/>
      <c r="E51" s="150"/>
      <c r="F51" s="151"/>
      <c r="G51" s="784"/>
      <c r="H51" s="137"/>
      <c r="I51" s="77"/>
      <c r="J51" s="300"/>
      <c r="K51" s="77"/>
      <c r="L51" s="769"/>
      <c r="M51" s="1477"/>
      <c r="N51" s="1558"/>
      <c r="O51" s="1578"/>
      <c r="S51" s="99"/>
    </row>
    <row r="52" spans="1:19" s="90" customFormat="1" ht="30.75" customHeight="1" x14ac:dyDescent="0.3">
      <c r="A52" s="40"/>
      <c r="B52" s="26"/>
      <c r="C52" s="7"/>
      <c r="D52" s="232" t="s">
        <v>30</v>
      </c>
      <c r="E52" s="150"/>
      <c r="F52" s="152">
        <v>11030608</v>
      </c>
      <c r="G52" s="279"/>
      <c r="H52" s="798" t="s">
        <v>217</v>
      </c>
      <c r="I52" s="787">
        <v>468.4</v>
      </c>
      <c r="J52" s="781">
        <v>478.4</v>
      </c>
      <c r="K52" s="787">
        <v>493.4</v>
      </c>
      <c r="L52" s="524" t="s">
        <v>64</v>
      </c>
      <c r="M52" s="523">
        <v>215</v>
      </c>
      <c r="N52" s="405">
        <v>220</v>
      </c>
      <c r="O52" s="389">
        <v>220</v>
      </c>
    </row>
    <row r="53" spans="1:19" s="90" customFormat="1" ht="40.5" customHeight="1" x14ac:dyDescent="0.3">
      <c r="A53" s="39"/>
      <c r="B53" s="726"/>
      <c r="C53" s="4"/>
      <c r="D53" s="232" t="s">
        <v>199</v>
      </c>
      <c r="E53" s="155"/>
      <c r="F53" s="157"/>
      <c r="G53" s="784"/>
      <c r="H53" s="1107" t="s">
        <v>217</v>
      </c>
      <c r="I53" s="795">
        <f>600-16.8</f>
        <v>583.20000000000005</v>
      </c>
      <c r="J53" s="799">
        <v>700</v>
      </c>
      <c r="K53" s="795">
        <v>700</v>
      </c>
      <c r="L53" s="685" t="s">
        <v>85</v>
      </c>
      <c r="M53" s="468">
        <v>2.8</v>
      </c>
      <c r="N53" s="526">
        <v>3.5</v>
      </c>
      <c r="O53" s="527">
        <v>3.5</v>
      </c>
    </row>
    <row r="54" spans="1:19" s="90" customFormat="1" ht="30.65" customHeight="1" x14ac:dyDescent="0.3">
      <c r="A54" s="39"/>
      <c r="B54" s="726"/>
      <c r="C54" s="4"/>
      <c r="D54" s="8" t="s">
        <v>201</v>
      </c>
      <c r="E54" s="150"/>
      <c r="F54" s="153">
        <v>1102020101</v>
      </c>
      <c r="G54" s="784"/>
      <c r="H54" s="1107" t="s">
        <v>217</v>
      </c>
      <c r="I54" s="787">
        <v>80.7</v>
      </c>
      <c r="J54" s="781">
        <v>85</v>
      </c>
      <c r="K54" s="787">
        <v>85</v>
      </c>
      <c r="L54" s="8" t="s">
        <v>63</v>
      </c>
      <c r="M54" s="298">
        <v>35</v>
      </c>
      <c r="N54" s="404">
        <v>35</v>
      </c>
      <c r="O54" s="423">
        <v>35</v>
      </c>
    </row>
    <row r="55" spans="1:19" s="90" customFormat="1" ht="28.5" customHeight="1" x14ac:dyDescent="0.3">
      <c r="A55" s="39"/>
      <c r="B55" s="726"/>
      <c r="C55" s="4"/>
      <c r="D55" s="232" t="s">
        <v>202</v>
      </c>
      <c r="E55" s="150"/>
      <c r="F55" s="154"/>
      <c r="G55" s="784"/>
      <c r="H55" s="1107" t="s">
        <v>217</v>
      </c>
      <c r="I55" s="787">
        <f>45-8.9</f>
        <v>36.1</v>
      </c>
      <c r="J55" s="781">
        <v>45</v>
      </c>
      <c r="K55" s="787">
        <v>45</v>
      </c>
      <c r="L55" s="800" t="s">
        <v>63</v>
      </c>
      <c r="M55" s="1123">
        <v>34</v>
      </c>
      <c r="N55" s="723">
        <v>30</v>
      </c>
      <c r="O55" s="389">
        <v>30</v>
      </c>
    </row>
    <row r="56" spans="1:19" s="90" customFormat="1" ht="30" customHeight="1" x14ac:dyDescent="0.3">
      <c r="A56" s="39"/>
      <c r="B56" s="726"/>
      <c r="C56" s="4"/>
      <c r="D56" s="232" t="s">
        <v>203</v>
      </c>
      <c r="E56" s="155"/>
      <c r="F56" s="152">
        <v>11020204</v>
      </c>
      <c r="G56" s="784"/>
      <c r="H56" s="798" t="s">
        <v>217</v>
      </c>
      <c r="I56" s="787">
        <v>50.7</v>
      </c>
      <c r="J56" s="781">
        <v>76</v>
      </c>
      <c r="K56" s="787">
        <v>76</v>
      </c>
      <c r="L56" s="753" t="s">
        <v>95</v>
      </c>
      <c r="M56" s="241">
        <v>12</v>
      </c>
      <c r="N56" s="433">
        <v>12</v>
      </c>
      <c r="O56" s="422">
        <v>12</v>
      </c>
    </row>
    <row r="57" spans="1:19" s="90" customFormat="1" ht="30" customHeight="1" x14ac:dyDescent="0.3">
      <c r="A57" s="39"/>
      <c r="B57" s="726"/>
      <c r="C57" s="4"/>
      <c r="D57" s="232" t="s">
        <v>200</v>
      </c>
      <c r="E57" s="155"/>
      <c r="F57" s="152"/>
      <c r="G57" s="784"/>
      <c r="H57" s="798" t="s">
        <v>217</v>
      </c>
      <c r="I57" s="787"/>
      <c r="J57" s="781">
        <f>524.5+5.5</f>
        <v>530</v>
      </c>
      <c r="K57" s="787">
        <v>530</v>
      </c>
      <c r="L57" s="8" t="s">
        <v>175</v>
      </c>
      <c r="M57" s="597"/>
      <c r="N57" s="405">
        <v>780</v>
      </c>
      <c r="O57" s="410">
        <v>800</v>
      </c>
    </row>
    <row r="58" spans="1:19" s="90" customFormat="1" ht="44.5" customHeight="1" x14ac:dyDescent="0.3">
      <c r="A58" s="39"/>
      <c r="B58" s="726"/>
      <c r="C58" s="4"/>
      <c r="D58" s="443"/>
      <c r="E58" s="155"/>
      <c r="F58" s="152"/>
      <c r="G58" s="784"/>
      <c r="H58" s="798"/>
      <c r="I58" s="787"/>
      <c r="J58" s="781"/>
      <c r="K58" s="787"/>
      <c r="L58" s="753" t="s">
        <v>176</v>
      </c>
      <c r="M58" s="597"/>
      <c r="N58" s="405">
        <v>3</v>
      </c>
      <c r="O58" s="410">
        <v>3</v>
      </c>
    </row>
    <row r="59" spans="1:19" s="90" customFormat="1" ht="27.75" customHeight="1" x14ac:dyDescent="0.3">
      <c r="A59" s="39"/>
      <c r="B59" s="726"/>
      <c r="C59" s="4"/>
      <c r="D59" s="232" t="s">
        <v>177</v>
      </c>
      <c r="E59" s="155"/>
      <c r="F59" s="156">
        <v>11020202</v>
      </c>
      <c r="G59" s="784"/>
      <c r="H59" s="798" t="s">
        <v>217</v>
      </c>
      <c r="I59" s="787">
        <v>42</v>
      </c>
      <c r="J59" s="781">
        <v>50.4</v>
      </c>
      <c r="K59" s="787">
        <v>60.5</v>
      </c>
      <c r="L59" s="685" t="s">
        <v>106</v>
      </c>
      <c r="M59" s="471">
        <v>320</v>
      </c>
      <c r="N59" s="393">
        <v>325</v>
      </c>
      <c r="O59" s="390">
        <v>330</v>
      </c>
    </row>
    <row r="60" spans="1:19" s="90" customFormat="1" ht="27.75" customHeight="1" x14ac:dyDescent="0.3">
      <c r="A60" s="39"/>
      <c r="B60" s="726"/>
      <c r="C60" s="4"/>
      <c r="D60" s="233"/>
      <c r="E60" s="155"/>
      <c r="F60" s="157"/>
      <c r="G60" s="784"/>
      <c r="H60" s="798"/>
      <c r="I60" s="787"/>
      <c r="J60" s="781"/>
      <c r="K60" s="787"/>
      <c r="L60" s="685" t="s">
        <v>224</v>
      </c>
      <c r="M60" s="451">
        <v>14</v>
      </c>
      <c r="N60" s="405">
        <v>14</v>
      </c>
      <c r="O60" s="389">
        <v>14</v>
      </c>
    </row>
    <row r="61" spans="1:19" s="90" customFormat="1" ht="15.75" customHeight="1" x14ac:dyDescent="0.3">
      <c r="A61" s="39"/>
      <c r="B61" s="726"/>
      <c r="C61" s="4"/>
      <c r="D61" s="1338" t="s">
        <v>121</v>
      </c>
      <c r="E61" s="155"/>
      <c r="F61" s="157"/>
      <c r="G61" s="784"/>
      <c r="H61" s="798" t="s">
        <v>217</v>
      </c>
      <c r="I61" s="795">
        <v>3.3</v>
      </c>
      <c r="J61" s="799">
        <v>5.4</v>
      </c>
      <c r="K61" s="795">
        <v>3.3</v>
      </c>
      <c r="L61" s="685" t="s">
        <v>81</v>
      </c>
      <c r="M61" s="1563">
        <v>116</v>
      </c>
      <c r="N61" s="1462">
        <v>120</v>
      </c>
      <c r="O61" s="1510">
        <v>120</v>
      </c>
    </row>
    <row r="62" spans="1:19" s="90" customFormat="1" ht="15" customHeight="1" thickBot="1" x14ac:dyDescent="0.35">
      <c r="A62" s="41"/>
      <c r="B62" s="739"/>
      <c r="C62" s="5"/>
      <c r="D62" s="1366"/>
      <c r="E62" s="158"/>
      <c r="F62" s="200"/>
      <c r="G62" s="790"/>
      <c r="H62" s="108" t="s">
        <v>18</v>
      </c>
      <c r="I62" s="567">
        <f>SUM(I50)</f>
        <v>1264.3999999999999</v>
      </c>
      <c r="J62" s="318">
        <f t="shared" ref="J62:K62" si="4">SUM(J50)</f>
        <v>1970.2</v>
      </c>
      <c r="K62" s="313">
        <f t="shared" si="4"/>
        <v>1993.2</v>
      </c>
      <c r="L62" s="30"/>
      <c r="M62" s="1564"/>
      <c r="N62" s="1463"/>
      <c r="O62" s="1511"/>
    </row>
    <row r="63" spans="1:19" s="90" customFormat="1" ht="28.5" customHeight="1" x14ac:dyDescent="0.3">
      <c r="A63" s="1371" t="s">
        <v>13</v>
      </c>
      <c r="B63" s="1354" t="s">
        <v>19</v>
      </c>
      <c r="C63" s="1444" t="s">
        <v>21</v>
      </c>
      <c r="D63" s="1358" t="s">
        <v>69</v>
      </c>
      <c r="E63" s="1447"/>
      <c r="F63" s="1450">
        <v>11020310</v>
      </c>
      <c r="G63" s="750" t="s">
        <v>16</v>
      </c>
      <c r="H63" s="6" t="s">
        <v>17</v>
      </c>
      <c r="I63" s="68">
        <f>116.4-15.5-33.4</f>
        <v>67.5</v>
      </c>
      <c r="J63" s="376">
        <v>120.4</v>
      </c>
      <c r="K63" s="374">
        <v>120.4</v>
      </c>
      <c r="L63" s="74" t="s">
        <v>67</v>
      </c>
      <c r="M63" s="529">
        <v>8674</v>
      </c>
      <c r="N63" s="530">
        <v>10160</v>
      </c>
      <c r="O63" s="531">
        <v>10160</v>
      </c>
    </row>
    <row r="64" spans="1:19" s="90" customFormat="1" ht="15" customHeight="1" x14ac:dyDescent="0.3">
      <c r="A64" s="1372"/>
      <c r="B64" s="1380"/>
      <c r="C64" s="1445"/>
      <c r="D64" s="1382"/>
      <c r="E64" s="1448"/>
      <c r="F64" s="1451"/>
      <c r="G64" s="205">
        <v>3</v>
      </c>
      <c r="H64" s="449"/>
      <c r="I64" s="801"/>
      <c r="J64" s="802"/>
      <c r="K64" s="803"/>
      <c r="L64" s="1494" t="s">
        <v>225</v>
      </c>
      <c r="M64" s="534">
        <v>152</v>
      </c>
      <c r="N64" s="535">
        <v>152</v>
      </c>
      <c r="O64" s="536">
        <v>152</v>
      </c>
    </row>
    <row r="65" spans="1:18" s="90" customFormat="1" ht="15" customHeight="1" thickBot="1" x14ac:dyDescent="0.35">
      <c r="A65" s="1373"/>
      <c r="B65" s="1355"/>
      <c r="C65" s="1446"/>
      <c r="D65" s="1359"/>
      <c r="E65" s="1449"/>
      <c r="F65" s="1464"/>
      <c r="G65" s="204"/>
      <c r="H65" s="743" t="s">
        <v>18</v>
      </c>
      <c r="I65" s="280">
        <f>SUM(I63:I64)</f>
        <v>67.5</v>
      </c>
      <c r="J65" s="318">
        <f t="shared" ref="J65:K65" si="5">SUM(J63:J64)</f>
        <v>120.4</v>
      </c>
      <c r="K65" s="313">
        <f t="shared" si="5"/>
        <v>120.4</v>
      </c>
      <c r="L65" s="1495"/>
      <c r="M65" s="470"/>
      <c r="N65" s="416"/>
      <c r="O65" s="411"/>
    </row>
    <row r="66" spans="1:18" s="90" customFormat="1" ht="17.25" customHeight="1" x14ac:dyDescent="0.3">
      <c r="A66" s="43" t="s">
        <v>13</v>
      </c>
      <c r="B66" s="726" t="s">
        <v>19</v>
      </c>
      <c r="C66" s="734" t="s">
        <v>31</v>
      </c>
      <c r="D66" s="1365" t="s">
        <v>79</v>
      </c>
      <c r="E66" s="121"/>
      <c r="F66" s="1573">
        <v>11020406</v>
      </c>
      <c r="G66" s="208">
        <v>2</v>
      </c>
      <c r="H66" s="91" t="s">
        <v>17</v>
      </c>
      <c r="I66" s="370">
        <f>99.2-3</f>
        <v>96.2</v>
      </c>
      <c r="J66" s="378">
        <v>120</v>
      </c>
      <c r="K66" s="568">
        <v>120</v>
      </c>
      <c r="L66" s="1575" t="s">
        <v>80</v>
      </c>
      <c r="M66" s="471">
        <v>1876</v>
      </c>
      <c r="N66" s="393">
        <v>2060</v>
      </c>
      <c r="O66" s="390">
        <v>2060</v>
      </c>
    </row>
    <row r="67" spans="1:18" s="90" customFormat="1" ht="15" customHeight="1" thickBot="1" x14ac:dyDescent="0.35">
      <c r="A67" s="43"/>
      <c r="B67" s="726"/>
      <c r="C67" s="734"/>
      <c r="D67" s="1349"/>
      <c r="E67" s="122"/>
      <c r="F67" s="1574"/>
      <c r="G67" s="221"/>
      <c r="H67" s="743" t="s">
        <v>18</v>
      </c>
      <c r="I67" s="270">
        <f t="shared" ref="I67:K67" si="6">+I66</f>
        <v>96.2</v>
      </c>
      <c r="J67" s="379">
        <f t="shared" si="6"/>
        <v>120</v>
      </c>
      <c r="K67" s="375">
        <f t="shared" si="6"/>
        <v>120</v>
      </c>
      <c r="L67" s="1495"/>
      <c r="M67" s="465"/>
      <c r="N67" s="724"/>
      <c r="O67" s="387"/>
    </row>
    <row r="68" spans="1:18" s="90" customFormat="1" ht="21.65" customHeight="1" x14ac:dyDescent="0.3">
      <c r="A68" s="38" t="s">
        <v>13</v>
      </c>
      <c r="B68" s="102" t="s">
        <v>19</v>
      </c>
      <c r="C68" s="474" t="s">
        <v>49</v>
      </c>
      <c r="D68" s="1365" t="s">
        <v>109</v>
      </c>
      <c r="E68" s="476" t="s">
        <v>118</v>
      </c>
      <c r="F68" s="159"/>
      <c r="G68" s="208">
        <v>1</v>
      </c>
      <c r="H68" s="128" t="s">
        <v>17</v>
      </c>
      <c r="I68" s="283">
        <f>27+4+3.2</f>
        <v>34.200000000000003</v>
      </c>
      <c r="J68" s="317">
        <v>37</v>
      </c>
      <c r="K68" s="699">
        <v>37</v>
      </c>
      <c r="L68" s="1459" t="s">
        <v>178</v>
      </c>
      <c r="M68" s="249">
        <v>50</v>
      </c>
      <c r="N68" s="428">
        <v>25</v>
      </c>
      <c r="O68" s="444">
        <v>25</v>
      </c>
    </row>
    <row r="69" spans="1:18" s="90" customFormat="1" ht="21.65" customHeight="1" x14ac:dyDescent="0.3">
      <c r="A69" s="39"/>
      <c r="B69" s="103"/>
      <c r="C69" s="477"/>
      <c r="D69" s="1349"/>
      <c r="E69" s="479"/>
      <c r="F69" s="210"/>
      <c r="G69" s="211"/>
      <c r="H69" s="251" t="s">
        <v>55</v>
      </c>
      <c r="I69" s="749">
        <v>10</v>
      </c>
      <c r="J69" s="307"/>
      <c r="K69" s="373"/>
      <c r="L69" s="1460"/>
      <c r="M69" s="299"/>
      <c r="N69" s="429"/>
      <c r="O69" s="418"/>
    </row>
    <row r="70" spans="1:18" s="90" customFormat="1" ht="15" customHeight="1" thickBot="1" x14ac:dyDescent="0.35">
      <c r="A70" s="39"/>
      <c r="B70" s="103"/>
      <c r="C70" s="477"/>
      <c r="D70" s="1366"/>
      <c r="E70" s="479"/>
      <c r="F70" s="210"/>
      <c r="G70" s="211"/>
      <c r="H70" s="737" t="s">
        <v>18</v>
      </c>
      <c r="I70" s="359">
        <f>SUM(I68:I69)</f>
        <v>44.2</v>
      </c>
      <c r="J70" s="537">
        <f>SUM(J68:J69)</f>
        <v>37</v>
      </c>
      <c r="K70" s="225">
        <f>SUM(K68:K69)</f>
        <v>37</v>
      </c>
      <c r="L70" s="96"/>
      <c r="M70" s="470"/>
      <c r="N70" s="416"/>
      <c r="O70" s="411"/>
      <c r="R70" s="99"/>
    </row>
    <row r="71" spans="1:18" s="90" customFormat="1" ht="28.15" customHeight="1" x14ac:dyDescent="0.3">
      <c r="A71" s="1352" t="s">
        <v>13</v>
      </c>
      <c r="B71" s="1354" t="s">
        <v>19</v>
      </c>
      <c r="C71" s="1356" t="s">
        <v>73</v>
      </c>
      <c r="D71" s="1369" t="s">
        <v>204</v>
      </c>
      <c r="E71" s="748"/>
      <c r="F71" s="159"/>
      <c r="G71" s="208"/>
      <c r="H71" s="667" t="s">
        <v>17</v>
      </c>
      <c r="I71" s="283">
        <v>2.7</v>
      </c>
      <c r="J71" s="669"/>
      <c r="K71" s="670"/>
      <c r="L71" s="1358" t="s">
        <v>205</v>
      </c>
      <c r="M71" s="671">
        <v>100</v>
      </c>
      <c r="N71" s="721"/>
      <c r="O71" s="388"/>
    </row>
    <row r="72" spans="1:18" s="90" customFormat="1" ht="16.149999999999999" customHeight="1" thickBot="1" x14ac:dyDescent="0.35">
      <c r="A72" s="1353"/>
      <c r="B72" s="1355"/>
      <c r="C72" s="1357"/>
      <c r="D72" s="1370"/>
      <c r="E72" s="591"/>
      <c r="F72" s="592"/>
      <c r="G72" s="221"/>
      <c r="H72" s="743" t="s">
        <v>18</v>
      </c>
      <c r="I72" s="265">
        <f>+I71</f>
        <v>2.7</v>
      </c>
      <c r="J72" s="672">
        <f>+J71</f>
        <v>0</v>
      </c>
      <c r="K72" s="673">
        <f>+K71</f>
        <v>0</v>
      </c>
      <c r="L72" s="1359"/>
      <c r="M72" s="674"/>
      <c r="N72" s="724"/>
      <c r="O72" s="387"/>
    </row>
    <row r="73" spans="1:18" s="90" customFormat="1" ht="17.5" customHeight="1" x14ac:dyDescent="0.3">
      <c r="A73" s="1352" t="s">
        <v>13</v>
      </c>
      <c r="B73" s="1354" t="s">
        <v>19</v>
      </c>
      <c r="C73" s="1356" t="s">
        <v>74</v>
      </c>
      <c r="D73" s="1369" t="s">
        <v>226</v>
      </c>
      <c r="E73" s="748"/>
      <c r="F73" s="675"/>
      <c r="G73" s="208"/>
      <c r="H73" s="667" t="s">
        <v>17</v>
      </c>
      <c r="I73" s="283">
        <v>510</v>
      </c>
      <c r="J73" s="669"/>
      <c r="K73" s="670"/>
      <c r="L73" s="1358" t="s">
        <v>210</v>
      </c>
      <c r="M73" s="671">
        <v>100</v>
      </c>
      <c r="N73" s="721"/>
      <c r="O73" s="388"/>
    </row>
    <row r="74" spans="1:18" s="90" customFormat="1" ht="15.75" customHeight="1" thickBot="1" x14ac:dyDescent="0.35">
      <c r="A74" s="1353"/>
      <c r="B74" s="1355"/>
      <c r="C74" s="1357"/>
      <c r="D74" s="1370"/>
      <c r="E74" s="591"/>
      <c r="F74" s="676"/>
      <c r="G74" s="221"/>
      <c r="H74" s="738" t="s">
        <v>18</v>
      </c>
      <c r="I74" s="265">
        <f>+I73</f>
        <v>510</v>
      </c>
      <c r="J74" s="672">
        <v>0</v>
      </c>
      <c r="K74" s="673">
        <v>0</v>
      </c>
      <c r="L74" s="1359"/>
      <c r="M74" s="674"/>
      <c r="N74" s="724"/>
      <c r="O74" s="387"/>
    </row>
    <row r="75" spans="1:18" s="90" customFormat="1" ht="15" customHeight="1" thickBot="1" x14ac:dyDescent="0.35">
      <c r="A75" s="254" t="s">
        <v>13</v>
      </c>
      <c r="B75" s="255" t="s">
        <v>19</v>
      </c>
      <c r="C75" s="1340" t="s">
        <v>22</v>
      </c>
      <c r="D75" s="1340"/>
      <c r="E75" s="1341"/>
      <c r="F75" s="1341"/>
      <c r="G75" s="1341"/>
      <c r="H75" s="1341"/>
      <c r="I75" s="600">
        <f>+I70+I67+I65+I62+I49+I72+I74</f>
        <v>7370.9000000000005</v>
      </c>
      <c r="J75" s="319">
        <f>+J70+J67+J65+J62+J49</f>
        <v>7649.5</v>
      </c>
      <c r="K75" s="284">
        <f>+K70+K67+K65+K62+K49</f>
        <v>7682.6999999999989</v>
      </c>
      <c r="L75" s="1560"/>
      <c r="M75" s="1561"/>
      <c r="N75" s="1561"/>
      <c r="O75" s="1562"/>
    </row>
    <row r="76" spans="1:18" s="90" customFormat="1" ht="15" customHeight="1" thickBot="1" x14ac:dyDescent="0.35">
      <c r="A76" s="45" t="s">
        <v>13</v>
      </c>
      <c r="B76" s="288" t="s">
        <v>21</v>
      </c>
      <c r="C76" s="1559" t="s">
        <v>133</v>
      </c>
      <c r="D76" s="1442"/>
      <c r="E76" s="1442"/>
      <c r="F76" s="1442"/>
      <c r="G76" s="1442"/>
      <c r="H76" s="1442"/>
      <c r="I76" s="1442"/>
      <c r="J76" s="1442"/>
      <c r="K76" s="1442"/>
      <c r="L76" s="1442"/>
      <c r="M76" s="1442"/>
      <c r="N76" s="1442"/>
      <c r="O76" s="1443"/>
    </row>
    <row r="77" spans="1:18" s="90" customFormat="1" ht="31.9" customHeight="1" x14ac:dyDescent="0.3">
      <c r="A77" s="38" t="s">
        <v>13</v>
      </c>
      <c r="B77" s="1360" t="s">
        <v>21</v>
      </c>
      <c r="C77" s="1362" t="s">
        <v>13</v>
      </c>
      <c r="D77" s="1365" t="s">
        <v>206</v>
      </c>
      <c r="E77" s="198"/>
      <c r="F77" s="144"/>
      <c r="G77" s="129">
        <v>2</v>
      </c>
      <c r="H77" s="134" t="s">
        <v>17</v>
      </c>
      <c r="I77" s="269"/>
      <c r="J77" s="360">
        <f>11.5+13</f>
        <v>24.5</v>
      </c>
      <c r="K77" s="350"/>
      <c r="L77" s="814" t="s">
        <v>207</v>
      </c>
      <c r="M77" s="804"/>
      <c r="N77" s="681">
        <v>2</v>
      </c>
      <c r="O77" s="599"/>
    </row>
    <row r="78" spans="1:18" s="90" customFormat="1" ht="16.149999999999999" customHeight="1" x14ac:dyDescent="0.3">
      <c r="A78" s="39"/>
      <c r="B78" s="1361"/>
      <c r="C78" s="1363"/>
      <c r="D78" s="1349"/>
      <c r="E78" s="198"/>
      <c r="F78" s="144"/>
      <c r="G78" s="129"/>
      <c r="H78" s="139"/>
      <c r="I78" s="347"/>
      <c r="J78" s="361"/>
      <c r="K78" s="351"/>
      <c r="L78" s="1338" t="s">
        <v>208</v>
      </c>
      <c r="M78" s="299"/>
      <c r="N78" s="429">
        <v>2</v>
      </c>
      <c r="O78" s="418"/>
    </row>
    <row r="79" spans="1:18" s="90" customFormat="1" ht="16.5" customHeight="1" thickBot="1" x14ac:dyDescent="0.35">
      <c r="A79" s="39"/>
      <c r="B79" s="1361"/>
      <c r="C79" s="1364"/>
      <c r="D79" s="1366"/>
      <c r="E79" s="93"/>
      <c r="F79" s="94"/>
      <c r="G79" s="95"/>
      <c r="H79" s="108" t="s">
        <v>18</v>
      </c>
      <c r="I79" s="69"/>
      <c r="J79" s="362">
        <f t="shared" ref="J79" si="7">SUM(J77:J78)</f>
        <v>24.5</v>
      </c>
      <c r="K79" s="354"/>
      <c r="L79" s="1366"/>
      <c r="M79" s="470"/>
      <c r="N79" s="416"/>
      <c r="O79" s="411"/>
    </row>
    <row r="80" spans="1:18" s="90" customFormat="1" ht="15.75" customHeight="1" x14ac:dyDescent="0.3">
      <c r="A80" s="46" t="s">
        <v>13</v>
      </c>
      <c r="B80" s="28" t="s">
        <v>21</v>
      </c>
      <c r="C80" s="9" t="s">
        <v>19</v>
      </c>
      <c r="D80" s="1383" t="s">
        <v>139</v>
      </c>
      <c r="E80" s="203"/>
      <c r="F80" s="65"/>
      <c r="G80" s="20"/>
      <c r="H80" s="439" t="s">
        <v>17</v>
      </c>
      <c r="I80" s="287">
        <v>4.0999999999999996</v>
      </c>
      <c r="J80" s="361">
        <f>SUMIF(H90:H107,"sb",J90:J107)</f>
        <v>0</v>
      </c>
      <c r="K80" s="287">
        <f>871+100+35</f>
        <v>1006</v>
      </c>
      <c r="L80" s="440"/>
      <c r="M80" s="72"/>
      <c r="N80" s="430"/>
      <c r="O80" s="419"/>
    </row>
    <row r="81" spans="1:18" s="90" customFormat="1" ht="15.75" customHeight="1" x14ac:dyDescent="0.3">
      <c r="A81" s="47"/>
      <c r="B81" s="127"/>
      <c r="C81" s="206"/>
      <c r="D81" s="1397"/>
      <c r="E81" s="239"/>
      <c r="F81" s="66"/>
      <c r="G81" s="36"/>
      <c r="H81" s="135" t="s">
        <v>55</v>
      </c>
      <c r="I81" s="472">
        <f>475.9-145-93.6</f>
        <v>237.29999999999998</v>
      </c>
      <c r="J81" s="363">
        <f>SUMIF(H90:H107,"sb(l)",J90:J107)</f>
        <v>0</v>
      </c>
      <c r="K81" s="472">
        <f>SUMIF(H90:H107,"sb(l)",K90:K107)</f>
        <v>0</v>
      </c>
      <c r="L81" s="252"/>
      <c r="M81" s="73"/>
      <c r="N81" s="806"/>
      <c r="O81" s="807"/>
    </row>
    <row r="82" spans="1:18" s="90" customFormat="1" ht="15.75" customHeight="1" x14ac:dyDescent="0.3">
      <c r="A82" s="47"/>
      <c r="B82" s="127"/>
      <c r="C82" s="206"/>
      <c r="D82" s="1397"/>
      <c r="E82" s="239"/>
      <c r="F82" s="66"/>
      <c r="G82" s="36"/>
      <c r="H82" s="701" t="s">
        <v>33</v>
      </c>
      <c r="I82" s="472">
        <f>2.8</f>
        <v>2.8</v>
      </c>
      <c r="J82" s="363">
        <f>SUMIF(H90:H107,"sb(vb)",J90:J107)</f>
        <v>0</v>
      </c>
      <c r="K82" s="472">
        <f>SUMIF(H90:H107,"sb(vb)",K90:K107)</f>
        <v>0</v>
      </c>
      <c r="L82" s="252"/>
      <c r="M82" s="73"/>
      <c r="N82" s="806"/>
      <c r="O82" s="807"/>
    </row>
    <row r="83" spans="1:18" s="90" customFormat="1" ht="15.75" customHeight="1" x14ac:dyDescent="0.3">
      <c r="A83" s="47"/>
      <c r="B83" s="127"/>
      <c r="C83" s="206"/>
      <c r="D83" s="1397"/>
      <c r="E83" s="239"/>
      <c r="F83" s="66"/>
      <c r="G83" s="36"/>
      <c r="H83" s="701" t="s">
        <v>128</v>
      </c>
      <c r="I83" s="472">
        <v>17</v>
      </c>
      <c r="J83" s="363"/>
      <c r="K83" s="472"/>
      <c r="L83" s="252"/>
      <c r="M83" s="73"/>
      <c r="N83" s="806"/>
      <c r="O83" s="807"/>
    </row>
    <row r="84" spans="1:18" s="90" customFormat="1" ht="15.75" customHeight="1" x14ac:dyDescent="0.3">
      <c r="A84" s="47"/>
      <c r="B84" s="127"/>
      <c r="C84" s="206"/>
      <c r="D84" s="1397"/>
      <c r="E84" s="239"/>
      <c r="F84" s="66"/>
      <c r="G84" s="36"/>
      <c r="H84" s="135" t="s">
        <v>57</v>
      </c>
      <c r="I84" s="472">
        <v>32.6</v>
      </c>
      <c r="J84" s="363">
        <f>SUMIF(H90:H107,"sb(es)",J90:J107)</f>
        <v>0</v>
      </c>
      <c r="K84" s="472">
        <f>SUMIF(H90:H107,"sb(es)",K90:K107)</f>
        <v>0</v>
      </c>
      <c r="L84" s="252"/>
      <c r="M84" s="73"/>
      <c r="N84" s="806"/>
      <c r="O84" s="807"/>
      <c r="R84" s="99"/>
    </row>
    <row r="85" spans="1:18" s="90" customFormat="1" ht="15.75" customHeight="1" x14ac:dyDescent="0.3">
      <c r="A85" s="47"/>
      <c r="B85" s="127"/>
      <c r="C85" s="206"/>
      <c r="D85" s="1397"/>
      <c r="E85" s="24"/>
      <c r="F85" s="66"/>
      <c r="G85" s="36"/>
      <c r="H85" s="138" t="s">
        <v>129</v>
      </c>
      <c r="I85" s="472">
        <v>191.8</v>
      </c>
      <c r="J85" s="363">
        <f>SUMIF(H90:H107,"sb(esl)",J90:J107)</f>
        <v>0</v>
      </c>
      <c r="K85" s="472">
        <f>SUMIF(H90:H107,"sb(esl)",K90:K107)</f>
        <v>0</v>
      </c>
      <c r="L85" s="252"/>
      <c r="M85" s="73"/>
      <c r="N85" s="806"/>
      <c r="O85" s="807"/>
    </row>
    <row r="86" spans="1:18" s="90" customFormat="1" ht="15.75" customHeight="1" x14ac:dyDescent="0.3">
      <c r="A86" s="47"/>
      <c r="B86" s="127"/>
      <c r="C86" s="206"/>
      <c r="D86" s="766"/>
      <c r="E86" s="24"/>
      <c r="F86" s="66"/>
      <c r="G86" s="36"/>
      <c r="H86" s="134" t="s">
        <v>86</v>
      </c>
      <c r="I86" s="472">
        <f>1206.3+93.6</f>
        <v>1299.8999999999999</v>
      </c>
      <c r="J86" s="363">
        <f>SUMIF(H90:H107,"sb(p)",J90:J107)</f>
        <v>0</v>
      </c>
      <c r="K86" s="472">
        <f>SUMIF(H90:H107,"sb(p)",K90:K107)</f>
        <v>0</v>
      </c>
      <c r="L86" s="252"/>
      <c r="M86" s="73"/>
      <c r="N86" s="806"/>
      <c r="O86" s="807"/>
    </row>
    <row r="87" spans="1:18" s="90" customFormat="1" ht="15.75" customHeight="1" x14ac:dyDescent="0.3">
      <c r="A87" s="47"/>
      <c r="B87" s="127"/>
      <c r="C87" s="206"/>
      <c r="D87" s="766"/>
      <c r="E87" s="24"/>
      <c r="F87" s="66"/>
      <c r="G87" s="36"/>
      <c r="H87" s="1036" t="s">
        <v>35</v>
      </c>
      <c r="I87" s="272">
        <f>SUMIF(H90:H107,"lrvb",I90:I107)</f>
        <v>0</v>
      </c>
      <c r="J87" s="363">
        <f>SUMIF(H90:H107,"lrvb",J90:J107)</f>
        <v>0</v>
      </c>
      <c r="K87" s="352">
        <v>3834</v>
      </c>
      <c r="L87" s="252"/>
      <c r="M87" s="73"/>
      <c r="N87" s="806"/>
      <c r="O87" s="807"/>
    </row>
    <row r="88" spans="1:18" s="90" customFormat="1" ht="15.75" customHeight="1" x14ac:dyDescent="0.3">
      <c r="A88" s="47"/>
      <c r="B88" s="127"/>
      <c r="C88" s="206"/>
      <c r="D88" s="1037"/>
      <c r="E88" s="24"/>
      <c r="F88" s="66"/>
      <c r="G88" s="36"/>
      <c r="H88" s="137" t="s">
        <v>135</v>
      </c>
      <c r="I88" s="87">
        <v>81.7</v>
      </c>
      <c r="J88" s="805">
        <v>0</v>
      </c>
      <c r="K88" s="87">
        <v>0</v>
      </c>
      <c r="L88" s="252"/>
      <c r="M88" s="73"/>
      <c r="N88" s="806"/>
      <c r="O88" s="807"/>
    </row>
    <row r="89" spans="1:18" s="90" customFormat="1" ht="29.25" customHeight="1" x14ac:dyDescent="0.3">
      <c r="A89" s="43"/>
      <c r="B89" s="726"/>
      <c r="C89" s="206"/>
      <c r="D89" s="746" t="s">
        <v>59</v>
      </c>
      <c r="E89" s="745" t="s">
        <v>32</v>
      </c>
      <c r="F89" s="1398">
        <v>1101012101</v>
      </c>
      <c r="G89" s="243">
        <v>5</v>
      </c>
      <c r="H89" s="1039"/>
      <c r="I89" s="1136"/>
      <c r="J89" s="805"/>
      <c r="K89" s="87"/>
      <c r="L89" s="754"/>
      <c r="M89" s="815"/>
      <c r="N89" s="816"/>
      <c r="O89" s="817"/>
    </row>
    <row r="90" spans="1:18" s="90" customFormat="1" ht="16.899999999999999" customHeight="1" x14ac:dyDescent="0.3">
      <c r="A90" s="43"/>
      <c r="B90" s="726"/>
      <c r="C90" s="206"/>
      <c r="D90" s="257" t="s">
        <v>58</v>
      </c>
      <c r="E90" s="258" t="s">
        <v>118</v>
      </c>
      <c r="F90" s="1399"/>
      <c r="G90" s="177"/>
      <c r="H90" s="1131" t="s">
        <v>218</v>
      </c>
      <c r="I90" s="795">
        <f>105.8+666.4-764.6+25.7</f>
        <v>33.299999999999912</v>
      </c>
      <c r="J90" s="799"/>
      <c r="K90" s="795"/>
      <c r="L90" s="753" t="s">
        <v>34</v>
      </c>
      <c r="M90" s="241">
        <v>100</v>
      </c>
      <c r="N90" s="433"/>
      <c r="O90" s="422"/>
    </row>
    <row r="91" spans="1:18" s="90" customFormat="1" ht="16.5" customHeight="1" x14ac:dyDescent="0.3">
      <c r="A91" s="43"/>
      <c r="B91" s="726"/>
      <c r="C91" s="206"/>
      <c r="D91" s="1347" t="s">
        <v>117</v>
      </c>
      <c r="E91" s="260"/>
      <c r="F91" s="261"/>
      <c r="G91" s="177"/>
      <c r="H91" s="1329" t="s">
        <v>219</v>
      </c>
      <c r="I91" s="1110">
        <f>441.7-34.1+93.6</f>
        <v>501.19999999999993</v>
      </c>
      <c r="J91" s="799"/>
      <c r="K91" s="795"/>
      <c r="L91" s="1338" t="s">
        <v>34</v>
      </c>
      <c r="M91" s="1591">
        <v>100</v>
      </c>
      <c r="N91" s="1594"/>
      <c r="O91" s="1597"/>
    </row>
    <row r="92" spans="1:18" s="90" customFormat="1" ht="2.25" customHeight="1" x14ac:dyDescent="0.3">
      <c r="A92" s="43"/>
      <c r="B92" s="1046"/>
      <c r="C92" s="206"/>
      <c r="D92" s="1397"/>
      <c r="E92" s="1050"/>
      <c r="F92" s="261"/>
      <c r="G92" s="177"/>
      <c r="H92" s="1329" t="s">
        <v>218</v>
      </c>
      <c r="I92" s="1110">
        <f>397.5-25.7-145-47-93.6</f>
        <v>86.200000000000017</v>
      </c>
      <c r="J92" s="799"/>
      <c r="K92" s="795"/>
      <c r="L92" s="1349"/>
      <c r="M92" s="1592"/>
      <c r="N92" s="1595"/>
      <c r="O92" s="1598"/>
    </row>
    <row r="93" spans="1:18" s="90" customFormat="1" ht="1.5" customHeight="1" x14ac:dyDescent="0.3">
      <c r="A93" s="43"/>
      <c r="B93" s="1126"/>
      <c r="C93" s="206"/>
      <c r="D93" s="1384"/>
      <c r="E93" s="1050"/>
      <c r="F93" s="261"/>
      <c r="G93" s="177"/>
      <c r="H93" s="1230" t="s">
        <v>218</v>
      </c>
      <c r="I93" s="1333">
        <v>47</v>
      </c>
      <c r="J93" s="799"/>
      <c r="K93" s="795"/>
      <c r="L93" s="1339"/>
      <c r="M93" s="1593"/>
      <c r="N93" s="1596"/>
      <c r="O93" s="1549"/>
    </row>
    <row r="94" spans="1:18" s="90" customFormat="1" ht="22.9" customHeight="1" x14ac:dyDescent="0.3">
      <c r="A94" s="43"/>
      <c r="B94" s="726"/>
      <c r="C94" s="206"/>
      <c r="D94" s="1338" t="s">
        <v>61</v>
      </c>
      <c r="E94" s="217" t="s">
        <v>32</v>
      </c>
      <c r="F94" s="161"/>
      <c r="G94" s="125"/>
      <c r="H94" s="811" t="s">
        <v>218</v>
      </c>
      <c r="I94" s="787">
        <v>60.2</v>
      </c>
      <c r="J94" s="781"/>
      <c r="K94" s="787"/>
      <c r="L94" s="753" t="s">
        <v>62</v>
      </c>
      <c r="M94" s="241">
        <v>100</v>
      </c>
      <c r="N94" s="433"/>
      <c r="O94" s="422"/>
      <c r="R94" s="99"/>
    </row>
    <row r="95" spans="1:18" s="90" customFormat="1" ht="21" customHeight="1" x14ac:dyDescent="0.3">
      <c r="A95" s="43"/>
      <c r="B95" s="726"/>
      <c r="C95" s="206"/>
      <c r="D95" s="1339"/>
      <c r="E95" s="289"/>
      <c r="F95" s="290"/>
      <c r="G95" s="125"/>
      <c r="H95" s="811"/>
      <c r="I95" s="787"/>
      <c r="J95" s="781"/>
      <c r="K95" s="787"/>
      <c r="L95" s="756"/>
      <c r="M95" s="299"/>
      <c r="N95" s="429"/>
      <c r="O95" s="418"/>
    </row>
    <row r="96" spans="1:18" s="90" customFormat="1" ht="27" customHeight="1" x14ac:dyDescent="0.3">
      <c r="A96" s="43"/>
      <c r="B96" s="726"/>
      <c r="C96" s="206"/>
      <c r="D96" s="1338" t="s">
        <v>150</v>
      </c>
      <c r="E96" s="217" t="s">
        <v>32</v>
      </c>
      <c r="F96" s="161"/>
      <c r="G96" s="89"/>
      <c r="H96" s="1131" t="s">
        <v>218</v>
      </c>
      <c r="I96" s="787">
        <v>10.6</v>
      </c>
      <c r="J96" s="781"/>
      <c r="K96" s="787"/>
      <c r="L96" s="1338" t="s">
        <v>151</v>
      </c>
      <c r="M96" s="241">
        <v>1</v>
      </c>
      <c r="N96" s="433"/>
      <c r="O96" s="422"/>
      <c r="R96" s="99"/>
    </row>
    <row r="97" spans="1:20" s="90" customFormat="1" ht="30.65" customHeight="1" x14ac:dyDescent="0.3">
      <c r="A97" s="43"/>
      <c r="B97" s="726"/>
      <c r="C97" s="206"/>
      <c r="D97" s="1339"/>
      <c r="E97" s="1045"/>
      <c r="F97" s="290"/>
      <c r="G97" s="125"/>
      <c r="H97" s="1152" t="s">
        <v>217</v>
      </c>
      <c r="I97" s="787">
        <v>4.0999999999999996</v>
      </c>
      <c r="J97" s="781">
        <v>4.0999999999999996</v>
      </c>
      <c r="K97" s="787"/>
      <c r="L97" s="1339"/>
      <c r="M97" s="250"/>
      <c r="N97" s="446"/>
      <c r="O97" s="445"/>
      <c r="R97" s="99"/>
      <c r="T97" s="99"/>
    </row>
    <row r="98" spans="1:20" s="90" customFormat="1" ht="18.75" customHeight="1" x14ac:dyDescent="0.3">
      <c r="A98" s="43"/>
      <c r="B98" s="1035"/>
      <c r="C98" s="206"/>
      <c r="D98" s="1349" t="s">
        <v>242</v>
      </c>
      <c r="E98" s="289"/>
      <c r="F98" s="290"/>
      <c r="G98" s="125"/>
      <c r="H98" s="1131" t="s">
        <v>248</v>
      </c>
      <c r="I98" s="787">
        <v>81.7</v>
      </c>
      <c r="J98" s="781">
        <v>81.7</v>
      </c>
      <c r="K98" s="1109"/>
      <c r="L98" s="450" t="s">
        <v>243</v>
      </c>
      <c r="M98" s="298">
        <v>1</v>
      </c>
      <c r="N98" s="404"/>
      <c r="O98" s="423"/>
      <c r="R98" s="99"/>
      <c r="T98" s="99"/>
    </row>
    <row r="99" spans="1:20" s="90" customFormat="1" ht="30.65" customHeight="1" x14ac:dyDescent="0.3">
      <c r="A99" s="43"/>
      <c r="B99" s="1035"/>
      <c r="C99" s="206"/>
      <c r="D99" s="1349"/>
      <c r="E99" s="289"/>
      <c r="F99" s="290"/>
      <c r="G99" s="125"/>
      <c r="H99" s="1038"/>
      <c r="I99" s="1135"/>
      <c r="J99" s="1108"/>
      <c r="K99" s="1109"/>
      <c r="L99" s="450" t="s">
        <v>244</v>
      </c>
      <c r="M99" s="298">
        <v>1</v>
      </c>
      <c r="N99" s="404"/>
      <c r="O99" s="423"/>
      <c r="R99" s="99"/>
      <c r="T99" s="99"/>
    </row>
    <row r="100" spans="1:20" s="90" customFormat="1" ht="30.65" customHeight="1" x14ac:dyDescent="0.3">
      <c r="A100" s="43"/>
      <c r="B100" s="1035"/>
      <c r="C100" s="206"/>
      <c r="D100" s="1349"/>
      <c r="E100" s="289"/>
      <c r="F100" s="290"/>
      <c r="G100" s="125"/>
      <c r="H100" s="1038"/>
      <c r="I100" s="1135"/>
      <c r="J100" s="1108"/>
      <c r="K100" s="1109"/>
      <c r="L100" s="1338" t="s">
        <v>245</v>
      </c>
      <c r="M100" s="299">
        <v>100</v>
      </c>
      <c r="N100" s="429"/>
      <c r="O100" s="418"/>
      <c r="R100" s="99"/>
      <c r="T100" s="99"/>
    </row>
    <row r="101" spans="1:20" s="90" customFormat="1" ht="39" customHeight="1" x14ac:dyDescent="0.3">
      <c r="A101" s="43"/>
      <c r="B101" s="1035"/>
      <c r="C101" s="206"/>
      <c r="D101" s="1339"/>
      <c r="E101" s="289"/>
      <c r="F101" s="290"/>
      <c r="G101" s="125"/>
      <c r="H101" s="1038"/>
      <c r="I101" s="1135"/>
      <c r="J101" s="1108"/>
      <c r="K101" s="1109"/>
      <c r="L101" s="1339"/>
      <c r="M101" s="250"/>
      <c r="N101" s="1113"/>
      <c r="O101" s="445"/>
      <c r="R101" s="99"/>
      <c r="T101" s="99"/>
    </row>
    <row r="102" spans="1:20" s="90" customFormat="1" ht="27" customHeight="1" x14ac:dyDescent="0.3">
      <c r="A102" s="43"/>
      <c r="B102" s="1112"/>
      <c r="C102" s="206"/>
      <c r="D102" s="1338" t="s">
        <v>254</v>
      </c>
      <c r="E102" s="289"/>
      <c r="F102" s="290"/>
      <c r="G102" s="125"/>
      <c r="H102" s="1131" t="s">
        <v>217</v>
      </c>
      <c r="I102" s="787"/>
      <c r="J102" s="781"/>
      <c r="K102" s="787">
        <v>35</v>
      </c>
      <c r="L102" s="450" t="s">
        <v>256</v>
      </c>
      <c r="M102" s="1119"/>
      <c r="N102" s="1124"/>
      <c r="O102" s="423">
        <v>1</v>
      </c>
      <c r="R102" s="99"/>
      <c r="T102" s="99"/>
    </row>
    <row r="103" spans="1:20" s="90" customFormat="1" ht="29.25" customHeight="1" x14ac:dyDescent="0.3">
      <c r="A103" s="43"/>
      <c r="B103" s="1120"/>
      <c r="C103" s="206"/>
      <c r="D103" s="1339"/>
      <c r="E103" s="289"/>
      <c r="F103" s="290"/>
      <c r="G103" s="125"/>
      <c r="H103" s="1131"/>
      <c r="I103" s="787"/>
      <c r="J103" s="781"/>
      <c r="K103" s="787">
        <v>100</v>
      </c>
      <c r="L103" s="1121" t="s">
        <v>186</v>
      </c>
      <c r="M103" s="1044"/>
      <c r="N103" s="1115"/>
      <c r="O103" s="418">
        <v>1</v>
      </c>
      <c r="R103" s="99"/>
      <c r="T103" s="99"/>
    </row>
    <row r="104" spans="1:20" s="90" customFormat="1" ht="15.65" customHeight="1" x14ac:dyDescent="0.3">
      <c r="A104" s="43"/>
      <c r="B104" s="726"/>
      <c r="C104" s="206"/>
      <c r="D104" s="746" t="s">
        <v>148</v>
      </c>
      <c r="E104" s="217" t="s">
        <v>32</v>
      </c>
      <c r="F104" s="161"/>
      <c r="G104" s="89"/>
      <c r="H104" s="1128" t="s">
        <v>220</v>
      </c>
      <c r="I104" s="787"/>
      <c r="J104" s="781"/>
      <c r="K104" s="787">
        <f>1000-1000+4000-2000</f>
        <v>2000</v>
      </c>
      <c r="L104" s="753" t="s">
        <v>211</v>
      </c>
      <c r="M104" s="241"/>
      <c r="N104" s="433"/>
      <c r="O104" s="422">
        <v>35</v>
      </c>
      <c r="P104" s="99"/>
    </row>
    <row r="105" spans="1:20" s="90" customFormat="1" ht="29.25" customHeight="1" x14ac:dyDescent="0.3">
      <c r="A105" s="43"/>
      <c r="B105" s="726"/>
      <c r="C105" s="206"/>
      <c r="D105" s="292" t="s">
        <v>166</v>
      </c>
      <c r="E105" s="293" t="s">
        <v>32</v>
      </c>
      <c r="F105" s="187"/>
      <c r="G105" s="808"/>
      <c r="H105" s="1131" t="s">
        <v>220</v>
      </c>
      <c r="I105" s="809"/>
      <c r="J105" s="812"/>
      <c r="K105" s="809">
        <v>1834</v>
      </c>
      <c r="L105" s="450" t="s">
        <v>167</v>
      </c>
      <c r="M105" s="587"/>
      <c r="N105" s="588"/>
      <c r="O105" s="423">
        <v>95</v>
      </c>
    </row>
    <row r="106" spans="1:20" s="90" customFormat="1" ht="43.15" customHeight="1" x14ac:dyDescent="0.3">
      <c r="A106" s="43"/>
      <c r="B106" s="726"/>
      <c r="C106" s="206"/>
      <c r="D106" s="292" t="s">
        <v>187</v>
      </c>
      <c r="E106" s="293" t="s">
        <v>32</v>
      </c>
      <c r="F106" s="187"/>
      <c r="G106" s="808"/>
      <c r="H106" s="1131" t="s">
        <v>217</v>
      </c>
      <c r="I106" s="810"/>
      <c r="J106" s="813"/>
      <c r="K106" s="787">
        <v>821</v>
      </c>
      <c r="L106" s="450" t="s">
        <v>188</v>
      </c>
      <c r="M106" s="251"/>
      <c r="N106" s="539"/>
      <c r="O106" s="423">
        <v>1</v>
      </c>
      <c r="S106" s="99"/>
    </row>
    <row r="107" spans="1:20" s="90" customFormat="1" ht="27.65" customHeight="1" x14ac:dyDescent="0.3">
      <c r="A107" s="43"/>
      <c r="B107" s="726"/>
      <c r="C107" s="228"/>
      <c r="D107" s="1336" t="s">
        <v>190</v>
      </c>
      <c r="E107" s="767" t="s">
        <v>32</v>
      </c>
      <c r="F107" s="79"/>
      <c r="G107" s="97"/>
      <c r="H107" s="1131" t="s">
        <v>217</v>
      </c>
      <c r="I107" s="809"/>
      <c r="J107" s="812"/>
      <c r="K107" s="809">
        <v>50</v>
      </c>
      <c r="L107" s="768" t="s">
        <v>186</v>
      </c>
      <c r="M107" s="544"/>
      <c r="N107" s="433"/>
      <c r="O107" s="422">
        <v>1</v>
      </c>
    </row>
    <row r="108" spans="1:20" s="90" customFormat="1" ht="17.5" customHeight="1" thickBot="1" x14ac:dyDescent="0.35">
      <c r="A108" s="48"/>
      <c r="B108" s="27"/>
      <c r="C108" s="17"/>
      <c r="D108" s="1590"/>
      <c r="E108" s="190"/>
      <c r="F108" s="191"/>
      <c r="G108" s="95"/>
      <c r="H108" s="108" t="s">
        <v>18</v>
      </c>
      <c r="I108" s="689">
        <f>SUM(I80:I88)</f>
        <v>1867.2</v>
      </c>
      <c r="J108" s="362">
        <f>SUM(J80:J88)</f>
        <v>0</v>
      </c>
      <c r="K108" s="354">
        <f>SUM(K80:K88)</f>
        <v>4840</v>
      </c>
      <c r="L108" s="760"/>
      <c r="M108" s="498"/>
      <c r="N108" s="434"/>
      <c r="O108" s="424"/>
    </row>
    <row r="109" spans="1:20" s="90" customFormat="1" ht="22.15" customHeight="1" x14ac:dyDescent="0.3">
      <c r="A109" s="46" t="s">
        <v>13</v>
      </c>
      <c r="B109" s="28" t="s">
        <v>21</v>
      </c>
      <c r="C109" s="9" t="s">
        <v>21</v>
      </c>
      <c r="D109" s="1383" t="s">
        <v>147</v>
      </c>
      <c r="E109" s="828"/>
      <c r="F109" s="829"/>
      <c r="G109" s="830"/>
      <c r="H109" s="797" t="s">
        <v>17</v>
      </c>
      <c r="I109" s="481">
        <f>244.1+250+21+1.1+11+19.6</f>
        <v>546.80000000000007</v>
      </c>
      <c r="J109" s="482">
        <f>548.5-204</f>
        <v>344.5</v>
      </c>
      <c r="K109" s="483">
        <v>231.7</v>
      </c>
      <c r="L109" s="115"/>
      <c r="M109" s="466"/>
      <c r="N109" s="721"/>
      <c r="O109" s="388"/>
    </row>
    <row r="110" spans="1:20" s="90" customFormat="1" ht="22.15" customHeight="1" x14ac:dyDescent="0.3">
      <c r="A110" s="47"/>
      <c r="B110" s="127"/>
      <c r="C110" s="206"/>
      <c r="D110" s="1397"/>
      <c r="E110" s="31"/>
      <c r="F110" s="480"/>
      <c r="G110" s="129"/>
      <c r="H110" s="1122" t="s">
        <v>55</v>
      </c>
      <c r="I110" s="484">
        <f>21.3+23</f>
        <v>44.3</v>
      </c>
      <c r="J110" s="548"/>
      <c r="K110" s="549"/>
      <c r="L110" s="842"/>
      <c r="M110" s="471"/>
      <c r="N110" s="393"/>
      <c r="O110" s="390"/>
    </row>
    <row r="111" spans="1:20" s="90" customFormat="1" ht="22.15" customHeight="1" x14ac:dyDescent="0.3">
      <c r="A111" s="47"/>
      <c r="B111" s="127"/>
      <c r="C111" s="206"/>
      <c r="D111" s="1102"/>
      <c r="E111" s="31"/>
      <c r="F111" s="480"/>
      <c r="G111" s="129"/>
      <c r="H111" s="137" t="s">
        <v>135</v>
      </c>
      <c r="I111" s="900">
        <v>11.4</v>
      </c>
      <c r="J111" s="1104"/>
      <c r="K111" s="1105"/>
      <c r="L111" s="842"/>
      <c r="M111" s="471"/>
      <c r="N111" s="393"/>
      <c r="O111" s="390"/>
    </row>
    <row r="112" spans="1:20" s="90" customFormat="1" ht="41.25" customHeight="1" x14ac:dyDescent="0.3">
      <c r="A112" s="47"/>
      <c r="B112" s="127"/>
      <c r="C112" s="206"/>
      <c r="D112" s="740" t="s">
        <v>52</v>
      </c>
      <c r="E112" s="31"/>
      <c r="F112" s="480"/>
      <c r="G112" s="129"/>
      <c r="H112" s="1049" t="s">
        <v>217</v>
      </c>
      <c r="I112" s="833">
        <v>33</v>
      </c>
      <c r="J112" s="826"/>
      <c r="K112" s="827"/>
      <c r="L112" s="785" t="s">
        <v>227</v>
      </c>
      <c r="M112" s="523">
        <v>100</v>
      </c>
      <c r="N112" s="405"/>
      <c r="O112" s="410"/>
    </row>
    <row r="113" spans="1:20" s="90" customFormat="1" ht="45" customHeight="1" x14ac:dyDescent="0.3">
      <c r="A113" s="47"/>
      <c r="B113" s="127"/>
      <c r="C113" s="206"/>
      <c r="D113" s="196"/>
      <c r="E113" s="31"/>
      <c r="F113" s="732"/>
      <c r="G113" s="129"/>
      <c r="H113" s="779" t="s">
        <v>217</v>
      </c>
      <c r="I113" s="780">
        <f>32.9+5.5</f>
        <v>38.4</v>
      </c>
      <c r="J113" s="781"/>
      <c r="K113" s="782"/>
      <c r="L113" s="794" t="s">
        <v>198</v>
      </c>
      <c r="M113" s="523">
        <v>100</v>
      </c>
      <c r="N113" s="405"/>
      <c r="O113" s="486"/>
    </row>
    <row r="114" spans="1:20" s="90" customFormat="1" ht="65.25" customHeight="1" x14ac:dyDescent="0.3">
      <c r="A114" s="47"/>
      <c r="B114" s="127"/>
      <c r="C114" s="206"/>
      <c r="D114" s="196"/>
      <c r="E114" s="31"/>
      <c r="F114" s="1048"/>
      <c r="G114" s="129"/>
      <c r="H114" s="779" t="s">
        <v>218</v>
      </c>
      <c r="I114" s="780">
        <v>23</v>
      </c>
      <c r="J114" s="781"/>
      <c r="K114" s="782"/>
      <c r="L114" s="794" t="s">
        <v>258</v>
      </c>
      <c r="M114" s="523">
        <v>100</v>
      </c>
      <c r="N114" s="405"/>
      <c r="O114" s="486"/>
    </row>
    <row r="115" spans="1:20" s="90" customFormat="1" ht="31.5" customHeight="1" x14ac:dyDescent="0.3">
      <c r="A115" s="47"/>
      <c r="B115" s="127"/>
      <c r="C115" s="206"/>
      <c r="D115" s="196"/>
      <c r="E115" s="31"/>
      <c r="F115" s="732"/>
      <c r="G115" s="129"/>
      <c r="H115" s="779" t="s">
        <v>217</v>
      </c>
      <c r="I115" s="780">
        <v>2.2000000000000002</v>
      </c>
      <c r="J115" s="781"/>
      <c r="K115" s="782"/>
      <c r="L115" s="786" t="s">
        <v>192</v>
      </c>
      <c r="M115" s="523">
        <v>2</v>
      </c>
      <c r="N115" s="405"/>
      <c r="O115" s="486"/>
    </row>
    <row r="116" spans="1:20" s="90" customFormat="1" ht="39.75" customHeight="1" x14ac:dyDescent="0.3">
      <c r="A116" s="47"/>
      <c r="B116" s="127"/>
      <c r="C116" s="206"/>
      <c r="D116" s="1145"/>
      <c r="E116" s="31"/>
      <c r="F116" s="1127"/>
      <c r="G116" s="129"/>
      <c r="H116" s="1329" t="s">
        <v>217</v>
      </c>
      <c r="I116" s="780">
        <f>250+51.6</f>
        <v>301.60000000000002</v>
      </c>
      <c r="J116" s="781"/>
      <c r="K116" s="782"/>
      <c r="L116" s="309" t="s">
        <v>269</v>
      </c>
      <c r="M116" s="457">
        <v>100</v>
      </c>
      <c r="N116" s="405"/>
      <c r="O116" s="397"/>
    </row>
    <row r="117" spans="1:20" s="90" customFormat="1" ht="31.5" customHeight="1" x14ac:dyDescent="0.3">
      <c r="A117" s="47"/>
      <c r="B117" s="127"/>
      <c r="C117" s="206"/>
      <c r="D117" s="1145"/>
      <c r="E117" s="31"/>
      <c r="F117" s="1127"/>
      <c r="G117" s="129"/>
      <c r="H117" s="1329" t="s">
        <v>217</v>
      </c>
      <c r="I117" s="780">
        <f>21-21</f>
        <v>0</v>
      </c>
      <c r="J117" s="1330">
        <v>21</v>
      </c>
      <c r="K117" s="782"/>
      <c r="L117" s="309" t="s">
        <v>260</v>
      </c>
      <c r="M117" s="457"/>
      <c r="N117" s="405">
        <v>1</v>
      </c>
      <c r="O117" s="397"/>
    </row>
    <row r="118" spans="1:20" s="90" customFormat="1" ht="31.5" customHeight="1" x14ac:dyDescent="0.3">
      <c r="A118" s="47"/>
      <c r="B118" s="127"/>
      <c r="C118" s="206"/>
      <c r="D118" s="1145"/>
      <c r="E118" s="31"/>
      <c r="F118" s="1127"/>
      <c r="G118" s="129"/>
      <c r="H118" s="1152" t="s">
        <v>217</v>
      </c>
      <c r="I118" s="780">
        <v>1.1000000000000001</v>
      </c>
      <c r="J118" s="781"/>
      <c r="K118" s="782"/>
      <c r="L118" s="309" t="s">
        <v>264</v>
      </c>
      <c r="M118" s="457">
        <v>2</v>
      </c>
      <c r="N118" s="405"/>
      <c r="O118" s="397"/>
    </row>
    <row r="119" spans="1:20" s="90" customFormat="1" ht="32.5" customHeight="1" x14ac:dyDescent="0.3">
      <c r="A119" s="47"/>
      <c r="B119" s="127"/>
      <c r="C119" s="206"/>
      <c r="D119" s="740"/>
      <c r="E119" s="31"/>
      <c r="F119" s="480"/>
      <c r="G119" s="129"/>
      <c r="H119" s="1049" t="s">
        <v>217</v>
      </c>
      <c r="I119" s="834"/>
      <c r="J119" s="799">
        <v>18.7</v>
      </c>
      <c r="K119" s="825"/>
      <c r="L119" s="309" t="s">
        <v>180</v>
      </c>
      <c r="M119" s="298"/>
      <c r="N119" s="404">
        <v>100</v>
      </c>
      <c r="O119" s="423"/>
    </row>
    <row r="120" spans="1:20" s="90" customFormat="1" ht="32.5" customHeight="1" x14ac:dyDescent="0.3">
      <c r="A120" s="47"/>
      <c r="B120" s="127"/>
      <c r="C120" s="206"/>
      <c r="D120" s="740"/>
      <c r="E120" s="31"/>
      <c r="F120" s="480"/>
      <c r="G120" s="129"/>
      <c r="H120" s="1049" t="s">
        <v>217</v>
      </c>
      <c r="I120" s="780"/>
      <c r="J120" s="781">
        <v>20.5</v>
      </c>
      <c r="K120" s="782"/>
      <c r="L120" s="794" t="s">
        <v>168</v>
      </c>
      <c r="M120" s="557"/>
      <c r="N120" s="404">
        <v>100</v>
      </c>
      <c r="O120" s="423"/>
    </row>
    <row r="121" spans="1:20" s="90" customFormat="1" ht="39.75" customHeight="1" x14ac:dyDescent="0.3">
      <c r="A121" s="47"/>
      <c r="B121" s="127"/>
      <c r="C121" s="206"/>
      <c r="D121" s="196"/>
      <c r="E121" s="31"/>
      <c r="F121" s="732"/>
      <c r="G121" s="129"/>
      <c r="H121" s="779" t="s">
        <v>217</v>
      </c>
      <c r="I121" s="780"/>
      <c r="J121" s="781">
        <v>24.9</v>
      </c>
      <c r="K121" s="782"/>
      <c r="L121" s="794" t="s">
        <v>193</v>
      </c>
      <c r="M121" s="557"/>
      <c r="N121" s="404">
        <v>100</v>
      </c>
      <c r="O121" s="558"/>
    </row>
    <row r="122" spans="1:20" s="90" customFormat="1" ht="41.25" customHeight="1" x14ac:dyDescent="0.3">
      <c r="A122" s="47"/>
      <c r="B122" s="127"/>
      <c r="C122" s="206"/>
      <c r="D122" s="196"/>
      <c r="E122" s="1334" t="s">
        <v>32</v>
      </c>
      <c r="F122" s="732"/>
      <c r="G122" s="129"/>
      <c r="H122" s="779" t="s">
        <v>217</v>
      </c>
      <c r="I122" s="780"/>
      <c r="J122" s="781">
        <v>9.5</v>
      </c>
      <c r="K122" s="782"/>
      <c r="L122" s="818" t="s">
        <v>182</v>
      </c>
      <c r="M122" s="735"/>
      <c r="N122" s="405">
        <v>100</v>
      </c>
      <c r="O122" s="486"/>
    </row>
    <row r="123" spans="1:20" s="90" customFormat="1" ht="41.25" customHeight="1" x14ac:dyDescent="0.3">
      <c r="A123" s="47"/>
      <c r="B123" s="127"/>
      <c r="C123" s="206"/>
      <c r="D123" s="196"/>
      <c r="E123" s="31"/>
      <c r="F123" s="732"/>
      <c r="G123" s="129"/>
      <c r="H123" s="779" t="s">
        <v>217</v>
      </c>
      <c r="I123" s="780"/>
      <c r="J123" s="781">
        <v>7</v>
      </c>
      <c r="K123" s="782"/>
      <c r="L123" s="818" t="s">
        <v>183</v>
      </c>
      <c r="M123" s="735"/>
      <c r="N123" s="405">
        <v>100</v>
      </c>
      <c r="O123" s="486"/>
    </row>
    <row r="124" spans="1:20" s="90" customFormat="1" ht="39" customHeight="1" x14ac:dyDescent="0.3">
      <c r="A124" s="47"/>
      <c r="B124" s="127"/>
      <c r="C124" s="206"/>
      <c r="D124" s="196"/>
      <c r="E124" s="31"/>
      <c r="F124" s="732"/>
      <c r="G124" s="129"/>
      <c r="H124" s="779" t="s">
        <v>217</v>
      </c>
      <c r="I124" s="780"/>
      <c r="J124" s="781">
        <v>3</v>
      </c>
      <c r="K124" s="782"/>
      <c r="L124" s="819" t="s">
        <v>194</v>
      </c>
      <c r="M124" s="523"/>
      <c r="N124" s="405">
        <v>100</v>
      </c>
      <c r="O124" s="486"/>
    </row>
    <row r="125" spans="1:20" s="90" customFormat="1" ht="30.65" customHeight="1" x14ac:dyDescent="0.3">
      <c r="A125" s="47"/>
      <c r="B125" s="127"/>
      <c r="C125" s="206"/>
      <c r="D125" s="196"/>
      <c r="E125" s="31"/>
      <c r="F125" s="732"/>
      <c r="G125" s="129"/>
      <c r="H125" s="779" t="s">
        <v>217</v>
      </c>
      <c r="I125" s="780"/>
      <c r="J125" s="781">
        <v>9</v>
      </c>
      <c r="K125" s="782"/>
      <c r="L125" s="818" t="s">
        <v>184</v>
      </c>
      <c r="M125" s="735"/>
      <c r="N125" s="405">
        <v>100</v>
      </c>
      <c r="O125" s="397"/>
    </row>
    <row r="126" spans="1:20" s="90" customFormat="1" ht="44.5" customHeight="1" x14ac:dyDescent="0.3">
      <c r="A126" s="47"/>
      <c r="B126" s="127"/>
      <c r="C126" s="206"/>
      <c r="D126" s="740"/>
      <c r="E126" s="31"/>
      <c r="F126" s="480"/>
      <c r="G126" s="129"/>
      <c r="H126" s="1049" t="s">
        <v>217</v>
      </c>
      <c r="I126" s="780"/>
      <c r="J126" s="781"/>
      <c r="K126" s="782">
        <v>44.5</v>
      </c>
      <c r="L126" s="820" t="s">
        <v>191</v>
      </c>
      <c r="M126" s="722"/>
      <c r="N126" s="723"/>
      <c r="O126" s="422">
        <v>100</v>
      </c>
      <c r="R126" s="99"/>
      <c r="T126" s="99"/>
    </row>
    <row r="127" spans="1:20" s="90" customFormat="1" ht="31.15" customHeight="1" x14ac:dyDescent="0.3">
      <c r="A127" s="43"/>
      <c r="B127" s="726"/>
      <c r="C127" s="228"/>
      <c r="D127" s="1502" t="s">
        <v>169</v>
      </c>
      <c r="E127" s="207"/>
      <c r="F127" s="79"/>
      <c r="G127" s="97" t="s">
        <v>16</v>
      </c>
      <c r="H127" s="779" t="s">
        <v>217</v>
      </c>
      <c r="I127" s="780">
        <v>14.9</v>
      </c>
      <c r="J127" s="781"/>
      <c r="K127" s="782"/>
      <c r="L127" s="851" t="s">
        <v>195</v>
      </c>
      <c r="M127" s="557">
        <v>100</v>
      </c>
      <c r="N127" s="852"/>
      <c r="O127" s="554"/>
    </row>
    <row r="128" spans="1:20" s="90" customFormat="1" ht="30" customHeight="1" x14ac:dyDescent="0.3">
      <c r="A128" s="43"/>
      <c r="B128" s="726"/>
      <c r="C128" s="228"/>
      <c r="D128" s="1503"/>
      <c r="E128" s="207"/>
      <c r="F128" s="67"/>
      <c r="G128" s="86"/>
      <c r="H128" s="779" t="s">
        <v>217</v>
      </c>
      <c r="I128" s="780"/>
      <c r="J128" s="781">
        <v>14.2</v>
      </c>
      <c r="K128" s="782"/>
      <c r="L128" s="821" t="s">
        <v>171</v>
      </c>
      <c r="M128" s="557"/>
      <c r="N128" s="404">
        <v>100</v>
      </c>
      <c r="O128" s="558"/>
    </row>
    <row r="129" spans="1:20" s="90" customFormat="1" ht="32.5" customHeight="1" x14ac:dyDescent="0.3">
      <c r="A129" s="43"/>
      <c r="B129" s="726"/>
      <c r="C129" s="228"/>
      <c r="D129" s="196"/>
      <c r="E129" s="207"/>
      <c r="F129" s="67"/>
      <c r="G129" s="86"/>
      <c r="H129" s="779" t="s">
        <v>217</v>
      </c>
      <c r="I129" s="780"/>
      <c r="J129" s="781">
        <v>3.5</v>
      </c>
      <c r="K129" s="782"/>
      <c r="L129" s="822" t="s">
        <v>196</v>
      </c>
      <c r="M129" s="560"/>
      <c r="N129" s="446">
        <v>100</v>
      </c>
      <c r="O129" s="727"/>
    </row>
    <row r="130" spans="1:20" s="90" customFormat="1" ht="29.5" customHeight="1" x14ac:dyDescent="0.3">
      <c r="A130" s="43"/>
      <c r="B130" s="726"/>
      <c r="C130" s="228"/>
      <c r="D130" s="196"/>
      <c r="E130" s="207"/>
      <c r="F130" s="67"/>
      <c r="G130" s="86"/>
      <c r="H130" s="779" t="s">
        <v>217</v>
      </c>
      <c r="I130" s="780"/>
      <c r="J130" s="781">
        <v>36.299999999999997</v>
      </c>
      <c r="K130" s="782"/>
      <c r="L130" s="823" t="s">
        <v>170</v>
      </c>
      <c r="M130" s="544"/>
      <c r="N130" s="433">
        <v>100</v>
      </c>
      <c r="O130" s="563"/>
    </row>
    <row r="131" spans="1:20" s="90" customFormat="1" ht="43.9" customHeight="1" x14ac:dyDescent="0.3">
      <c r="A131" s="43"/>
      <c r="B131" s="726"/>
      <c r="C131" s="228"/>
      <c r="D131" s="196"/>
      <c r="E131" s="207"/>
      <c r="F131" s="67"/>
      <c r="G131" s="86"/>
      <c r="H131" s="779" t="s">
        <v>217</v>
      </c>
      <c r="I131" s="780"/>
      <c r="J131" s="781"/>
      <c r="K131" s="782">
        <v>10.3</v>
      </c>
      <c r="L131" s="824" t="s">
        <v>189</v>
      </c>
      <c r="M131" s="544"/>
      <c r="N131" s="433"/>
      <c r="O131" s="422">
        <v>100</v>
      </c>
    </row>
    <row r="132" spans="1:20" s="90" customFormat="1" ht="29.25" customHeight="1" x14ac:dyDescent="0.3">
      <c r="A132" s="43"/>
      <c r="B132" s="726"/>
      <c r="C132" s="206"/>
      <c r="D132" s="1092" t="s">
        <v>134</v>
      </c>
      <c r="E132" s="846"/>
      <c r="F132" s="848">
        <v>11010100</v>
      </c>
      <c r="G132" s="89">
        <v>6</v>
      </c>
      <c r="H132" s="811" t="s">
        <v>217</v>
      </c>
      <c r="I132" s="834">
        <v>155.6</v>
      </c>
      <c r="J132" s="799">
        <v>176.9</v>
      </c>
      <c r="K132" s="825">
        <v>176.9</v>
      </c>
      <c r="L132" s="1106" t="s">
        <v>185</v>
      </c>
      <c r="M132" s="100">
        <v>6</v>
      </c>
      <c r="N132" s="517">
        <v>6</v>
      </c>
      <c r="O132" s="518">
        <v>6</v>
      </c>
      <c r="T132" s="99"/>
    </row>
    <row r="133" spans="1:20" s="90" customFormat="1" ht="21.75" customHeight="1" x14ac:dyDescent="0.3">
      <c r="A133" s="43"/>
      <c r="B133" s="1047"/>
      <c r="C133" s="206"/>
      <c r="D133" s="1336" t="s">
        <v>138</v>
      </c>
      <c r="E133" s="21"/>
      <c r="F133" s="1077"/>
      <c r="G133" s="243"/>
      <c r="H133" s="1111" t="s">
        <v>248</v>
      </c>
      <c r="I133" s="834">
        <v>11.4</v>
      </c>
      <c r="J133" s="799"/>
      <c r="K133" s="825"/>
      <c r="L133" s="1345" t="s">
        <v>253</v>
      </c>
      <c r="M133" s="22">
        <v>134</v>
      </c>
      <c r="N133" s="437"/>
      <c r="O133" s="427"/>
      <c r="T133" s="99"/>
    </row>
    <row r="134" spans="1:20" s="90" customFormat="1" ht="15.65" customHeight="1" x14ac:dyDescent="0.3">
      <c r="A134" s="39"/>
      <c r="B134" s="726"/>
      <c r="C134" s="228"/>
      <c r="D134" s="1342"/>
      <c r="E134" s="1479" t="s">
        <v>18</v>
      </c>
      <c r="F134" s="1480"/>
      <c r="G134" s="1480"/>
      <c r="H134" s="1599"/>
      <c r="I134" s="355">
        <f>SUM(I109:I111)</f>
        <v>602.5</v>
      </c>
      <c r="J134" s="285">
        <f>SUM(J109)</f>
        <v>344.5</v>
      </c>
      <c r="K134" s="356">
        <f>SUM(K109)</f>
        <v>231.7</v>
      </c>
      <c r="L134" s="1346"/>
      <c r="M134" s="245"/>
      <c r="N134" s="438"/>
      <c r="O134" s="402"/>
      <c r="R134" s="99"/>
    </row>
    <row r="135" spans="1:20" s="90" customFormat="1" ht="15.65" customHeight="1" thickBot="1" x14ac:dyDescent="0.35">
      <c r="A135" s="254" t="s">
        <v>13</v>
      </c>
      <c r="B135" s="255" t="s">
        <v>21</v>
      </c>
      <c r="C135" s="1410" t="s">
        <v>22</v>
      </c>
      <c r="D135" s="1340"/>
      <c r="E135" s="1340"/>
      <c r="F135" s="1340"/>
      <c r="G135" s="1340"/>
      <c r="H135" s="1411"/>
      <c r="I135" s="234">
        <f>I134+I108+I79</f>
        <v>2469.6999999999998</v>
      </c>
      <c r="J135" s="688">
        <f>J134+J108+J79</f>
        <v>369</v>
      </c>
      <c r="K135" s="835">
        <f>K134+K108+K79</f>
        <v>5071.7</v>
      </c>
      <c r="L135" s="1491"/>
      <c r="M135" s="1492"/>
      <c r="N135" s="1492"/>
      <c r="O135" s="1493"/>
    </row>
    <row r="136" spans="1:20" s="90" customFormat="1" ht="14.25" customHeight="1" thickBot="1" x14ac:dyDescent="0.35">
      <c r="A136" s="49" t="s">
        <v>13</v>
      </c>
      <c r="B136" s="10" t="s">
        <v>31</v>
      </c>
      <c r="C136" s="1412" t="s">
        <v>38</v>
      </c>
      <c r="D136" s="1413"/>
      <c r="E136" s="1413"/>
      <c r="F136" s="1413"/>
      <c r="G136" s="1413"/>
      <c r="H136" s="1413"/>
      <c r="I136" s="1413"/>
      <c r="J136" s="1413"/>
      <c r="K136" s="1413"/>
      <c r="L136" s="1414"/>
      <c r="M136" s="1417"/>
      <c r="N136" s="1417"/>
      <c r="O136" s="1418"/>
    </row>
    <row r="137" spans="1:20" s="90" customFormat="1" ht="29.25" customHeight="1" x14ac:dyDescent="0.3">
      <c r="A137" s="38" t="s">
        <v>13</v>
      </c>
      <c r="B137" s="725" t="s">
        <v>31</v>
      </c>
      <c r="C137" s="3" t="s">
        <v>13</v>
      </c>
      <c r="D137" s="1365" t="s">
        <v>83</v>
      </c>
      <c r="E137" s="162"/>
      <c r="F137" s="237">
        <v>11030607</v>
      </c>
      <c r="G137" s="163" t="s">
        <v>16</v>
      </c>
      <c r="H137" s="34" t="s">
        <v>17</v>
      </c>
      <c r="I137" s="490">
        <f>756+600</f>
        <v>1356</v>
      </c>
      <c r="J137" s="317">
        <v>756</v>
      </c>
      <c r="K137" s="699">
        <v>756</v>
      </c>
      <c r="L137" s="1459" t="s">
        <v>228</v>
      </c>
      <c r="M137" s="249">
        <v>4</v>
      </c>
      <c r="N137" s="428">
        <v>4</v>
      </c>
      <c r="O137" s="444">
        <v>4</v>
      </c>
    </row>
    <row r="138" spans="1:20" s="90" customFormat="1" ht="15" customHeight="1" thickBot="1" x14ac:dyDescent="0.35">
      <c r="A138" s="41"/>
      <c r="B138" s="739"/>
      <c r="C138" s="5"/>
      <c r="D138" s="1366"/>
      <c r="E138" s="164"/>
      <c r="F138" s="238"/>
      <c r="G138" s="54"/>
      <c r="H138" s="35" t="s">
        <v>18</v>
      </c>
      <c r="I138" s="280">
        <f t="shared" ref="I138:K138" si="8">SUM(I137:I137)</f>
        <v>1356</v>
      </c>
      <c r="J138" s="318">
        <f t="shared" si="8"/>
        <v>756</v>
      </c>
      <c r="K138" s="313">
        <f t="shared" si="8"/>
        <v>756</v>
      </c>
      <c r="L138" s="1504"/>
      <c r="M138" s="250"/>
      <c r="N138" s="446"/>
      <c r="O138" s="445"/>
    </row>
    <row r="139" spans="1:20" s="90" customFormat="1" ht="19.5" customHeight="1" x14ac:dyDescent="0.3">
      <c r="A139" s="38" t="s">
        <v>13</v>
      </c>
      <c r="B139" s="1354" t="s">
        <v>31</v>
      </c>
      <c r="C139" s="1542" t="s">
        <v>19</v>
      </c>
      <c r="D139" s="1403" t="s">
        <v>84</v>
      </c>
      <c r="E139" s="1546"/>
      <c r="F139" s="731">
        <v>11030701</v>
      </c>
      <c r="G139" s="1482" t="s">
        <v>16</v>
      </c>
      <c r="H139" s="19" t="s">
        <v>17</v>
      </c>
      <c r="I139" s="490">
        <f>33.7</f>
        <v>33.700000000000003</v>
      </c>
      <c r="J139" s="317">
        <v>55</v>
      </c>
      <c r="K139" s="699">
        <v>55</v>
      </c>
      <c r="L139" s="1460" t="s">
        <v>39</v>
      </c>
      <c r="M139" s="299">
        <v>27</v>
      </c>
      <c r="N139" s="278">
        <v>15</v>
      </c>
      <c r="O139" s="56">
        <v>18</v>
      </c>
    </row>
    <row r="140" spans="1:20" s="90" customFormat="1" ht="20.25" customHeight="1" x14ac:dyDescent="0.3">
      <c r="A140" s="39"/>
      <c r="B140" s="1380"/>
      <c r="C140" s="1600"/>
      <c r="D140" s="1601"/>
      <c r="E140" s="1602"/>
      <c r="F140" s="1117"/>
      <c r="G140" s="1603"/>
      <c r="H140" s="1125" t="s">
        <v>55</v>
      </c>
      <c r="I140" s="71">
        <v>21.2</v>
      </c>
      <c r="J140" s="300"/>
      <c r="K140" s="372"/>
      <c r="L140" s="1460"/>
      <c r="M140" s="1044"/>
      <c r="N140" s="278"/>
      <c r="O140" s="1118"/>
    </row>
    <row r="141" spans="1:20" s="90" customFormat="1" ht="15.75" customHeight="1" thickBot="1" x14ac:dyDescent="0.35">
      <c r="A141" s="41"/>
      <c r="B141" s="1355"/>
      <c r="C141" s="1543"/>
      <c r="D141" s="1404"/>
      <c r="E141" s="1547"/>
      <c r="F141" s="733"/>
      <c r="G141" s="1483"/>
      <c r="H141" s="18" t="s">
        <v>18</v>
      </c>
      <c r="I141" s="280">
        <f>SUM(I139:I140)</f>
        <v>54.900000000000006</v>
      </c>
      <c r="J141" s="318">
        <f>SUM(J139:J140)</f>
        <v>55</v>
      </c>
      <c r="K141" s="313">
        <f>SUM(K139:K140)</f>
        <v>55</v>
      </c>
      <c r="L141" s="1461"/>
      <c r="M141" s="470"/>
      <c r="N141" s="416"/>
      <c r="O141" s="411"/>
    </row>
    <row r="142" spans="1:20" s="90" customFormat="1" ht="13.5" thickBot="1" x14ac:dyDescent="0.35">
      <c r="A142" s="37" t="s">
        <v>13</v>
      </c>
      <c r="B142" s="10" t="s">
        <v>31</v>
      </c>
      <c r="C142" s="1402" t="s">
        <v>22</v>
      </c>
      <c r="D142" s="1402"/>
      <c r="E142" s="1402"/>
      <c r="F142" s="1402"/>
      <c r="G142" s="1402"/>
      <c r="H142" s="1402"/>
      <c r="I142" s="275">
        <f>I141+I138</f>
        <v>1410.9</v>
      </c>
      <c r="J142" s="319">
        <f t="shared" ref="J142:K142" si="9">J141+J138</f>
        <v>811</v>
      </c>
      <c r="K142" s="314">
        <f t="shared" si="9"/>
        <v>811</v>
      </c>
      <c r="L142" s="1535"/>
      <c r="M142" s="1536"/>
      <c r="N142" s="1536"/>
      <c r="O142" s="1537"/>
    </row>
    <row r="143" spans="1:20" s="101" customFormat="1" ht="15.75" customHeight="1" thickBot="1" x14ac:dyDescent="0.35">
      <c r="A143" s="37" t="s">
        <v>13</v>
      </c>
      <c r="B143" s="1538" t="s">
        <v>40</v>
      </c>
      <c r="C143" s="1539"/>
      <c r="D143" s="1539"/>
      <c r="E143" s="1539"/>
      <c r="F143" s="1539"/>
      <c r="G143" s="1539"/>
      <c r="H143" s="1539"/>
      <c r="I143" s="188">
        <f>I135+I75+I26+I142</f>
        <v>11436.8</v>
      </c>
      <c r="J143" s="320">
        <f>J135+J75+J26+J142</f>
        <v>8969.2000000000007</v>
      </c>
      <c r="K143" s="831">
        <f>K135+K75+K26+K142</f>
        <v>13686.499999999998</v>
      </c>
      <c r="L143" s="50"/>
      <c r="M143" s="1498"/>
      <c r="N143" s="1498"/>
      <c r="O143" s="1499"/>
    </row>
    <row r="144" spans="1:20" s="101" customFormat="1" ht="15.75" customHeight="1" thickBot="1" x14ac:dyDescent="0.35">
      <c r="A144" s="304" t="s">
        <v>41</v>
      </c>
      <c r="B144" s="305" t="s">
        <v>42</v>
      </c>
      <c r="C144" s="306"/>
      <c r="D144" s="306"/>
      <c r="E144" s="306"/>
      <c r="F144" s="306"/>
      <c r="G144" s="306"/>
      <c r="H144" s="306"/>
      <c r="I144" s="189">
        <f t="shared" ref="I144:K144" si="10">I143</f>
        <v>11436.8</v>
      </c>
      <c r="J144" s="321">
        <f t="shared" si="10"/>
        <v>8969.2000000000007</v>
      </c>
      <c r="K144" s="832">
        <f t="shared" si="10"/>
        <v>13686.499999999998</v>
      </c>
      <c r="L144" s="51"/>
      <c r="M144" s="1500"/>
      <c r="N144" s="1500"/>
      <c r="O144" s="1501"/>
    </row>
    <row r="145" spans="1:18" s="90" customFormat="1" ht="31.15" customHeight="1" thickBot="1" x14ac:dyDescent="0.35">
      <c r="A145" s="11"/>
      <c r="B145" s="1484" t="s">
        <v>43</v>
      </c>
      <c r="C145" s="1484"/>
      <c r="D145" s="1484"/>
      <c r="E145" s="1484"/>
      <c r="F145" s="1484"/>
      <c r="G145" s="1484"/>
      <c r="H145" s="1484"/>
      <c r="I145" s="1485"/>
      <c r="J145" s="1485"/>
      <c r="K145" s="1485"/>
      <c r="L145" s="13"/>
      <c r="M145" s="124"/>
      <c r="N145" s="124"/>
      <c r="O145" s="124"/>
    </row>
    <row r="146" spans="1:18" s="90" customFormat="1" ht="74.25" customHeight="1" thickBot="1" x14ac:dyDescent="0.35">
      <c r="A146" s="12"/>
      <c r="B146" s="1533" t="s">
        <v>44</v>
      </c>
      <c r="C146" s="1534"/>
      <c r="D146" s="1534"/>
      <c r="E146" s="1534"/>
      <c r="F146" s="1534"/>
      <c r="G146" s="1534"/>
      <c r="H146" s="1534"/>
      <c r="I146" s="974" t="s">
        <v>237</v>
      </c>
      <c r="J146" s="976" t="s">
        <v>239</v>
      </c>
      <c r="K146" s="975" t="s">
        <v>238</v>
      </c>
      <c r="L146" s="14"/>
      <c r="M146" s="53"/>
      <c r="N146" s="53"/>
      <c r="O146" s="53"/>
    </row>
    <row r="147" spans="1:18" s="90" customFormat="1" x14ac:dyDescent="0.3">
      <c r="A147" s="12"/>
      <c r="B147" s="1390" t="s">
        <v>45</v>
      </c>
      <c r="C147" s="1391"/>
      <c r="D147" s="1391"/>
      <c r="E147" s="1391"/>
      <c r="F147" s="1391"/>
      <c r="G147" s="1391"/>
      <c r="H147" s="1391"/>
      <c r="I147" s="971">
        <f t="shared" ref="I147:K147" si="11">+I148+I154+I155+I156+I157</f>
        <v>11343.699999999999</v>
      </c>
      <c r="J147" s="972">
        <f t="shared" si="11"/>
        <v>8969.1999999999989</v>
      </c>
      <c r="K147" s="973">
        <f t="shared" si="11"/>
        <v>9852.5</v>
      </c>
      <c r="L147" s="15"/>
      <c r="M147" s="52"/>
      <c r="N147" s="52"/>
      <c r="O147" s="52"/>
    </row>
    <row r="148" spans="1:18" s="90" customFormat="1" x14ac:dyDescent="0.3">
      <c r="A148" s="12"/>
      <c r="B148" s="1479" t="s">
        <v>132</v>
      </c>
      <c r="C148" s="1480"/>
      <c r="D148" s="1480"/>
      <c r="E148" s="1480"/>
      <c r="F148" s="1480"/>
      <c r="G148" s="1480"/>
      <c r="H148" s="1481"/>
      <c r="I148" s="333">
        <f t="shared" ref="I148:K148" si="12">SUM(I149:I153)</f>
        <v>10740.300000000001</v>
      </c>
      <c r="J148" s="340">
        <f t="shared" si="12"/>
        <v>8969.1999999999989</v>
      </c>
      <c r="K148" s="324">
        <f t="shared" si="12"/>
        <v>9852.5</v>
      </c>
      <c r="L148" s="15"/>
      <c r="M148" s="52"/>
      <c r="N148" s="52"/>
      <c r="O148" s="52"/>
    </row>
    <row r="149" spans="1:18" s="90" customFormat="1" ht="12.75" customHeight="1" x14ac:dyDescent="0.3">
      <c r="A149" s="12"/>
      <c r="B149" s="1531" t="s">
        <v>113</v>
      </c>
      <c r="C149" s="1532"/>
      <c r="D149" s="1532"/>
      <c r="E149" s="1532"/>
      <c r="F149" s="1532"/>
      <c r="G149" s="1532"/>
      <c r="H149" s="1532"/>
      <c r="I149" s="218">
        <f>SUMIF(H14:H139,"sb",I14:I139)</f>
        <v>9104.9000000000015</v>
      </c>
      <c r="J149" s="301">
        <f>SUMIF(H14:H139,"sb",J14:J139)</f>
        <v>8638.7999999999993</v>
      </c>
      <c r="K149" s="325">
        <f>SUMIF(H14:H139,"sb",K14:K139)</f>
        <v>9522.1</v>
      </c>
      <c r="L149" s="59"/>
      <c r="M149" s="78"/>
      <c r="N149" s="78"/>
      <c r="O149" s="78"/>
    </row>
    <row r="150" spans="1:18" s="90" customFormat="1" ht="29.5" customHeight="1" x14ac:dyDescent="0.3">
      <c r="A150" s="12"/>
      <c r="B150" s="1407" t="s">
        <v>229</v>
      </c>
      <c r="C150" s="1408"/>
      <c r="D150" s="1408"/>
      <c r="E150" s="1408"/>
      <c r="F150" s="1408"/>
      <c r="G150" s="1408"/>
      <c r="H150" s="1409"/>
      <c r="I150" s="218">
        <f>SUMIF(H14:H139,"sb(es)",I14:I139)</f>
        <v>32.6</v>
      </c>
      <c r="J150" s="301">
        <f>SUMIF(H14:H139,"sb(es)",J14:J139)</f>
        <v>0</v>
      </c>
      <c r="K150" s="325">
        <f>SUMIF(H14:H139,"sb(es)",K14:K139)</f>
        <v>0</v>
      </c>
      <c r="L150" s="59"/>
      <c r="M150" s="78"/>
      <c r="N150" s="78"/>
      <c r="O150" s="78"/>
    </row>
    <row r="151" spans="1:18" s="90" customFormat="1" ht="29.5" customHeight="1" x14ac:dyDescent="0.3">
      <c r="A151" s="12"/>
      <c r="B151" s="1407" t="s">
        <v>101</v>
      </c>
      <c r="C151" s="1408"/>
      <c r="D151" s="1408"/>
      <c r="E151" s="1408"/>
      <c r="F151" s="1408"/>
      <c r="G151" s="1408"/>
      <c r="H151" s="1409"/>
      <c r="I151" s="218">
        <f>SUMIF(H14:H139,"sb(vb)",I14:I139)</f>
        <v>2.8</v>
      </c>
      <c r="J151" s="301">
        <f>SUMIF(H14:H139,"sb(vb)",J14:J139)</f>
        <v>0</v>
      </c>
      <c r="K151" s="325">
        <f>SUMIF(H14:H139,"sb(vb)",K14:K139)</f>
        <v>0</v>
      </c>
      <c r="L151" s="59"/>
      <c r="M151" s="173"/>
      <c r="N151" s="173"/>
      <c r="O151" s="173"/>
    </row>
    <row r="152" spans="1:18" s="90" customFormat="1" ht="12.75" customHeight="1" x14ac:dyDescent="0.3">
      <c r="A152" s="12"/>
      <c r="B152" s="1540" t="s">
        <v>87</v>
      </c>
      <c r="C152" s="1541"/>
      <c r="D152" s="1541"/>
      <c r="E152" s="1541"/>
      <c r="F152" s="1541"/>
      <c r="G152" s="1541"/>
      <c r="H152" s="1541"/>
      <c r="I152" s="218">
        <f>SUMIF(H16:H141,"sb(p)",I16:I141)</f>
        <v>1299.8999999999999</v>
      </c>
      <c r="J152" s="301">
        <f>SUMIF(H16:H141,"sb(p)",J16:J141)</f>
        <v>0</v>
      </c>
      <c r="K152" s="325">
        <f>SUMIF(H16:H141,"sb(p)",K16:K141)</f>
        <v>0</v>
      </c>
      <c r="L152" s="59"/>
      <c r="M152" s="173"/>
      <c r="N152" s="173"/>
      <c r="O152" s="173"/>
    </row>
    <row r="153" spans="1:18" s="90" customFormat="1" ht="15" customHeight="1" x14ac:dyDescent="0.3">
      <c r="A153" s="12"/>
      <c r="B153" s="1407" t="s">
        <v>114</v>
      </c>
      <c r="C153" s="1408"/>
      <c r="D153" s="1408"/>
      <c r="E153" s="1408"/>
      <c r="F153" s="1408"/>
      <c r="G153" s="1408"/>
      <c r="H153" s="1408"/>
      <c r="I153" s="334">
        <f>SUMIF(H14:H139,"sb(sp)",I14:I139)</f>
        <v>300.10000000000002</v>
      </c>
      <c r="J153" s="341">
        <f>SUMIF(H14:H139,"sb(sp)",J14:J139)</f>
        <v>330.4</v>
      </c>
      <c r="K153" s="326">
        <f>SUMIF(H14:H139,"sb(sp)",K14:K139)</f>
        <v>330.4</v>
      </c>
      <c r="L153" s="59"/>
      <c r="M153" s="173"/>
      <c r="N153" s="173"/>
      <c r="O153" s="173"/>
    </row>
    <row r="154" spans="1:18" s="90" customFormat="1" ht="29.5" customHeight="1" x14ac:dyDescent="0.3">
      <c r="A154" s="12"/>
      <c r="B154" s="1393" t="s">
        <v>130</v>
      </c>
      <c r="C154" s="1394"/>
      <c r="D154" s="1394"/>
      <c r="E154" s="1394"/>
      <c r="F154" s="1394"/>
      <c r="G154" s="1394"/>
      <c r="H154" s="1395"/>
      <c r="I154" s="335">
        <f>SUMIF(H16:H141,"sb(esl)",I16:I141)</f>
        <v>191.8</v>
      </c>
      <c r="J154" s="342">
        <f>SUMIF(H16:H141,"sb(esl)",J16:J141)</f>
        <v>0</v>
      </c>
      <c r="K154" s="327">
        <f>SUMIF(H16:H141,"sb(esl)",K16:K141)</f>
        <v>0</v>
      </c>
      <c r="L154" s="59"/>
      <c r="M154" s="78"/>
      <c r="N154" s="78"/>
      <c r="O154" s="78"/>
    </row>
    <row r="155" spans="1:18" s="90" customFormat="1" ht="28.9" customHeight="1" x14ac:dyDescent="0.3">
      <c r="A155" s="12"/>
      <c r="B155" s="1393" t="s">
        <v>131</v>
      </c>
      <c r="C155" s="1394"/>
      <c r="D155" s="1394"/>
      <c r="E155" s="1394"/>
      <c r="F155" s="1394"/>
      <c r="G155" s="1394"/>
      <c r="H155" s="1395"/>
      <c r="I155" s="335">
        <f>SUMIF(H16:H141,"sb(vbl)",I16:I141)</f>
        <v>17</v>
      </c>
      <c r="J155" s="342">
        <f>SUMIF(H16:H141,"sb(vbl)",J16:J141)</f>
        <v>0</v>
      </c>
      <c r="K155" s="327">
        <f>SUMIF(H16:H141,"sb(vbl)",K16:K141)</f>
        <v>0</v>
      </c>
      <c r="L155" s="59"/>
      <c r="M155" s="173"/>
      <c r="N155" s="173"/>
      <c r="O155" s="173"/>
    </row>
    <row r="156" spans="1:18" s="90" customFormat="1" ht="14.5" customHeight="1" x14ac:dyDescent="0.3">
      <c r="A156" s="12"/>
      <c r="B156" s="1400" t="s">
        <v>56</v>
      </c>
      <c r="C156" s="1401"/>
      <c r="D156" s="1401"/>
      <c r="E156" s="1401"/>
      <c r="F156" s="1401"/>
      <c r="G156" s="1401"/>
      <c r="H156" s="1401"/>
      <c r="I156" s="335">
        <f>SUMIF(H14:H140,"sb(l)",I14:I140)</f>
        <v>312.79999999999995</v>
      </c>
      <c r="J156" s="342">
        <f>SUMIF(H14:H139,"sb(l)",J14:J139)</f>
        <v>0</v>
      </c>
      <c r="K156" s="327">
        <f>SUMIF(H14:H139,"sb(l)",K14:K139)</f>
        <v>0</v>
      </c>
      <c r="L156" s="59"/>
      <c r="M156" s="173"/>
      <c r="N156" s="173"/>
      <c r="O156" s="173"/>
    </row>
    <row r="157" spans="1:18" s="90" customFormat="1" ht="14.5" customHeight="1" x14ac:dyDescent="0.3">
      <c r="A157" s="12"/>
      <c r="B157" s="1393" t="s">
        <v>54</v>
      </c>
      <c r="C157" s="1394"/>
      <c r="D157" s="1394"/>
      <c r="E157" s="1394"/>
      <c r="F157" s="1394"/>
      <c r="G157" s="1394"/>
      <c r="H157" s="1395"/>
      <c r="I157" s="335">
        <f>SUMIF(H14:H139,"sb(spl)",I14:I139)</f>
        <v>81.8</v>
      </c>
      <c r="J157" s="342">
        <f>SUMIF(H14:H139,"sb(spl)",J14:J139)</f>
        <v>0</v>
      </c>
      <c r="K157" s="327">
        <f>SUMIF(H14:H139,"sb(spl)",K14:K139)</f>
        <v>0</v>
      </c>
      <c r="L157" s="59"/>
      <c r="M157" s="173"/>
      <c r="N157" s="173"/>
      <c r="O157" s="173"/>
    </row>
    <row r="158" spans="1:18" s="90" customFormat="1" x14ac:dyDescent="0.3">
      <c r="A158" s="12"/>
      <c r="B158" s="1390" t="s">
        <v>46</v>
      </c>
      <c r="C158" s="1391"/>
      <c r="D158" s="1391"/>
      <c r="E158" s="1391"/>
      <c r="F158" s="1391"/>
      <c r="G158" s="1391"/>
      <c r="H158" s="1392"/>
      <c r="I158" s="336">
        <f>SUM(I159:I160)</f>
        <v>93.100000000000009</v>
      </c>
      <c r="J158" s="343">
        <f>SUM(J159:J160)</f>
        <v>0</v>
      </c>
      <c r="K158" s="328">
        <f>SUM(K159:K160)</f>
        <v>3834</v>
      </c>
      <c r="L158" s="59"/>
      <c r="M158" s="174"/>
      <c r="N158" s="174"/>
      <c r="O158" s="174"/>
    </row>
    <row r="159" spans="1:18" s="90" customFormat="1" x14ac:dyDescent="0.3">
      <c r="A159" s="12"/>
      <c r="B159" s="1528" t="s">
        <v>47</v>
      </c>
      <c r="C159" s="1529"/>
      <c r="D159" s="1529"/>
      <c r="E159" s="1529"/>
      <c r="F159" s="1529"/>
      <c r="G159" s="1529"/>
      <c r="H159" s="1529"/>
      <c r="I159" s="338">
        <f>SUMIF(H14:H139,"lrvb",I14:I139)</f>
        <v>0</v>
      </c>
      <c r="J159" s="345">
        <f>SUMIF(H14:H139,"lrvb",J14:J139)</f>
        <v>0</v>
      </c>
      <c r="K159" s="330">
        <f>SUMIF(H14:H139,"lrvb",K14:K139)</f>
        <v>3834</v>
      </c>
      <c r="L159" s="59"/>
      <c r="M159" s="176"/>
      <c r="N159" s="176"/>
      <c r="O159" s="176"/>
      <c r="R159" s="99"/>
    </row>
    <row r="160" spans="1:18" s="90" customFormat="1" x14ac:dyDescent="0.3">
      <c r="A160" s="12"/>
      <c r="B160" s="1604" t="s">
        <v>247</v>
      </c>
      <c r="C160" s="1605"/>
      <c r="D160" s="1605"/>
      <c r="E160" s="1605"/>
      <c r="F160" s="1605"/>
      <c r="G160" s="1605"/>
      <c r="H160" s="1606"/>
      <c r="I160" s="338">
        <f>SUMIF(H15:H141,"kt",I15:I141)</f>
        <v>93.100000000000009</v>
      </c>
      <c r="J160" s="345">
        <f>SUMIF(H15:H141,"kt",J15:J141)</f>
        <v>0</v>
      </c>
      <c r="K160" s="330">
        <f>SUMIF(H15:H141,"kt",K15:K141)</f>
        <v>0</v>
      </c>
      <c r="L160" s="59"/>
      <c r="M160" s="176"/>
      <c r="N160" s="176"/>
      <c r="O160" s="176"/>
      <c r="R160" s="99"/>
    </row>
    <row r="161" spans="1:15" ht="13.5" thickBot="1" x14ac:dyDescent="0.35">
      <c r="A161" s="16"/>
      <c r="B161" s="1387" t="s">
        <v>18</v>
      </c>
      <c r="C161" s="1388"/>
      <c r="D161" s="1388"/>
      <c r="E161" s="1388"/>
      <c r="F161" s="1388"/>
      <c r="G161" s="1388"/>
      <c r="H161" s="1389"/>
      <c r="I161" s="280">
        <f t="shared" ref="I161:K161" si="13">I158+I147</f>
        <v>11436.8</v>
      </c>
      <c r="J161" s="318">
        <f t="shared" si="13"/>
        <v>8969.1999999999989</v>
      </c>
      <c r="K161" s="313">
        <f t="shared" si="13"/>
        <v>13686.5</v>
      </c>
      <c r="L161" s="59"/>
      <c r="M161" s="175"/>
      <c r="N161" s="175"/>
      <c r="O161" s="175"/>
    </row>
    <row r="162" spans="1:15" x14ac:dyDescent="0.3">
      <c r="E162" s="169" t="s">
        <v>70</v>
      </c>
      <c r="F162" s="169"/>
      <c r="G162" s="169"/>
      <c r="H162" s="169"/>
    </row>
    <row r="163" spans="1:15" x14ac:dyDescent="0.3">
      <c r="I163" s="716">
        <f>+I161-I144</f>
        <v>0</v>
      </c>
      <c r="J163" s="716">
        <f>+J161-J144</f>
        <v>0</v>
      </c>
      <c r="K163" s="716">
        <f>+K161-K144</f>
        <v>0</v>
      </c>
    </row>
    <row r="164" spans="1:15" x14ac:dyDescent="0.3">
      <c r="H164" s="215"/>
      <c r="I164" s="310"/>
      <c r="J164" s="310"/>
      <c r="K164" s="310"/>
      <c r="L164" s="215"/>
    </row>
    <row r="165" spans="1:15" x14ac:dyDescent="0.3">
      <c r="H165" s="215"/>
      <c r="I165" s="311"/>
      <c r="J165" s="311"/>
      <c r="K165" s="311"/>
      <c r="L165" s="215"/>
    </row>
    <row r="166" spans="1:15" x14ac:dyDescent="0.3">
      <c r="H166" s="216"/>
      <c r="I166" s="312"/>
      <c r="J166" s="312"/>
      <c r="K166" s="312"/>
      <c r="L166" s="215"/>
    </row>
    <row r="167" spans="1:15" x14ac:dyDescent="0.3">
      <c r="H167" s="216"/>
      <c r="I167" s="312"/>
      <c r="J167" s="312"/>
      <c r="K167" s="312"/>
      <c r="L167" s="215"/>
    </row>
    <row r="168" spans="1:15" x14ac:dyDescent="0.3">
      <c r="H168" s="215"/>
      <c r="I168" s="311"/>
      <c r="J168" s="311"/>
      <c r="K168" s="311"/>
      <c r="L168" s="215"/>
    </row>
  </sheetData>
  <mergeCells count="158">
    <mergeCell ref="D109:D110"/>
    <mergeCell ref="B161:H161"/>
    <mergeCell ref="B155:H155"/>
    <mergeCell ref="B156:H156"/>
    <mergeCell ref="B157:H157"/>
    <mergeCell ref="B158:H158"/>
    <mergeCell ref="B159:H159"/>
    <mergeCell ref="B149:H149"/>
    <mergeCell ref="B150:H150"/>
    <mergeCell ref="B151:H151"/>
    <mergeCell ref="B152:H152"/>
    <mergeCell ref="B153:H153"/>
    <mergeCell ref="B154:H154"/>
    <mergeCell ref="C135:H135"/>
    <mergeCell ref="B145:K145"/>
    <mergeCell ref="B146:H146"/>
    <mergeCell ref="B147:H147"/>
    <mergeCell ref="B148:H148"/>
    <mergeCell ref="B160:H160"/>
    <mergeCell ref="L135:O135"/>
    <mergeCell ref="C136:L136"/>
    <mergeCell ref="M136:O136"/>
    <mergeCell ref="D137:D138"/>
    <mergeCell ref="L137:L138"/>
    <mergeCell ref="E134:H134"/>
    <mergeCell ref="D127:D128"/>
    <mergeCell ref="M144:O144"/>
    <mergeCell ref="L139:L141"/>
    <mergeCell ref="C142:H142"/>
    <mergeCell ref="L142:O142"/>
    <mergeCell ref="B143:H143"/>
    <mergeCell ref="M143:O143"/>
    <mergeCell ref="B139:B141"/>
    <mergeCell ref="C139:C141"/>
    <mergeCell ref="D139:D141"/>
    <mergeCell ref="E139:E141"/>
    <mergeCell ref="G139:G141"/>
    <mergeCell ref="D133:D134"/>
    <mergeCell ref="L133:L134"/>
    <mergeCell ref="D80:D85"/>
    <mergeCell ref="F89:F90"/>
    <mergeCell ref="D94:D95"/>
    <mergeCell ref="D96:D97"/>
    <mergeCell ref="L96:L97"/>
    <mergeCell ref="D107:D108"/>
    <mergeCell ref="C76:O76"/>
    <mergeCell ref="B77:B79"/>
    <mergeCell ref="C77:C79"/>
    <mergeCell ref="D77:D79"/>
    <mergeCell ref="L78:L79"/>
    <mergeCell ref="D98:D101"/>
    <mergeCell ref="L100:L101"/>
    <mergeCell ref="D102:D103"/>
    <mergeCell ref="D91:D93"/>
    <mergeCell ref="L91:L93"/>
    <mergeCell ref="M91:M93"/>
    <mergeCell ref="N91:N93"/>
    <mergeCell ref="O91:O93"/>
    <mergeCell ref="A73:A74"/>
    <mergeCell ref="B73:B74"/>
    <mergeCell ref="C73:C74"/>
    <mergeCell ref="D73:D74"/>
    <mergeCell ref="L73:L74"/>
    <mergeCell ref="C75:H75"/>
    <mergeCell ref="L75:O75"/>
    <mergeCell ref="D68:D70"/>
    <mergeCell ref="L68:L69"/>
    <mergeCell ref="A71:A72"/>
    <mergeCell ref="B71:B72"/>
    <mergeCell ref="C71:C72"/>
    <mergeCell ref="D71:D72"/>
    <mergeCell ref="L71:L72"/>
    <mergeCell ref="L64:L65"/>
    <mergeCell ref="D66:D67"/>
    <mergeCell ref="F66:F67"/>
    <mergeCell ref="L66:L67"/>
    <mergeCell ref="D61:D62"/>
    <mergeCell ref="M61:M62"/>
    <mergeCell ref="N61:N62"/>
    <mergeCell ref="O61:O62"/>
    <mergeCell ref="A63:A65"/>
    <mergeCell ref="B63:B65"/>
    <mergeCell ref="C63:C65"/>
    <mergeCell ref="D63:D65"/>
    <mergeCell ref="E63:E65"/>
    <mergeCell ref="F63:F65"/>
    <mergeCell ref="N48:N49"/>
    <mergeCell ref="O48:O49"/>
    <mergeCell ref="D50:D51"/>
    <mergeCell ref="M50:M51"/>
    <mergeCell ref="N50:N51"/>
    <mergeCell ref="O50:O51"/>
    <mergeCell ref="E42:E46"/>
    <mergeCell ref="D47:D49"/>
    <mergeCell ref="H47:H48"/>
    <mergeCell ref="L48:L49"/>
    <mergeCell ref="D42:D46"/>
    <mergeCell ref="L30:L31"/>
    <mergeCell ref="A23:A25"/>
    <mergeCell ref="B23:B25"/>
    <mergeCell ref="C23:C25"/>
    <mergeCell ref="D23:D25"/>
    <mergeCell ref="E23:E25"/>
    <mergeCell ref="F23:F25"/>
    <mergeCell ref="G23:G25"/>
    <mergeCell ref="M48:M49"/>
    <mergeCell ref="D33:D36"/>
    <mergeCell ref="B7:B9"/>
    <mergeCell ref="C7:C9"/>
    <mergeCell ref="D7:D9"/>
    <mergeCell ref="E7:E9"/>
    <mergeCell ref="L23:L25"/>
    <mergeCell ref="C26:H26"/>
    <mergeCell ref="L26:O26"/>
    <mergeCell ref="C27:O27"/>
    <mergeCell ref="D28:D29"/>
    <mergeCell ref="L28:L29"/>
    <mergeCell ref="G17:G19"/>
    <mergeCell ref="L18:L19"/>
    <mergeCell ref="N18:N19"/>
    <mergeCell ref="G20:G22"/>
    <mergeCell ref="L21:L22"/>
    <mergeCell ref="A20:A22"/>
    <mergeCell ref="B20:B22"/>
    <mergeCell ref="C20:C22"/>
    <mergeCell ref="D20:D22"/>
    <mergeCell ref="E20:E22"/>
    <mergeCell ref="F20:F22"/>
    <mergeCell ref="A17:A19"/>
    <mergeCell ref="B17:B19"/>
    <mergeCell ref="C17:C19"/>
    <mergeCell ref="D17:D19"/>
    <mergeCell ref="E17:E19"/>
    <mergeCell ref="F17:F19"/>
    <mergeCell ref="L1:O1"/>
    <mergeCell ref="A11:O11"/>
    <mergeCell ref="B12:O12"/>
    <mergeCell ref="C13:O13"/>
    <mergeCell ref="D14:D16"/>
    <mergeCell ref="E14:E16"/>
    <mergeCell ref="F14:F16"/>
    <mergeCell ref="G14:G16"/>
    <mergeCell ref="J7:J9"/>
    <mergeCell ref="K7:K9"/>
    <mergeCell ref="L7:O7"/>
    <mergeCell ref="L8:L9"/>
    <mergeCell ref="M8:O8"/>
    <mergeCell ref="A10:O10"/>
    <mergeCell ref="F7:F9"/>
    <mergeCell ref="G7:G9"/>
    <mergeCell ref="H7:H9"/>
    <mergeCell ref="I7:I9"/>
    <mergeCell ref="L15:L16"/>
    <mergeCell ref="A3:O3"/>
    <mergeCell ref="A4:O4"/>
    <mergeCell ref="A5:O5"/>
    <mergeCell ref="M6:O6"/>
    <mergeCell ref="A7:A9"/>
  </mergeCells>
  <printOptions horizontalCentered="1"/>
  <pageMargins left="0.70866141732283472" right="0.39370078740157483" top="0.39370078740157483" bottom="0.39370078740157483" header="0.31496062992125984" footer="0.31496062992125984"/>
  <pageSetup paperSize="9" scale="68" orientation="portrait" r:id="rId1"/>
  <rowBreaks count="3" manualBreakCount="3">
    <brk id="48" max="14" man="1"/>
    <brk id="97" max="14" man="1"/>
    <brk id="126" max="14" man="1"/>
  </rowBreaks>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75"/>
  <sheetViews>
    <sheetView zoomScaleNormal="100" zoomScaleSheetLayoutView="100" workbookViewId="0">
      <selection activeCell="A4" sqref="A4:W4"/>
    </sheetView>
  </sheetViews>
  <sheetFormatPr defaultColWidth="9.1796875" defaultRowHeight="13" x14ac:dyDescent="0.3"/>
  <cols>
    <col min="1" max="1" width="3.1796875" style="167" customWidth="1"/>
    <col min="2" max="2" width="3.1796875" style="168" customWidth="1"/>
    <col min="3" max="3" width="3.26953125" style="168" customWidth="1"/>
    <col min="4" max="4" width="28.26953125" style="167" customWidth="1"/>
    <col min="5" max="5" width="3" style="170" customWidth="1"/>
    <col min="6" max="6" width="3" style="171" hidden="1" customWidth="1"/>
    <col min="7" max="7" width="3" style="168" hidden="1" customWidth="1"/>
    <col min="8" max="8" width="8.1796875" style="167" customWidth="1"/>
    <col min="9" max="10" width="7.7265625" style="168" customWidth="1"/>
    <col min="11" max="11" width="8.26953125" style="168" customWidth="1"/>
    <col min="12" max="14" width="7.7265625" style="168" customWidth="1"/>
    <col min="15" max="17" width="10.1796875" style="168" customWidth="1"/>
    <col min="18" max="18" width="25.1796875" style="167" customWidth="1"/>
    <col min="19" max="24" width="6.26953125" style="168" customWidth="1"/>
    <col min="25" max="25" width="36.54296875" style="168" customWidth="1"/>
    <col min="26" max="26" width="0.26953125" style="167" customWidth="1"/>
    <col min="27" max="30" width="9.1796875" style="167" hidden="1" customWidth="1"/>
    <col min="31" max="16384" width="9.1796875" style="167"/>
  </cols>
  <sheetData>
    <row r="1" spans="1:25" ht="15.5" x14ac:dyDescent="0.3">
      <c r="I1" s="771"/>
      <c r="J1" s="771"/>
      <c r="K1" s="771"/>
      <c r="L1" s="771"/>
      <c r="M1" s="771"/>
      <c r="N1" s="771"/>
      <c r="O1" s="771"/>
      <c r="P1" s="771"/>
      <c r="Q1" s="771"/>
      <c r="R1" s="1579"/>
      <c r="S1" s="1579"/>
      <c r="T1" s="1579"/>
      <c r="U1" s="1579"/>
      <c r="V1" s="1579"/>
      <c r="W1" s="1579"/>
      <c r="X1" s="1219"/>
      <c r="Y1" s="861" t="s">
        <v>232</v>
      </c>
    </row>
    <row r="2" spans="1:25" ht="15.5" x14ac:dyDescent="0.3">
      <c r="I2" s="771"/>
      <c r="J2" s="771"/>
      <c r="K2" s="771"/>
      <c r="L2" s="771"/>
      <c r="M2" s="771"/>
      <c r="N2" s="771"/>
      <c r="O2" s="771"/>
      <c r="P2" s="771"/>
      <c r="Q2" s="771"/>
      <c r="R2" s="1219"/>
      <c r="S2" s="1219"/>
      <c r="T2" s="1219"/>
      <c r="U2" s="1219"/>
      <c r="V2" s="1219"/>
      <c r="W2" s="1219"/>
      <c r="X2" s="1219"/>
      <c r="Y2" s="1219"/>
    </row>
    <row r="3" spans="1:25" s="90" customFormat="1" ht="14.5" customHeight="1" x14ac:dyDescent="0.3">
      <c r="A3" s="1478" t="s">
        <v>213</v>
      </c>
      <c r="B3" s="1478"/>
      <c r="C3" s="1478"/>
      <c r="D3" s="1478"/>
      <c r="E3" s="1478"/>
      <c r="F3" s="1478"/>
      <c r="G3" s="1478"/>
      <c r="H3" s="1478"/>
      <c r="I3" s="1478"/>
      <c r="J3" s="1478"/>
      <c r="K3" s="1478"/>
      <c r="L3" s="1478"/>
      <c r="M3" s="1478"/>
      <c r="N3" s="1478"/>
      <c r="O3" s="1478"/>
      <c r="P3" s="1478"/>
      <c r="Q3" s="1478"/>
      <c r="R3" s="1478"/>
      <c r="S3" s="1478"/>
      <c r="T3" s="1478"/>
      <c r="U3" s="1478"/>
      <c r="V3" s="1478"/>
      <c r="W3" s="1478"/>
      <c r="X3" s="1192"/>
      <c r="Y3" s="1192"/>
    </row>
    <row r="4" spans="1:25" s="90" customFormat="1" ht="15" customHeight="1" x14ac:dyDescent="0.3">
      <c r="A4" s="1452" t="s">
        <v>0</v>
      </c>
      <c r="B4" s="1452"/>
      <c r="C4" s="1452"/>
      <c r="D4" s="1452"/>
      <c r="E4" s="1452"/>
      <c r="F4" s="1452"/>
      <c r="G4" s="1452"/>
      <c r="H4" s="1452"/>
      <c r="I4" s="1452"/>
      <c r="J4" s="1452"/>
      <c r="K4" s="1452"/>
      <c r="L4" s="1452"/>
      <c r="M4" s="1452"/>
      <c r="N4" s="1452"/>
      <c r="O4" s="1452"/>
      <c r="P4" s="1452"/>
      <c r="Q4" s="1452"/>
      <c r="R4" s="1452"/>
      <c r="S4" s="1452"/>
      <c r="T4" s="1452"/>
      <c r="U4" s="1452"/>
      <c r="V4" s="1452"/>
      <c r="W4" s="1452"/>
      <c r="X4" s="1199"/>
      <c r="Y4" s="1199"/>
    </row>
    <row r="5" spans="1:25" s="90" customFormat="1" ht="15" customHeight="1" x14ac:dyDescent="0.3">
      <c r="A5" s="1466" t="s">
        <v>1</v>
      </c>
      <c r="B5" s="1466"/>
      <c r="C5" s="1466"/>
      <c r="D5" s="1466"/>
      <c r="E5" s="1466"/>
      <c r="F5" s="1466"/>
      <c r="G5" s="1466"/>
      <c r="H5" s="1466"/>
      <c r="I5" s="1466"/>
      <c r="J5" s="1466"/>
      <c r="K5" s="1466"/>
      <c r="L5" s="1466"/>
      <c r="M5" s="1466"/>
      <c r="N5" s="1466"/>
      <c r="O5" s="1466"/>
      <c r="P5" s="1466"/>
      <c r="Q5" s="1466"/>
      <c r="R5" s="1466"/>
      <c r="S5" s="1466"/>
      <c r="T5" s="1466"/>
      <c r="U5" s="1466"/>
      <c r="V5" s="1466"/>
      <c r="W5" s="1466"/>
      <c r="X5" s="1200"/>
      <c r="Y5" s="1200"/>
    </row>
    <row r="6" spans="1:25" s="90" customFormat="1" ht="19.899999999999999" customHeight="1" thickBot="1" x14ac:dyDescent="0.35">
      <c r="A6" s="1"/>
      <c r="B6" s="1"/>
      <c r="C6" s="1"/>
      <c r="D6" s="126"/>
      <c r="E6" s="117"/>
      <c r="F6" s="61"/>
      <c r="G6" s="126"/>
      <c r="H6" s="126"/>
      <c r="I6" s="2"/>
      <c r="J6" s="2"/>
      <c r="K6" s="2"/>
      <c r="L6" s="2"/>
      <c r="M6" s="2"/>
      <c r="N6" s="2"/>
      <c r="O6" s="2"/>
      <c r="P6" s="2"/>
      <c r="Q6" s="2"/>
      <c r="R6" s="253"/>
      <c r="S6" s="1465"/>
      <c r="T6" s="1465"/>
      <c r="U6" s="1465"/>
      <c r="V6" s="1465"/>
      <c r="W6" s="1465"/>
      <c r="X6" s="857"/>
      <c r="Y6" s="857" t="s">
        <v>216</v>
      </c>
    </row>
    <row r="7" spans="1:25" s="90" customFormat="1" ht="18.649999999999999" customHeight="1" x14ac:dyDescent="0.3">
      <c r="A7" s="1467" t="s">
        <v>2</v>
      </c>
      <c r="B7" s="1470" t="s">
        <v>3</v>
      </c>
      <c r="C7" s="1470" t="s">
        <v>4</v>
      </c>
      <c r="D7" s="1421" t="s">
        <v>5</v>
      </c>
      <c r="E7" s="1423" t="s">
        <v>6</v>
      </c>
      <c r="F7" s="1513" t="s">
        <v>68</v>
      </c>
      <c r="G7" s="1516" t="s">
        <v>7</v>
      </c>
      <c r="H7" s="1518" t="s">
        <v>8</v>
      </c>
      <c r="I7" s="1673" t="s">
        <v>237</v>
      </c>
      <c r="J7" s="1632" t="s">
        <v>234</v>
      </c>
      <c r="K7" s="1635" t="s">
        <v>233</v>
      </c>
      <c r="L7" s="1673" t="s">
        <v>239</v>
      </c>
      <c r="M7" s="1632" t="s">
        <v>235</v>
      </c>
      <c r="N7" s="1638" t="s">
        <v>233</v>
      </c>
      <c r="O7" s="1673" t="s">
        <v>238</v>
      </c>
      <c r="P7" s="1641" t="s">
        <v>236</v>
      </c>
      <c r="Q7" s="1635" t="s">
        <v>233</v>
      </c>
      <c r="R7" s="1425" t="s">
        <v>9</v>
      </c>
      <c r="S7" s="1426"/>
      <c r="T7" s="1426"/>
      <c r="U7" s="1426"/>
      <c r="V7" s="1426"/>
      <c r="W7" s="1426"/>
      <c r="X7" s="1682"/>
      <c r="Y7" s="1629" t="s">
        <v>240</v>
      </c>
    </row>
    <row r="8" spans="1:25" s="90" customFormat="1" ht="16.5" customHeight="1" x14ac:dyDescent="0.3">
      <c r="A8" s="1468"/>
      <c r="B8" s="1471"/>
      <c r="C8" s="1471"/>
      <c r="D8" s="1422"/>
      <c r="E8" s="1424"/>
      <c r="F8" s="1514"/>
      <c r="G8" s="1517"/>
      <c r="H8" s="1519"/>
      <c r="I8" s="1674"/>
      <c r="J8" s="1633"/>
      <c r="K8" s="1636"/>
      <c r="L8" s="1674"/>
      <c r="M8" s="1633"/>
      <c r="N8" s="1639"/>
      <c r="O8" s="1674"/>
      <c r="P8" s="1642"/>
      <c r="Q8" s="1636"/>
      <c r="R8" s="1512" t="s">
        <v>5</v>
      </c>
      <c r="S8" s="1683" t="s">
        <v>10</v>
      </c>
      <c r="T8" s="1474"/>
      <c r="U8" s="1474"/>
      <c r="V8" s="1474"/>
      <c r="W8" s="1474"/>
      <c r="X8" s="1684"/>
      <c r="Y8" s="1630"/>
    </row>
    <row r="9" spans="1:25" s="90" customFormat="1" ht="86.25" customHeight="1" thickBot="1" x14ac:dyDescent="0.35">
      <c r="A9" s="1469"/>
      <c r="B9" s="1472"/>
      <c r="C9" s="1472"/>
      <c r="D9" s="1422"/>
      <c r="E9" s="1424"/>
      <c r="F9" s="1515"/>
      <c r="G9" s="1517"/>
      <c r="H9" s="1520"/>
      <c r="I9" s="1675"/>
      <c r="J9" s="1634"/>
      <c r="K9" s="1637"/>
      <c r="L9" s="1675"/>
      <c r="M9" s="1634"/>
      <c r="N9" s="1640"/>
      <c r="O9" s="1675"/>
      <c r="P9" s="1643"/>
      <c r="Q9" s="1637"/>
      <c r="R9" s="1512"/>
      <c r="S9" s="772" t="s">
        <v>155</v>
      </c>
      <c r="T9" s="989" t="s">
        <v>241</v>
      </c>
      <c r="U9" s="988" t="s">
        <v>230</v>
      </c>
      <c r="V9" s="987" t="s">
        <v>241</v>
      </c>
      <c r="W9" s="772" t="s">
        <v>156</v>
      </c>
      <c r="X9" s="989" t="s">
        <v>241</v>
      </c>
      <c r="Y9" s="1631"/>
    </row>
    <row r="10" spans="1:25" s="90" customFormat="1" ht="18.649999999999999" customHeight="1" x14ac:dyDescent="0.3">
      <c r="A10" s="1678" t="s">
        <v>11</v>
      </c>
      <c r="B10" s="1679"/>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80"/>
    </row>
    <row r="11" spans="1:25" s="90" customFormat="1" ht="15.75" customHeight="1" x14ac:dyDescent="0.3">
      <c r="A11" s="1434" t="s">
        <v>12</v>
      </c>
      <c r="B11" s="1435"/>
      <c r="C11" s="1435"/>
      <c r="D11" s="1435"/>
      <c r="E11" s="1435"/>
      <c r="F11" s="1435"/>
      <c r="G11" s="1435"/>
      <c r="H11" s="1435"/>
      <c r="I11" s="1435"/>
      <c r="J11" s="1435"/>
      <c r="K11" s="1435"/>
      <c r="L11" s="1435"/>
      <c r="M11" s="1435"/>
      <c r="N11" s="1435"/>
      <c r="O11" s="1435"/>
      <c r="P11" s="1435"/>
      <c r="Q11" s="1435"/>
      <c r="R11" s="1435"/>
      <c r="S11" s="1435"/>
      <c r="T11" s="1435"/>
      <c r="U11" s="1435"/>
      <c r="V11" s="1435"/>
      <c r="W11" s="1435"/>
      <c r="X11" s="1435"/>
      <c r="Y11" s="1436"/>
    </row>
    <row r="12" spans="1:25" s="90" customFormat="1" ht="31.15" customHeight="1" x14ac:dyDescent="0.3">
      <c r="A12" s="901" t="s">
        <v>13</v>
      </c>
      <c r="B12" s="1676" t="s">
        <v>14</v>
      </c>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Y12" s="1677"/>
    </row>
    <row r="13" spans="1:25" s="90" customFormat="1" ht="15.75" customHeight="1" thickBot="1" x14ac:dyDescent="0.35">
      <c r="A13" s="1193" t="s">
        <v>13</v>
      </c>
      <c r="B13" s="1207" t="s">
        <v>13</v>
      </c>
      <c r="C13" s="1686" t="s">
        <v>15</v>
      </c>
      <c r="D13" s="1508"/>
      <c r="E13" s="1508"/>
      <c r="F13" s="1508"/>
      <c r="G13" s="1508"/>
      <c r="H13" s="1508"/>
      <c r="I13" s="1508"/>
      <c r="J13" s="1508"/>
      <c r="K13" s="1508"/>
      <c r="L13" s="1508"/>
      <c r="M13" s="1508"/>
      <c r="N13" s="1508"/>
      <c r="O13" s="1508"/>
      <c r="P13" s="1508"/>
      <c r="Q13" s="1508"/>
      <c r="R13" s="1508"/>
      <c r="S13" s="1508"/>
      <c r="T13" s="1508"/>
      <c r="U13" s="1508"/>
      <c r="V13" s="1508"/>
      <c r="W13" s="1508"/>
      <c r="X13" s="1508"/>
      <c r="Y13" s="1509"/>
    </row>
    <row r="14" spans="1:25" s="90" customFormat="1" ht="30" customHeight="1" x14ac:dyDescent="0.3">
      <c r="A14" s="42" t="s">
        <v>13</v>
      </c>
      <c r="B14" s="102" t="s">
        <v>13</v>
      </c>
      <c r="C14" s="106" t="s">
        <v>13</v>
      </c>
      <c r="D14" s="1382" t="s">
        <v>111</v>
      </c>
      <c r="E14" s="1448"/>
      <c r="F14" s="1451">
        <v>11020306</v>
      </c>
      <c r="G14" s="1685" t="s">
        <v>16</v>
      </c>
      <c r="H14" s="88" t="s">
        <v>17</v>
      </c>
      <c r="I14" s="71">
        <f>120-2</f>
        <v>118</v>
      </c>
      <c r="J14" s="367">
        <f>120-2</f>
        <v>118</v>
      </c>
      <c r="K14" s="1255"/>
      <c r="L14" s="1055"/>
      <c r="M14" s="376"/>
      <c r="N14" s="374"/>
      <c r="O14" s="71"/>
      <c r="P14" s="367"/>
      <c r="Q14" s="367"/>
      <c r="R14" s="1228" t="s">
        <v>160</v>
      </c>
      <c r="S14" s="997">
        <v>1</v>
      </c>
      <c r="T14" s="914"/>
      <c r="U14" s="991"/>
      <c r="V14" s="858"/>
      <c r="W14" s="997"/>
      <c r="X14" s="1000"/>
      <c r="Y14" s="1648"/>
    </row>
    <row r="15" spans="1:25" s="90" customFormat="1" ht="33" customHeight="1" x14ac:dyDescent="0.3">
      <c r="A15" s="43"/>
      <c r="B15" s="103"/>
      <c r="C15" s="106"/>
      <c r="D15" s="1382"/>
      <c r="E15" s="1448"/>
      <c r="F15" s="1451"/>
      <c r="G15" s="1375"/>
      <c r="H15" s="58" t="s">
        <v>17</v>
      </c>
      <c r="I15" s="70"/>
      <c r="J15" s="366"/>
      <c r="K15" s="366"/>
      <c r="L15" s="1056">
        <v>20.6</v>
      </c>
      <c r="M15" s="302">
        <v>20.6</v>
      </c>
      <c r="N15" s="353"/>
      <c r="O15" s="70"/>
      <c r="P15" s="366"/>
      <c r="Q15" s="1171"/>
      <c r="R15" s="1338" t="s">
        <v>161</v>
      </c>
      <c r="S15" s="32"/>
      <c r="T15" s="998"/>
      <c r="U15" s="983">
        <v>1</v>
      </c>
      <c r="V15" s="543"/>
      <c r="W15" s="241"/>
      <c r="X15" s="1216"/>
      <c r="Y15" s="1624"/>
    </row>
    <row r="16" spans="1:25" s="90" customFormat="1" ht="15" customHeight="1" thickBot="1" x14ac:dyDescent="0.35">
      <c r="A16" s="44"/>
      <c r="B16" s="104"/>
      <c r="C16" s="107"/>
      <c r="D16" s="1359"/>
      <c r="E16" s="1449"/>
      <c r="F16" s="1464"/>
      <c r="G16" s="1506"/>
      <c r="H16" s="1195" t="s">
        <v>18</v>
      </c>
      <c r="I16" s="280">
        <f>SUM(I14:I15)</f>
        <v>118</v>
      </c>
      <c r="J16" s="863">
        <f>SUM(J14:J15)</f>
        <v>118</v>
      </c>
      <c r="K16" s="863">
        <f>SUM(K14:K15)</f>
        <v>0</v>
      </c>
      <c r="L16" s="970">
        <f>SUM(L15:L15)</f>
        <v>20.6</v>
      </c>
      <c r="M16" s="318">
        <f>SUM(M15:M15)</f>
        <v>20.6</v>
      </c>
      <c r="N16" s="313"/>
      <c r="O16" s="280">
        <f>SUM(O15:O15)</f>
        <v>0</v>
      </c>
      <c r="P16" s="863">
        <f>SUM(P15:P15)</f>
        <v>0</v>
      </c>
      <c r="Q16" s="863">
        <f>SUM(Q15:Q15)</f>
        <v>0</v>
      </c>
      <c r="R16" s="1366"/>
      <c r="S16" s="96"/>
      <c r="T16" s="999"/>
      <c r="U16" s="992"/>
      <c r="V16" s="417"/>
      <c r="W16" s="470"/>
      <c r="X16" s="82"/>
      <c r="Y16" s="1649"/>
    </row>
    <row r="17" spans="1:30" s="90" customFormat="1" ht="30" customHeight="1" x14ac:dyDescent="0.3">
      <c r="A17" s="1371" t="s">
        <v>13</v>
      </c>
      <c r="B17" s="1354" t="s">
        <v>13</v>
      </c>
      <c r="C17" s="1444" t="s">
        <v>19</v>
      </c>
      <c r="D17" s="1358" t="s">
        <v>50</v>
      </c>
      <c r="E17" s="1447"/>
      <c r="F17" s="1450">
        <v>11020307</v>
      </c>
      <c r="G17" s="1374" t="s">
        <v>16</v>
      </c>
      <c r="H17" s="6" t="s">
        <v>17</v>
      </c>
      <c r="I17" s="281">
        <v>13</v>
      </c>
      <c r="J17" s="864">
        <v>13</v>
      </c>
      <c r="K17" s="864"/>
      <c r="L17" s="1057">
        <v>13</v>
      </c>
      <c r="M17" s="382">
        <v>13</v>
      </c>
      <c r="N17" s="380"/>
      <c r="O17" s="281">
        <v>15</v>
      </c>
      <c r="P17" s="864">
        <v>15</v>
      </c>
      <c r="Q17" s="864"/>
      <c r="R17" s="1169" t="s">
        <v>20</v>
      </c>
      <c r="S17" s="1225">
        <v>21</v>
      </c>
      <c r="T17" s="1173"/>
      <c r="U17" s="1227">
        <v>22</v>
      </c>
      <c r="V17" s="671"/>
      <c r="W17" s="1225">
        <v>23</v>
      </c>
      <c r="X17" s="776"/>
      <c r="Y17" s="388"/>
    </row>
    <row r="18" spans="1:30" s="90" customFormat="1" ht="15" customHeight="1" x14ac:dyDescent="0.3">
      <c r="A18" s="1372"/>
      <c r="B18" s="1380"/>
      <c r="C18" s="1445"/>
      <c r="D18" s="1382"/>
      <c r="E18" s="1448"/>
      <c r="F18" s="1451"/>
      <c r="G18" s="1375"/>
      <c r="H18" s="22"/>
      <c r="I18" s="282"/>
      <c r="J18" s="865"/>
      <c r="K18" s="865"/>
      <c r="L18" s="1058"/>
      <c r="M18" s="383"/>
      <c r="N18" s="381"/>
      <c r="O18" s="282"/>
      <c r="P18" s="865"/>
      <c r="Q18" s="1114"/>
      <c r="R18" s="1381" t="s">
        <v>96</v>
      </c>
      <c r="S18" s="1222">
        <v>510</v>
      </c>
      <c r="T18" s="1187"/>
      <c r="U18" s="1664">
        <v>515</v>
      </c>
      <c r="V18" s="912"/>
      <c r="W18" s="1222">
        <v>520</v>
      </c>
      <c r="X18" s="915"/>
      <c r="Y18" s="390"/>
    </row>
    <row r="19" spans="1:30" s="90" customFormat="1" ht="15" customHeight="1" thickBot="1" x14ac:dyDescent="0.35">
      <c r="A19" s="1372"/>
      <c r="B19" s="1380"/>
      <c r="C19" s="1445"/>
      <c r="D19" s="1382"/>
      <c r="E19" s="1448"/>
      <c r="F19" s="1451"/>
      <c r="G19" s="1376"/>
      <c r="H19" s="1204" t="s">
        <v>18</v>
      </c>
      <c r="I19" s="280">
        <f t="shared" ref="I19:O19" si="0">+I17</f>
        <v>13</v>
      </c>
      <c r="J19" s="863">
        <f t="shared" ref="J19:K19" si="1">+J17</f>
        <v>13</v>
      </c>
      <c r="K19" s="863">
        <f t="shared" si="1"/>
        <v>0</v>
      </c>
      <c r="L19" s="970">
        <f t="shared" si="0"/>
        <v>13</v>
      </c>
      <c r="M19" s="318">
        <f t="shared" ref="M19" si="2">+M17</f>
        <v>13</v>
      </c>
      <c r="N19" s="313"/>
      <c r="O19" s="280">
        <f t="shared" si="0"/>
        <v>15</v>
      </c>
      <c r="P19" s="863">
        <f t="shared" ref="P19:Q19" si="3">+P17</f>
        <v>15</v>
      </c>
      <c r="Q19" s="863">
        <f t="shared" si="3"/>
        <v>0</v>
      </c>
      <c r="R19" s="1359"/>
      <c r="S19" s="576"/>
      <c r="T19" s="916"/>
      <c r="U19" s="1665"/>
      <c r="V19" s="674"/>
      <c r="W19" s="576"/>
      <c r="X19" s="916"/>
      <c r="Y19" s="577"/>
    </row>
    <row r="20" spans="1:30" s="90" customFormat="1" ht="30" customHeight="1" x14ac:dyDescent="0.3">
      <c r="A20" s="1371" t="s">
        <v>13</v>
      </c>
      <c r="B20" s="1354" t="s">
        <v>13</v>
      </c>
      <c r="C20" s="1444" t="s">
        <v>21</v>
      </c>
      <c r="D20" s="1358" t="s">
        <v>75</v>
      </c>
      <c r="E20" s="1447"/>
      <c r="F20" s="1450">
        <v>11020310</v>
      </c>
      <c r="G20" s="1374" t="s">
        <v>16</v>
      </c>
      <c r="H20" s="1322" t="s">
        <v>17</v>
      </c>
      <c r="I20" s="1323">
        <v>81.099999999999994</v>
      </c>
      <c r="J20" s="1324">
        <f>81.1-40+1.2</f>
        <v>42.3</v>
      </c>
      <c r="K20" s="1324">
        <f>+J20-I20</f>
        <v>-38.799999999999997</v>
      </c>
      <c r="L20" s="1057">
        <v>81.099999999999994</v>
      </c>
      <c r="M20" s="382">
        <v>81.099999999999994</v>
      </c>
      <c r="N20" s="380"/>
      <c r="O20" s="281">
        <v>81.099999999999994</v>
      </c>
      <c r="P20" s="864">
        <v>81.099999999999994</v>
      </c>
      <c r="Q20" s="864"/>
      <c r="R20" s="1256" t="s">
        <v>60</v>
      </c>
      <c r="S20" s="1257">
        <v>1300</v>
      </c>
      <c r="T20" s="1325">
        <v>678</v>
      </c>
      <c r="U20" s="977">
        <v>1300</v>
      </c>
      <c r="V20" s="913"/>
      <c r="W20" s="990">
        <v>1300</v>
      </c>
      <c r="X20" s="776"/>
      <c r="Y20" s="1358" t="s">
        <v>265</v>
      </c>
      <c r="AB20" s="99"/>
      <c r="AC20" s="99"/>
      <c r="AD20" s="99"/>
    </row>
    <row r="21" spans="1:30" s="90" customFormat="1" ht="34.5" customHeight="1" x14ac:dyDescent="0.3">
      <c r="A21" s="1372"/>
      <c r="B21" s="1380"/>
      <c r="C21" s="1445"/>
      <c r="D21" s="1382"/>
      <c r="E21" s="1448"/>
      <c r="F21" s="1451"/>
      <c r="G21" s="1375"/>
      <c r="H21" s="449"/>
      <c r="I21" s="218"/>
      <c r="J21" s="368"/>
      <c r="K21" s="368"/>
      <c r="L21" s="965"/>
      <c r="M21" s="301"/>
      <c r="N21" s="325"/>
      <c r="O21" s="218"/>
      <c r="P21" s="368"/>
      <c r="Q21" s="368"/>
      <c r="R21" s="1381" t="s">
        <v>76</v>
      </c>
      <c r="S21" s="1222">
        <v>21</v>
      </c>
      <c r="T21" s="1187"/>
      <c r="U21" s="1220">
        <v>21</v>
      </c>
      <c r="V21" s="929"/>
      <c r="W21" s="1222">
        <v>21</v>
      </c>
      <c r="X21" s="915"/>
      <c r="Y21" s="1382"/>
    </row>
    <row r="22" spans="1:30" s="90" customFormat="1" ht="16.149999999999999" customHeight="1" thickBot="1" x14ac:dyDescent="0.35">
      <c r="A22" s="1373"/>
      <c r="B22" s="1355"/>
      <c r="C22" s="1446"/>
      <c r="D22" s="1359"/>
      <c r="E22" s="1449"/>
      <c r="F22" s="1464"/>
      <c r="G22" s="1506"/>
      <c r="H22" s="1204" t="s">
        <v>18</v>
      </c>
      <c r="I22" s="280">
        <f t="shared" ref="I22:O22" si="4">SUM(I20:I21)</f>
        <v>81.099999999999994</v>
      </c>
      <c r="J22" s="863">
        <f t="shared" ref="J22:K22" si="5">SUM(J20:J21)</f>
        <v>42.3</v>
      </c>
      <c r="K22" s="863">
        <f t="shared" si="5"/>
        <v>-38.799999999999997</v>
      </c>
      <c r="L22" s="970">
        <f t="shared" si="4"/>
        <v>81.099999999999994</v>
      </c>
      <c r="M22" s="318">
        <f t="shared" ref="M22" si="6">SUM(M20:M21)</f>
        <v>81.099999999999994</v>
      </c>
      <c r="N22" s="313"/>
      <c r="O22" s="280">
        <f t="shared" si="4"/>
        <v>81.099999999999994</v>
      </c>
      <c r="P22" s="863">
        <f t="shared" ref="P22:Q22" si="7">SUM(P20:P21)</f>
        <v>81.099999999999994</v>
      </c>
      <c r="Q22" s="863">
        <f t="shared" si="7"/>
        <v>0</v>
      </c>
      <c r="R22" s="1359"/>
      <c r="S22" s="777"/>
      <c r="T22" s="917"/>
      <c r="U22" s="993"/>
      <c r="V22" s="384"/>
      <c r="W22" s="777"/>
      <c r="X22" s="917"/>
      <c r="Y22" s="1359"/>
    </row>
    <row r="23" spans="1:30" s="90" customFormat="1" ht="18" customHeight="1" x14ac:dyDescent="0.3">
      <c r="A23" s="1371" t="s">
        <v>13</v>
      </c>
      <c r="B23" s="1354" t="s">
        <v>13</v>
      </c>
      <c r="C23" s="1444" t="s">
        <v>31</v>
      </c>
      <c r="D23" s="1358" t="s">
        <v>89</v>
      </c>
      <c r="E23" s="1447"/>
      <c r="F23" s="1450">
        <v>11020307</v>
      </c>
      <c r="G23" s="1374" t="s">
        <v>16</v>
      </c>
      <c r="H23" s="6" t="s">
        <v>17</v>
      </c>
      <c r="I23" s="68">
        <v>12</v>
      </c>
      <c r="J23" s="862">
        <v>12</v>
      </c>
      <c r="K23" s="862"/>
      <c r="L23" s="1057">
        <v>25</v>
      </c>
      <c r="M23" s="382">
        <v>25</v>
      </c>
      <c r="N23" s="380"/>
      <c r="O23" s="281">
        <v>25</v>
      </c>
      <c r="P23" s="864">
        <v>25</v>
      </c>
      <c r="Q23" s="864"/>
      <c r="R23" s="1365" t="s">
        <v>63</v>
      </c>
      <c r="S23" s="249">
        <v>1</v>
      </c>
      <c r="T23" s="1177"/>
      <c r="U23" s="994">
        <v>2</v>
      </c>
      <c r="V23" s="396"/>
      <c r="W23" s="249">
        <v>2</v>
      </c>
      <c r="X23" s="1177"/>
      <c r="Y23" s="444"/>
    </row>
    <row r="24" spans="1:30" s="90" customFormat="1" ht="13.5" customHeight="1" x14ac:dyDescent="0.3">
      <c r="A24" s="1372"/>
      <c r="B24" s="1380"/>
      <c r="C24" s="1445"/>
      <c r="D24" s="1382"/>
      <c r="E24" s="1448"/>
      <c r="F24" s="1451"/>
      <c r="G24" s="1375"/>
      <c r="H24" s="22"/>
      <c r="I24" s="282"/>
      <c r="J24" s="865"/>
      <c r="K24" s="865"/>
      <c r="L24" s="1058"/>
      <c r="M24" s="383"/>
      <c r="N24" s="381"/>
      <c r="O24" s="282"/>
      <c r="P24" s="865"/>
      <c r="Q24" s="1114"/>
      <c r="R24" s="1349"/>
      <c r="S24" s="299"/>
      <c r="T24" s="1216"/>
      <c r="U24" s="995"/>
      <c r="V24" s="406"/>
      <c r="W24" s="299"/>
      <c r="X24" s="1216"/>
      <c r="Y24" s="418"/>
      <c r="AC24" s="99"/>
    </row>
    <row r="25" spans="1:30" s="90" customFormat="1" ht="15" customHeight="1" thickBot="1" x14ac:dyDescent="0.35">
      <c r="A25" s="1372"/>
      <c r="B25" s="1380"/>
      <c r="C25" s="1445"/>
      <c r="D25" s="1382"/>
      <c r="E25" s="1448"/>
      <c r="F25" s="1451"/>
      <c r="G25" s="1376"/>
      <c r="H25" s="1204" t="s">
        <v>18</v>
      </c>
      <c r="I25" s="280">
        <f t="shared" ref="I25:O25" si="8">+I23</f>
        <v>12</v>
      </c>
      <c r="J25" s="863">
        <f t="shared" ref="J25:K25" si="9">+J23</f>
        <v>12</v>
      </c>
      <c r="K25" s="863">
        <f t="shared" si="9"/>
        <v>0</v>
      </c>
      <c r="L25" s="970">
        <f t="shared" si="8"/>
        <v>25</v>
      </c>
      <c r="M25" s="318">
        <f t="shared" ref="M25" si="10">+M23</f>
        <v>25</v>
      </c>
      <c r="N25" s="313"/>
      <c r="O25" s="280">
        <f t="shared" si="8"/>
        <v>25</v>
      </c>
      <c r="P25" s="863">
        <f t="shared" ref="P25:Q25" si="11">+P23</f>
        <v>25</v>
      </c>
      <c r="Q25" s="863">
        <f t="shared" si="11"/>
        <v>0</v>
      </c>
      <c r="R25" s="1366"/>
      <c r="S25" s="778"/>
      <c r="T25" s="918"/>
      <c r="U25" s="996"/>
      <c r="V25" s="579"/>
      <c r="W25" s="778"/>
      <c r="X25" s="918"/>
      <c r="Y25" s="581"/>
    </row>
    <row r="26" spans="1:30" s="90" customFormat="1" ht="15.75" customHeight="1" thickBot="1" x14ac:dyDescent="0.35">
      <c r="A26" s="37" t="s">
        <v>13</v>
      </c>
      <c r="B26" s="10" t="s">
        <v>13</v>
      </c>
      <c r="C26" s="1402" t="s">
        <v>22</v>
      </c>
      <c r="D26" s="1402"/>
      <c r="E26" s="1402"/>
      <c r="F26" s="1402"/>
      <c r="G26" s="1402"/>
      <c r="H26" s="1402"/>
      <c r="I26" s="275">
        <f>I22+I19+I16+I25</f>
        <v>224.1</v>
      </c>
      <c r="J26" s="866">
        <f>J22+J19+J16+J25</f>
        <v>185.3</v>
      </c>
      <c r="K26" s="866">
        <f>K22+K19+K16+K25</f>
        <v>-38.799999999999997</v>
      </c>
      <c r="L26" s="1052">
        <f t="shared" ref="L26:O26" si="12">L22+L19+L16+L25</f>
        <v>139.69999999999999</v>
      </c>
      <c r="M26" s="319">
        <f t="shared" ref="M26" si="13">M22+M19+M16+M25</f>
        <v>139.69999999999999</v>
      </c>
      <c r="N26" s="314"/>
      <c r="O26" s="275">
        <f t="shared" si="12"/>
        <v>121.1</v>
      </c>
      <c r="P26" s="866">
        <f t="shared" ref="P26:Q26" si="14">P22+P19+P16+P25</f>
        <v>121.1</v>
      </c>
      <c r="Q26" s="866">
        <f t="shared" si="14"/>
        <v>0</v>
      </c>
      <c r="R26" s="1669"/>
      <c r="S26" s="1440"/>
      <c r="T26" s="1440"/>
      <c r="U26" s="1440"/>
      <c r="V26" s="1440"/>
      <c r="W26" s="1440"/>
      <c r="X26" s="1440"/>
      <c r="Y26" s="1441"/>
    </row>
    <row r="27" spans="1:30" s="90" customFormat="1" ht="16.5" customHeight="1" thickBot="1" x14ac:dyDescent="0.35">
      <c r="A27" s="37" t="s">
        <v>13</v>
      </c>
      <c r="B27" s="902" t="s">
        <v>19</v>
      </c>
      <c r="C27" s="1655" t="s">
        <v>23</v>
      </c>
      <c r="D27" s="1442"/>
      <c r="E27" s="1442"/>
      <c r="F27" s="1442"/>
      <c r="G27" s="1442"/>
      <c r="H27" s="1442"/>
      <c r="I27" s="1442"/>
      <c r="J27" s="1442"/>
      <c r="K27" s="1442"/>
      <c r="L27" s="1442"/>
      <c r="M27" s="1442"/>
      <c r="N27" s="1442"/>
      <c r="O27" s="1442"/>
      <c r="P27" s="1442"/>
      <c r="Q27" s="1442"/>
      <c r="R27" s="1442"/>
      <c r="S27" s="1442"/>
      <c r="T27" s="1442"/>
      <c r="U27" s="1442"/>
      <c r="V27" s="1442"/>
      <c r="W27" s="1442"/>
      <c r="X27" s="1442"/>
      <c r="Y27" s="1443"/>
    </row>
    <row r="28" spans="1:30" s="90" customFormat="1" ht="14.25" customHeight="1" x14ac:dyDescent="0.3">
      <c r="A28" s="1202" t="s">
        <v>13</v>
      </c>
      <c r="B28" s="1175" t="s">
        <v>19</v>
      </c>
      <c r="C28" s="4" t="s">
        <v>13</v>
      </c>
      <c r="D28" s="1429" t="s">
        <v>24</v>
      </c>
      <c r="E28" s="118"/>
      <c r="F28" s="63"/>
      <c r="G28" s="784">
        <v>2</v>
      </c>
      <c r="H28" s="903" t="s">
        <v>25</v>
      </c>
      <c r="I28" s="71">
        <v>300.10000000000002</v>
      </c>
      <c r="J28" s="367">
        <v>300.10000000000002</v>
      </c>
      <c r="K28" s="367"/>
      <c r="L28" s="1055">
        <v>330.4</v>
      </c>
      <c r="M28" s="376">
        <v>330.4</v>
      </c>
      <c r="N28" s="374"/>
      <c r="O28" s="71">
        <v>330.4</v>
      </c>
      <c r="P28" s="300">
        <v>330.4</v>
      </c>
      <c r="Q28" s="870"/>
      <c r="R28" s="1358" t="s">
        <v>88</v>
      </c>
      <c r="S28" s="459">
        <v>3144</v>
      </c>
      <c r="T28" s="932"/>
      <c r="U28" s="1002">
        <v>2450</v>
      </c>
      <c r="V28" s="919"/>
      <c r="W28" s="459">
        <v>2500</v>
      </c>
      <c r="X28" s="932"/>
      <c r="Y28" s="407"/>
    </row>
    <row r="29" spans="1:30" s="90" customFormat="1" ht="14.25" customHeight="1" x14ac:dyDescent="0.3">
      <c r="A29" s="770"/>
      <c r="B29" s="1176"/>
      <c r="C29" s="4"/>
      <c r="D29" s="1429"/>
      <c r="E29" s="118"/>
      <c r="F29" s="63"/>
      <c r="G29" s="784"/>
      <c r="H29" s="136" t="s">
        <v>48</v>
      </c>
      <c r="I29" s="70">
        <v>81.8</v>
      </c>
      <c r="J29" s="366">
        <v>81.8</v>
      </c>
      <c r="K29" s="366"/>
      <c r="L29" s="1056"/>
      <c r="M29" s="302"/>
      <c r="N29" s="353"/>
      <c r="O29" s="70"/>
      <c r="P29" s="302"/>
      <c r="Q29" s="874"/>
      <c r="R29" s="1382"/>
      <c r="S29" s="460"/>
      <c r="T29" s="933"/>
      <c r="U29" s="1003"/>
      <c r="V29" s="860"/>
      <c r="W29" s="460"/>
      <c r="X29" s="934"/>
      <c r="Y29" s="408"/>
    </row>
    <row r="30" spans="1:30" s="90" customFormat="1" ht="14.25" customHeight="1" x14ac:dyDescent="0.3">
      <c r="A30" s="770"/>
      <c r="B30" s="1176"/>
      <c r="C30" s="4"/>
      <c r="D30" s="1201"/>
      <c r="E30" s="118"/>
      <c r="F30" s="63"/>
      <c r="G30" s="784"/>
      <c r="H30" s="1273" t="s">
        <v>17</v>
      </c>
      <c r="I30" s="1274">
        <f>4925.1+59.7</f>
        <v>4984.8</v>
      </c>
      <c r="J30" s="1275">
        <f>4925.1+21.6-3.2+12+5+24.3+19.2</f>
        <v>5004.0000000000009</v>
      </c>
      <c r="K30" s="1275">
        <f>+J30-I30</f>
        <v>19.200000000000728</v>
      </c>
      <c r="L30" s="1056">
        <v>5071.5</v>
      </c>
      <c r="M30" s="302">
        <v>5071.5</v>
      </c>
      <c r="N30" s="353"/>
      <c r="O30" s="70">
        <v>5081.7</v>
      </c>
      <c r="P30" s="302">
        <v>5081.7</v>
      </c>
      <c r="Q30" s="868"/>
      <c r="R30" s="1381" t="s">
        <v>221</v>
      </c>
      <c r="S30" s="1218">
        <v>958</v>
      </c>
      <c r="T30" s="1165"/>
      <c r="U30" s="1224">
        <v>944</v>
      </c>
      <c r="V30" s="924"/>
      <c r="W30" s="1218">
        <v>944</v>
      </c>
      <c r="X30" s="933"/>
      <c r="Y30" s="408"/>
    </row>
    <row r="31" spans="1:30" s="90" customFormat="1" ht="14.25" customHeight="1" x14ac:dyDescent="0.3">
      <c r="A31" s="770"/>
      <c r="B31" s="1176"/>
      <c r="C31" s="4"/>
      <c r="D31" s="1201"/>
      <c r="E31" s="118"/>
      <c r="F31" s="63"/>
      <c r="G31" s="784"/>
      <c r="H31" s="137"/>
      <c r="I31" s="71"/>
      <c r="J31" s="367"/>
      <c r="K31" s="367"/>
      <c r="L31" s="1061"/>
      <c r="M31" s="300"/>
      <c r="N31" s="372"/>
      <c r="O31" s="71"/>
      <c r="P31" s="300"/>
      <c r="Q31" s="874"/>
      <c r="R31" s="1583"/>
      <c r="S31" s="462"/>
      <c r="T31" s="934"/>
      <c r="U31" s="1004"/>
      <c r="V31" s="920"/>
      <c r="W31" s="462"/>
      <c r="X31" s="934"/>
      <c r="Y31" s="408"/>
    </row>
    <row r="32" spans="1:30" s="90" customFormat="1" ht="39.75" customHeight="1" x14ac:dyDescent="0.3">
      <c r="A32" s="770"/>
      <c r="B32" s="1176"/>
      <c r="C32" s="4"/>
      <c r="D32" s="1133"/>
      <c r="E32" s="118"/>
      <c r="F32" s="63"/>
      <c r="G32" s="784"/>
      <c r="H32" s="137"/>
      <c r="I32" s="71"/>
      <c r="J32" s="367"/>
      <c r="K32" s="367"/>
      <c r="L32" s="1061"/>
      <c r="M32" s="300"/>
      <c r="N32" s="372"/>
      <c r="O32" s="71"/>
      <c r="P32" s="300"/>
      <c r="Q32" s="874"/>
      <c r="R32" s="551" t="s">
        <v>222</v>
      </c>
      <c r="S32" s="462">
        <v>20575</v>
      </c>
      <c r="T32" s="934"/>
      <c r="U32" s="1004">
        <v>19034</v>
      </c>
      <c r="V32" s="920"/>
      <c r="W32" s="462">
        <v>19034</v>
      </c>
      <c r="X32" s="934"/>
      <c r="Y32" s="513"/>
    </row>
    <row r="33" spans="1:25" s="90" customFormat="1" ht="29.25" customHeight="1" x14ac:dyDescent="0.3">
      <c r="A33" s="770"/>
      <c r="B33" s="1176"/>
      <c r="C33" s="4"/>
      <c r="D33" s="1378" t="s">
        <v>26</v>
      </c>
      <c r="E33" s="118"/>
      <c r="F33" s="63"/>
      <c r="G33" s="784"/>
      <c r="H33" s="1611" t="s">
        <v>217</v>
      </c>
      <c r="I33" s="1666">
        <f>1705.5+21.6</f>
        <v>1727.1</v>
      </c>
      <c r="J33" s="1667">
        <f>1705.5+21.6</f>
        <v>1727.1</v>
      </c>
      <c r="K33" s="1668"/>
      <c r="L33" s="1259">
        <f>1739.5+85</f>
        <v>1824.5</v>
      </c>
      <c r="M33" s="781">
        <f>1739.5+85</f>
        <v>1824.5</v>
      </c>
      <c r="N33" s="782"/>
      <c r="O33" s="780">
        <v>1774</v>
      </c>
      <c r="P33" s="781">
        <v>1774</v>
      </c>
      <c r="Q33" s="874"/>
      <c r="R33" s="1217" t="s">
        <v>262</v>
      </c>
      <c r="S33" s="462">
        <v>1</v>
      </c>
      <c r="T33" s="934"/>
      <c r="U33" s="1004"/>
      <c r="V33" s="513"/>
      <c r="W33" s="462"/>
      <c r="X33" s="934"/>
      <c r="Y33" s="1670"/>
    </row>
    <row r="34" spans="1:25" s="90" customFormat="1" ht="20.25" customHeight="1" x14ac:dyDescent="0.3">
      <c r="A34" s="770"/>
      <c r="B34" s="1176"/>
      <c r="C34" s="4"/>
      <c r="D34" s="1379"/>
      <c r="E34" s="118"/>
      <c r="F34" s="63"/>
      <c r="G34" s="784"/>
      <c r="H34" s="1611"/>
      <c r="I34" s="1666"/>
      <c r="J34" s="1667"/>
      <c r="K34" s="1668"/>
      <c r="L34" s="1260"/>
      <c r="M34" s="1261"/>
      <c r="N34" s="1262"/>
      <c r="O34" s="1263"/>
      <c r="P34" s="1261"/>
      <c r="Q34" s="874"/>
      <c r="R34" s="1183" t="s">
        <v>97</v>
      </c>
      <c r="S34" s="460">
        <v>5</v>
      </c>
      <c r="T34" s="933"/>
      <c r="U34" s="1003"/>
      <c r="V34" s="860"/>
      <c r="W34" s="462"/>
      <c r="X34" s="934"/>
      <c r="Y34" s="1671"/>
    </row>
    <row r="35" spans="1:25" s="90" customFormat="1" ht="28.9" customHeight="1" x14ac:dyDescent="0.3">
      <c r="A35" s="770"/>
      <c r="B35" s="1176"/>
      <c r="C35" s="4"/>
      <c r="D35" s="1379"/>
      <c r="E35" s="118"/>
      <c r="F35" s="83">
        <v>11030201</v>
      </c>
      <c r="G35" s="784"/>
      <c r="H35" s="1611"/>
      <c r="I35" s="1666"/>
      <c r="J35" s="1667"/>
      <c r="K35" s="1668"/>
      <c r="L35" s="1259"/>
      <c r="M35" s="781"/>
      <c r="N35" s="782"/>
      <c r="O35" s="780"/>
      <c r="P35" s="781"/>
      <c r="Q35" s="1143"/>
      <c r="R35" s="450" t="s">
        <v>162</v>
      </c>
      <c r="S35" s="1218"/>
      <c r="T35" s="1165"/>
      <c r="U35" s="1224">
        <v>1</v>
      </c>
      <c r="V35" s="924"/>
      <c r="W35" s="456"/>
      <c r="X35" s="511"/>
      <c r="Y35" s="1671"/>
    </row>
    <row r="36" spans="1:25" s="90" customFormat="1" ht="30.75" customHeight="1" x14ac:dyDescent="0.3">
      <c r="A36" s="770"/>
      <c r="B36" s="1176"/>
      <c r="C36" s="4"/>
      <c r="D36" s="1525"/>
      <c r="E36" s="118"/>
      <c r="F36" s="63"/>
      <c r="G36" s="784"/>
      <c r="H36" s="1611"/>
      <c r="I36" s="1666"/>
      <c r="J36" s="1667"/>
      <c r="K36" s="1668"/>
      <c r="L36" s="1259"/>
      <c r="M36" s="781"/>
      <c r="N36" s="782"/>
      <c r="O36" s="780"/>
      <c r="P36" s="781"/>
      <c r="Q36" s="1143"/>
      <c r="R36" s="450" t="s">
        <v>163</v>
      </c>
      <c r="S36" s="456"/>
      <c r="T36" s="511"/>
      <c r="U36" s="1005">
        <v>1</v>
      </c>
      <c r="V36" s="924"/>
      <c r="W36" s="1218"/>
      <c r="X36" s="933"/>
      <c r="Y36" s="1672"/>
    </row>
    <row r="37" spans="1:25" s="90" customFormat="1" ht="31.5" customHeight="1" x14ac:dyDescent="0.3">
      <c r="A37" s="770"/>
      <c r="B37" s="1176"/>
      <c r="C37" s="4"/>
      <c r="D37" s="1190" t="s">
        <v>27</v>
      </c>
      <c r="E37" s="118"/>
      <c r="F37" s="63">
        <v>11030301</v>
      </c>
      <c r="G37" s="784"/>
      <c r="H37" s="1152" t="s">
        <v>217</v>
      </c>
      <c r="I37" s="780">
        <f>732.1-3.2</f>
        <v>728.9</v>
      </c>
      <c r="J37" s="1264">
        <f>732.1-3.2</f>
        <v>728.9</v>
      </c>
      <c r="K37" s="1264"/>
      <c r="L37" s="1259">
        <v>758.7</v>
      </c>
      <c r="M37" s="781">
        <v>758.7</v>
      </c>
      <c r="N37" s="782"/>
      <c r="O37" s="780">
        <v>773.8</v>
      </c>
      <c r="P37" s="781">
        <v>773.8</v>
      </c>
      <c r="Q37" s="1143"/>
      <c r="R37" s="450"/>
      <c r="S37" s="792"/>
      <c r="T37" s="516"/>
      <c r="U37" s="1006"/>
      <c r="V37" s="922"/>
      <c r="W37" s="792"/>
      <c r="X37" s="516"/>
      <c r="Y37" s="1149"/>
    </row>
    <row r="38" spans="1:25" s="90" customFormat="1" ht="32.25" customHeight="1" x14ac:dyDescent="0.3">
      <c r="A38" s="770"/>
      <c r="B38" s="1176"/>
      <c r="C38" s="4"/>
      <c r="D38" s="1134" t="s">
        <v>28</v>
      </c>
      <c r="E38" s="118"/>
      <c r="F38" s="64">
        <v>11030401</v>
      </c>
      <c r="G38" s="784"/>
      <c r="H38" s="1152" t="s">
        <v>217</v>
      </c>
      <c r="I38" s="780">
        <f>549.9+12</f>
        <v>561.9</v>
      </c>
      <c r="J38" s="1264">
        <f>549.9+12</f>
        <v>561.9</v>
      </c>
      <c r="K38" s="1264"/>
      <c r="L38" s="1259">
        <v>574.79999999999995</v>
      </c>
      <c r="M38" s="781">
        <v>574.79999999999995</v>
      </c>
      <c r="N38" s="782"/>
      <c r="O38" s="780">
        <v>586.29999999999995</v>
      </c>
      <c r="P38" s="781">
        <v>586.29999999999995</v>
      </c>
      <c r="Q38" s="1143"/>
      <c r="R38" s="450" t="s">
        <v>259</v>
      </c>
      <c r="S38" s="456">
        <v>1</v>
      </c>
      <c r="T38" s="511"/>
      <c r="U38" s="1005"/>
      <c r="V38" s="921"/>
      <c r="W38" s="456"/>
      <c r="X38" s="511"/>
      <c r="Y38" s="1150"/>
    </row>
    <row r="39" spans="1:25" s="90" customFormat="1" ht="29.25" customHeight="1" x14ac:dyDescent="0.3">
      <c r="A39" s="770"/>
      <c r="B39" s="1176"/>
      <c r="C39" s="4"/>
      <c r="D39" s="1181" t="s">
        <v>29</v>
      </c>
      <c r="E39" s="118"/>
      <c r="F39" s="235">
        <v>11030501</v>
      </c>
      <c r="G39" s="784"/>
      <c r="H39" s="1152" t="s">
        <v>217</v>
      </c>
      <c r="I39" s="780">
        <v>110</v>
      </c>
      <c r="J39" s="1264">
        <v>110</v>
      </c>
      <c r="K39" s="1264"/>
      <c r="L39" s="1265"/>
      <c r="M39" s="783"/>
      <c r="N39" s="1266"/>
      <c r="O39" s="1267"/>
      <c r="P39" s="783"/>
      <c r="Q39" s="1235"/>
      <c r="R39" s="1168"/>
      <c r="S39" s="595"/>
      <c r="T39" s="1012"/>
      <c r="U39" s="1007"/>
      <c r="V39" s="923"/>
      <c r="W39" s="1018"/>
      <c r="X39" s="935"/>
      <c r="Y39" s="664"/>
    </row>
    <row r="40" spans="1:25" s="90" customFormat="1" ht="28.15" customHeight="1" x14ac:dyDescent="0.3">
      <c r="A40" s="770"/>
      <c r="B40" s="1176"/>
      <c r="C40" s="4"/>
      <c r="D40" s="1190" t="s">
        <v>53</v>
      </c>
      <c r="E40" s="119"/>
      <c r="F40" s="64">
        <v>11030801</v>
      </c>
      <c r="G40" s="784"/>
      <c r="H40" s="1152" t="s">
        <v>217</v>
      </c>
      <c r="I40" s="780">
        <f>825.1+5</f>
        <v>830.1</v>
      </c>
      <c r="J40" s="1264">
        <f>825.1-4.1+9.1</f>
        <v>830.1</v>
      </c>
      <c r="K40" s="1264"/>
      <c r="L40" s="1259">
        <v>870.9</v>
      </c>
      <c r="M40" s="781">
        <v>870.9</v>
      </c>
      <c r="N40" s="782"/>
      <c r="O40" s="780">
        <v>888.3</v>
      </c>
      <c r="P40" s="781">
        <v>888.3</v>
      </c>
      <c r="Q40" s="1143"/>
      <c r="R40" s="232" t="s">
        <v>212</v>
      </c>
      <c r="S40" s="240">
        <v>1</v>
      </c>
      <c r="T40" s="1013"/>
      <c r="U40" s="1008"/>
      <c r="V40" s="855"/>
      <c r="W40" s="100"/>
      <c r="X40" s="520"/>
      <c r="Y40" s="1345"/>
    </row>
    <row r="41" spans="1:25" s="90" customFormat="1" ht="31.5" customHeight="1" x14ac:dyDescent="0.3">
      <c r="A41" s="770"/>
      <c r="B41" s="1176"/>
      <c r="C41" s="4"/>
      <c r="D41" s="1181"/>
      <c r="E41" s="118"/>
      <c r="F41" s="83"/>
      <c r="G41" s="784"/>
      <c r="H41" s="1156"/>
      <c r="I41" s="1155"/>
      <c r="J41" s="1157"/>
      <c r="K41" s="1157"/>
      <c r="L41" s="1153"/>
      <c r="M41" s="1108"/>
      <c r="N41" s="1154"/>
      <c r="O41" s="1155"/>
      <c r="P41" s="1108"/>
      <c r="Q41" s="1143"/>
      <c r="R41" s="232" t="s">
        <v>164</v>
      </c>
      <c r="S41" s="464"/>
      <c r="T41" s="1014"/>
      <c r="U41" s="1009">
        <v>1</v>
      </c>
      <c r="V41" s="978"/>
      <c r="W41" s="58"/>
      <c r="X41" s="520"/>
      <c r="Y41" s="1346"/>
    </row>
    <row r="42" spans="1:25" s="90" customFormat="1" ht="17.5" customHeight="1" x14ac:dyDescent="0.3">
      <c r="A42" s="770"/>
      <c r="B42" s="1176"/>
      <c r="C42" s="4"/>
      <c r="D42" s="1381" t="s">
        <v>51</v>
      </c>
      <c r="E42" s="1524"/>
      <c r="F42" s="1179">
        <v>11020101</v>
      </c>
      <c r="G42" s="784"/>
      <c r="H42" s="1038" t="s">
        <v>217</v>
      </c>
      <c r="I42" s="1268">
        <f>747.5+24.3</f>
        <v>771.8</v>
      </c>
      <c r="J42" s="1269">
        <f>747.5+24.3+19.2</f>
        <v>791</v>
      </c>
      <c r="K42" s="1269">
        <f>+J42-I42</f>
        <v>19.200000000000045</v>
      </c>
      <c r="L42" s="1153">
        <v>834.1</v>
      </c>
      <c r="M42" s="1108">
        <v>834.1</v>
      </c>
      <c r="N42" s="1154"/>
      <c r="O42" s="1155">
        <v>850.8</v>
      </c>
      <c r="P42" s="1108">
        <v>850.8</v>
      </c>
      <c r="Q42" s="1143"/>
      <c r="R42" s="8" t="s">
        <v>93</v>
      </c>
      <c r="S42" s="456">
        <v>18</v>
      </c>
      <c r="T42" s="511"/>
      <c r="U42" s="1005">
        <v>18</v>
      </c>
      <c r="V42" s="921"/>
      <c r="W42" s="456">
        <v>18</v>
      </c>
      <c r="X42" s="934"/>
      <c r="Y42" s="1670" t="s">
        <v>268</v>
      </c>
    </row>
    <row r="43" spans="1:25" s="90" customFormat="1" ht="17.5" customHeight="1" x14ac:dyDescent="0.3">
      <c r="A43" s="770"/>
      <c r="B43" s="1176"/>
      <c r="C43" s="4"/>
      <c r="D43" s="1382"/>
      <c r="E43" s="1524"/>
      <c r="F43" s="1180"/>
      <c r="G43" s="784"/>
      <c r="H43" s="1156"/>
      <c r="I43" s="1234"/>
      <c r="J43" s="1236"/>
      <c r="K43" s="1236"/>
      <c r="L43" s="1231"/>
      <c r="M43" s="1232"/>
      <c r="N43" s="1233"/>
      <c r="O43" s="1234"/>
      <c r="P43" s="1232"/>
      <c r="Q43" s="1235"/>
      <c r="R43" s="521" t="s">
        <v>165</v>
      </c>
      <c r="S43" s="456">
        <v>7</v>
      </c>
      <c r="T43" s="511"/>
      <c r="U43" s="1005"/>
      <c r="V43" s="921"/>
      <c r="W43" s="456"/>
      <c r="X43" s="511"/>
      <c r="Y43" s="1671"/>
    </row>
    <row r="44" spans="1:25" s="90" customFormat="1" ht="31.15" customHeight="1" x14ac:dyDescent="0.3">
      <c r="A44" s="770"/>
      <c r="B44" s="1176"/>
      <c r="C44" s="4"/>
      <c r="D44" s="1382"/>
      <c r="E44" s="1524"/>
      <c r="F44" s="1180"/>
      <c r="G44" s="784"/>
      <c r="H44" s="1156"/>
      <c r="I44" s="1155"/>
      <c r="J44" s="1157"/>
      <c r="K44" s="1157"/>
      <c r="L44" s="1153"/>
      <c r="M44" s="1108"/>
      <c r="N44" s="1154"/>
      <c r="O44" s="1155"/>
      <c r="P44" s="1108"/>
      <c r="Q44" s="1143"/>
      <c r="R44" s="521" t="s">
        <v>223</v>
      </c>
      <c r="S44" s="456">
        <v>5</v>
      </c>
      <c r="T44" s="511"/>
      <c r="U44" s="1005"/>
      <c r="V44" s="921"/>
      <c r="W44" s="456"/>
      <c r="X44" s="511"/>
      <c r="Y44" s="1671"/>
    </row>
    <row r="45" spans="1:25" s="90" customFormat="1" ht="18.649999999999999" customHeight="1" x14ac:dyDescent="0.3">
      <c r="A45" s="770"/>
      <c r="B45" s="1176"/>
      <c r="C45" s="4"/>
      <c r="D45" s="1382"/>
      <c r="E45" s="1524"/>
      <c r="F45" s="1180"/>
      <c r="G45" s="784"/>
      <c r="H45" s="1156"/>
      <c r="I45" s="1155"/>
      <c r="J45" s="1157"/>
      <c r="K45" s="1157"/>
      <c r="L45" s="1153"/>
      <c r="M45" s="1108"/>
      <c r="N45" s="1154"/>
      <c r="O45" s="1155"/>
      <c r="P45" s="1108"/>
      <c r="Q45" s="1143"/>
      <c r="R45" s="521" t="s">
        <v>173</v>
      </c>
      <c r="S45" s="456">
        <v>1</v>
      </c>
      <c r="T45" s="511"/>
      <c r="U45" s="1005"/>
      <c r="V45" s="921"/>
      <c r="W45" s="456"/>
      <c r="X45" s="511"/>
      <c r="Y45" s="1671"/>
    </row>
    <row r="46" spans="1:25" s="90" customFormat="1" ht="27.75" customHeight="1" x14ac:dyDescent="0.3">
      <c r="A46" s="770"/>
      <c r="B46" s="1176"/>
      <c r="C46" s="4"/>
      <c r="D46" s="1382"/>
      <c r="E46" s="1524"/>
      <c r="F46" s="1180"/>
      <c r="G46" s="784"/>
      <c r="H46" s="1156"/>
      <c r="I46" s="1155"/>
      <c r="J46" s="1157"/>
      <c r="K46" s="1157"/>
      <c r="L46" s="1153"/>
      <c r="M46" s="1108"/>
      <c r="N46" s="1154"/>
      <c r="O46" s="1155"/>
      <c r="P46" s="1108"/>
      <c r="Q46" s="1143"/>
      <c r="R46" s="522" t="s">
        <v>174</v>
      </c>
      <c r="S46" s="456">
        <v>1</v>
      </c>
      <c r="T46" s="511"/>
      <c r="U46" s="1005"/>
      <c r="V46" s="921"/>
      <c r="W46" s="456"/>
      <c r="X46" s="934"/>
      <c r="Y46" s="1672"/>
    </row>
    <row r="47" spans="1:25" s="90" customFormat="1" ht="29.25" customHeight="1" x14ac:dyDescent="0.3">
      <c r="A47" s="770"/>
      <c r="B47" s="1176"/>
      <c r="C47" s="4"/>
      <c r="D47" s="1338" t="s">
        <v>66</v>
      </c>
      <c r="E47" s="118"/>
      <c r="F47" s="63">
        <v>11020102</v>
      </c>
      <c r="G47" s="784"/>
      <c r="H47" s="1588" t="s">
        <v>217</v>
      </c>
      <c r="I47" s="780">
        <f>291.7-61.9-15.7-14.1</f>
        <v>200</v>
      </c>
      <c r="J47" s="1264">
        <f>291.7-61.9-15.7-14.1</f>
        <v>200</v>
      </c>
      <c r="K47" s="1269"/>
      <c r="L47" s="1320">
        <f>291.7-61.9-21.3</f>
        <v>208.49999999999997</v>
      </c>
      <c r="M47" s="1321">
        <f>291.7-61.9-21.3</f>
        <v>208.49999999999997</v>
      </c>
      <c r="N47" s="782"/>
      <c r="O47" s="780">
        <f>291.7-61.9-21.3</f>
        <v>208.49999999999997</v>
      </c>
      <c r="P47" s="1321">
        <f>291.7-61.9-21.3</f>
        <v>208.49999999999997</v>
      </c>
      <c r="Q47" s="1143"/>
      <c r="R47" s="8" t="s">
        <v>94</v>
      </c>
      <c r="S47" s="456">
        <v>4</v>
      </c>
      <c r="T47" s="511"/>
      <c r="U47" s="1005">
        <v>3</v>
      </c>
      <c r="V47" s="921"/>
      <c r="W47" s="456">
        <v>3</v>
      </c>
      <c r="X47" s="511"/>
      <c r="Y47" s="1670"/>
    </row>
    <row r="48" spans="1:25" s="90" customFormat="1" ht="31.5" customHeight="1" x14ac:dyDescent="0.3">
      <c r="A48" s="770"/>
      <c r="B48" s="1176"/>
      <c r="C48" s="4"/>
      <c r="D48" s="1349"/>
      <c r="E48" s="118"/>
      <c r="F48" s="63"/>
      <c r="G48" s="784"/>
      <c r="H48" s="1589"/>
      <c r="I48" s="1326"/>
      <c r="J48" s="1327"/>
      <c r="K48" s="1270"/>
      <c r="L48" s="1238"/>
      <c r="M48" s="1239"/>
      <c r="N48" s="1240"/>
      <c r="O48" s="1237"/>
      <c r="P48" s="1241"/>
      <c r="Q48" s="1242"/>
      <c r="R48" s="1338" t="s">
        <v>110</v>
      </c>
      <c r="S48" s="1584">
        <f>19355-2076</f>
        <v>17279</v>
      </c>
      <c r="T48" s="1271"/>
      <c r="U48" s="1658">
        <f>19355-2767</f>
        <v>16588</v>
      </c>
      <c r="V48" s="924"/>
      <c r="W48" s="1584">
        <f>19355-2767</f>
        <v>16588</v>
      </c>
      <c r="X48" s="933"/>
      <c r="Y48" s="1671"/>
    </row>
    <row r="49" spans="1:29" s="90" customFormat="1" ht="15.75" customHeight="1" thickBot="1" x14ac:dyDescent="0.35">
      <c r="A49" s="1203"/>
      <c r="B49" s="1197"/>
      <c r="C49" s="5"/>
      <c r="D49" s="1366"/>
      <c r="E49" s="120"/>
      <c r="F49" s="222"/>
      <c r="G49" s="790"/>
      <c r="H49" s="143" t="s">
        <v>18</v>
      </c>
      <c r="I49" s="69">
        <f t="shared" ref="I49:Q49" si="15">SUM(I28:I30)</f>
        <v>5366.7</v>
      </c>
      <c r="J49" s="875">
        <f t="shared" si="15"/>
        <v>5385.9000000000005</v>
      </c>
      <c r="K49" s="875">
        <f t="shared" si="15"/>
        <v>19.200000000000728</v>
      </c>
      <c r="L49" s="1059">
        <f t="shared" si="15"/>
        <v>5401.9</v>
      </c>
      <c r="M49" s="362">
        <f t="shared" si="15"/>
        <v>5401.9</v>
      </c>
      <c r="N49" s="362">
        <f t="shared" si="15"/>
        <v>0</v>
      </c>
      <c r="O49" s="69">
        <f t="shared" si="15"/>
        <v>5412.0999999999995</v>
      </c>
      <c r="P49" s="362">
        <f t="shared" si="15"/>
        <v>5412.0999999999995</v>
      </c>
      <c r="Q49" s="362">
        <f t="shared" si="15"/>
        <v>0</v>
      </c>
      <c r="R49" s="1366"/>
      <c r="S49" s="1585"/>
      <c r="T49" s="1272"/>
      <c r="U49" s="1659"/>
      <c r="V49" s="925"/>
      <c r="W49" s="1585"/>
      <c r="X49" s="1166"/>
      <c r="Y49" s="1681"/>
    </row>
    <row r="50" spans="1:29" s="90" customFormat="1" ht="17.25" customHeight="1" x14ac:dyDescent="0.3">
      <c r="A50" s="38" t="s">
        <v>13</v>
      </c>
      <c r="B50" s="1175" t="s">
        <v>19</v>
      </c>
      <c r="C50" s="3" t="s">
        <v>19</v>
      </c>
      <c r="D50" s="1383" t="s">
        <v>90</v>
      </c>
      <c r="E50" s="148"/>
      <c r="F50" s="149"/>
      <c r="G50" s="789" t="s">
        <v>16</v>
      </c>
      <c r="H50" s="797" t="s">
        <v>17</v>
      </c>
      <c r="I50" s="267">
        <f>1290.1-25.7</f>
        <v>1264.3999999999999</v>
      </c>
      <c r="J50" s="1129">
        <f>1290.1-16.8-8.9</f>
        <v>1264.3999999999999</v>
      </c>
      <c r="K50" s="1129"/>
      <c r="L50" s="1060">
        <v>1970.2</v>
      </c>
      <c r="M50" s="377">
        <v>1970.2</v>
      </c>
      <c r="N50" s="371"/>
      <c r="O50" s="267">
        <v>1993.2</v>
      </c>
      <c r="P50" s="377">
        <v>1993.2</v>
      </c>
      <c r="Q50" s="885"/>
      <c r="R50" s="1169" t="s">
        <v>91</v>
      </c>
      <c r="S50" s="1660">
        <v>69</v>
      </c>
      <c r="T50" s="1173"/>
      <c r="U50" s="1662">
        <v>69</v>
      </c>
      <c r="V50" s="926"/>
      <c r="W50" s="1660">
        <v>70</v>
      </c>
      <c r="X50" s="1173"/>
      <c r="Y50" s="388"/>
    </row>
    <row r="51" spans="1:29" s="90" customFormat="1" ht="12.75" customHeight="1" x14ac:dyDescent="0.3">
      <c r="A51" s="39"/>
      <c r="B51" s="1176"/>
      <c r="C51" s="4"/>
      <c r="D51" s="1384"/>
      <c r="E51" s="150"/>
      <c r="F51" s="151"/>
      <c r="G51" s="784"/>
      <c r="H51" s="137"/>
      <c r="I51" s="71"/>
      <c r="J51" s="367"/>
      <c r="K51" s="367"/>
      <c r="L51" s="1061"/>
      <c r="M51" s="300"/>
      <c r="N51" s="372"/>
      <c r="O51" s="71"/>
      <c r="P51" s="300"/>
      <c r="Q51" s="874"/>
      <c r="R51" s="1217"/>
      <c r="S51" s="1661"/>
      <c r="T51" s="1174"/>
      <c r="U51" s="1663"/>
      <c r="V51" s="927"/>
      <c r="W51" s="1661"/>
      <c r="X51" s="1174"/>
      <c r="Y51" s="550"/>
      <c r="AC51" s="99"/>
    </row>
    <row r="52" spans="1:29" s="90" customFormat="1" ht="30.75" customHeight="1" x14ac:dyDescent="0.3">
      <c r="A52" s="40"/>
      <c r="B52" s="26"/>
      <c r="C52" s="7"/>
      <c r="D52" s="232" t="s">
        <v>30</v>
      </c>
      <c r="E52" s="150"/>
      <c r="F52" s="152">
        <v>11030608</v>
      </c>
      <c r="G52" s="279"/>
      <c r="H52" s="1251" t="s">
        <v>217</v>
      </c>
      <c r="I52" s="780">
        <v>468.4</v>
      </c>
      <c r="J52" s="1264">
        <v>468.4</v>
      </c>
      <c r="K52" s="1264"/>
      <c r="L52" s="1259">
        <v>478.4</v>
      </c>
      <c r="M52" s="781">
        <v>478.4</v>
      </c>
      <c r="N52" s="782"/>
      <c r="O52" s="780">
        <v>493.4</v>
      </c>
      <c r="P52" s="781">
        <v>493.4</v>
      </c>
      <c r="Q52" s="1143"/>
      <c r="R52" s="524" t="s">
        <v>64</v>
      </c>
      <c r="S52" s="457">
        <v>215</v>
      </c>
      <c r="T52" s="936"/>
      <c r="U52" s="979">
        <v>220</v>
      </c>
      <c r="V52" s="912"/>
      <c r="W52" s="1222">
        <v>220</v>
      </c>
      <c r="X52" s="1187"/>
      <c r="Y52" s="410"/>
    </row>
    <row r="53" spans="1:29" s="90" customFormat="1" ht="45.75" customHeight="1" x14ac:dyDescent="0.3">
      <c r="A53" s="39"/>
      <c r="B53" s="1176"/>
      <c r="C53" s="4"/>
      <c r="D53" s="232" t="s">
        <v>199</v>
      </c>
      <c r="E53" s="155"/>
      <c r="F53" s="157"/>
      <c r="G53" s="784"/>
      <c r="H53" s="1251" t="s">
        <v>217</v>
      </c>
      <c r="I53" s="834">
        <f>600-16.8</f>
        <v>583.20000000000005</v>
      </c>
      <c r="J53" s="1276">
        <f>600-16.8</f>
        <v>583.20000000000005</v>
      </c>
      <c r="K53" s="1276"/>
      <c r="L53" s="1277">
        <v>700</v>
      </c>
      <c r="M53" s="799">
        <v>700</v>
      </c>
      <c r="N53" s="825"/>
      <c r="O53" s="834">
        <v>700</v>
      </c>
      <c r="P53" s="799">
        <v>700</v>
      </c>
      <c r="Q53" s="1142"/>
      <c r="R53" s="685" t="s">
        <v>85</v>
      </c>
      <c r="S53" s="468">
        <v>2.8</v>
      </c>
      <c r="T53" s="1015"/>
      <c r="U53" s="1010">
        <v>3.5</v>
      </c>
      <c r="V53" s="928"/>
      <c r="W53" s="468">
        <v>3.5</v>
      </c>
      <c r="X53" s="1015"/>
      <c r="Y53" s="1116"/>
    </row>
    <row r="54" spans="1:29" s="90" customFormat="1" ht="30.65" customHeight="1" x14ac:dyDescent="0.3">
      <c r="A54" s="39"/>
      <c r="B54" s="1176"/>
      <c r="C54" s="4"/>
      <c r="D54" s="8" t="s">
        <v>201</v>
      </c>
      <c r="E54" s="150"/>
      <c r="F54" s="153">
        <v>1102020101</v>
      </c>
      <c r="G54" s="784"/>
      <c r="H54" s="1251" t="s">
        <v>217</v>
      </c>
      <c r="I54" s="780">
        <v>80.7</v>
      </c>
      <c r="J54" s="1264">
        <v>80.7</v>
      </c>
      <c r="K54" s="1264"/>
      <c r="L54" s="1259">
        <v>85</v>
      </c>
      <c r="M54" s="781">
        <v>85</v>
      </c>
      <c r="N54" s="782"/>
      <c r="O54" s="780">
        <v>85</v>
      </c>
      <c r="P54" s="781">
        <v>85</v>
      </c>
      <c r="Q54" s="1143"/>
      <c r="R54" s="8" t="s">
        <v>63</v>
      </c>
      <c r="S54" s="298">
        <v>35</v>
      </c>
      <c r="T54" s="558"/>
      <c r="U54" s="984">
        <v>35</v>
      </c>
      <c r="V54" s="910"/>
      <c r="W54" s="298">
        <v>35</v>
      </c>
      <c r="X54" s="558"/>
      <c r="Y54" s="423"/>
    </row>
    <row r="55" spans="1:29" s="90" customFormat="1" ht="33" customHeight="1" x14ac:dyDescent="0.3">
      <c r="A55" s="39"/>
      <c r="B55" s="1176"/>
      <c r="C55" s="4"/>
      <c r="D55" s="232" t="s">
        <v>202</v>
      </c>
      <c r="E55" s="150"/>
      <c r="F55" s="154"/>
      <c r="G55" s="784"/>
      <c r="H55" s="1251" t="s">
        <v>217</v>
      </c>
      <c r="I55" s="780">
        <f>45-8.9</f>
        <v>36.1</v>
      </c>
      <c r="J55" s="1264">
        <f>45-8.9</f>
        <v>36.1</v>
      </c>
      <c r="K55" s="1264"/>
      <c r="L55" s="1259">
        <v>45</v>
      </c>
      <c r="M55" s="781">
        <v>45</v>
      </c>
      <c r="N55" s="782"/>
      <c r="O55" s="780">
        <v>45</v>
      </c>
      <c r="P55" s="781">
        <v>45</v>
      </c>
      <c r="Q55" s="1143"/>
      <c r="R55" s="800" t="s">
        <v>63</v>
      </c>
      <c r="S55" s="1222">
        <v>34</v>
      </c>
      <c r="T55" s="1187"/>
      <c r="U55" s="1220">
        <v>30</v>
      </c>
      <c r="V55" s="912"/>
      <c r="W55" s="1222">
        <v>30</v>
      </c>
      <c r="X55" s="1187"/>
      <c r="Y55" s="819"/>
    </row>
    <row r="56" spans="1:29" s="90" customFormat="1" ht="30" customHeight="1" x14ac:dyDescent="0.3">
      <c r="A56" s="39"/>
      <c r="B56" s="1176"/>
      <c r="C56" s="4"/>
      <c r="D56" s="232" t="s">
        <v>203</v>
      </c>
      <c r="E56" s="155"/>
      <c r="F56" s="152">
        <v>11020204</v>
      </c>
      <c r="G56" s="784"/>
      <c r="H56" s="1251" t="s">
        <v>217</v>
      </c>
      <c r="I56" s="780">
        <v>50.7</v>
      </c>
      <c r="J56" s="1264">
        <v>50.7</v>
      </c>
      <c r="K56" s="1264"/>
      <c r="L56" s="1259">
        <v>76</v>
      </c>
      <c r="M56" s="781">
        <v>76</v>
      </c>
      <c r="N56" s="782"/>
      <c r="O56" s="780">
        <v>76</v>
      </c>
      <c r="P56" s="781">
        <v>76</v>
      </c>
      <c r="Q56" s="1143"/>
      <c r="R56" s="1167" t="s">
        <v>95</v>
      </c>
      <c r="S56" s="241">
        <v>12</v>
      </c>
      <c r="T56" s="1215"/>
      <c r="U56" s="983">
        <v>12</v>
      </c>
      <c r="V56" s="543"/>
      <c r="W56" s="241">
        <v>12</v>
      </c>
      <c r="X56" s="558"/>
      <c r="Y56" s="423"/>
    </row>
    <row r="57" spans="1:29" s="90" customFormat="1" ht="30" customHeight="1" x14ac:dyDescent="0.3">
      <c r="A57" s="39"/>
      <c r="B57" s="1176"/>
      <c r="C57" s="4"/>
      <c r="D57" s="232" t="s">
        <v>200</v>
      </c>
      <c r="E57" s="155"/>
      <c r="F57" s="152"/>
      <c r="G57" s="784"/>
      <c r="H57" s="1251" t="s">
        <v>217</v>
      </c>
      <c r="I57" s="780"/>
      <c r="J57" s="1264"/>
      <c r="K57" s="1264"/>
      <c r="L57" s="1259">
        <f>524.5+5.5</f>
        <v>530</v>
      </c>
      <c r="M57" s="781">
        <f>524.5+5.5</f>
        <v>530</v>
      </c>
      <c r="N57" s="782"/>
      <c r="O57" s="780">
        <v>530</v>
      </c>
      <c r="P57" s="781">
        <v>530</v>
      </c>
      <c r="Q57" s="1143"/>
      <c r="R57" s="8" t="s">
        <v>175</v>
      </c>
      <c r="S57" s="597"/>
      <c r="T57" s="1016"/>
      <c r="U57" s="979">
        <v>780</v>
      </c>
      <c r="V57" s="569"/>
      <c r="W57" s="457">
        <v>800</v>
      </c>
      <c r="X57" s="915"/>
      <c r="Y57" s="390"/>
    </row>
    <row r="58" spans="1:29" s="90" customFormat="1" ht="44.5" customHeight="1" x14ac:dyDescent="0.3">
      <c r="A58" s="39"/>
      <c r="B58" s="1176"/>
      <c r="C58" s="4"/>
      <c r="D58" s="443"/>
      <c r="E58" s="155"/>
      <c r="F58" s="152"/>
      <c r="G58" s="784"/>
      <c r="H58" s="1251"/>
      <c r="I58" s="780"/>
      <c r="J58" s="1264"/>
      <c r="K58" s="1264"/>
      <c r="L58" s="1259"/>
      <c r="M58" s="781"/>
      <c r="N58" s="782"/>
      <c r="O58" s="780"/>
      <c r="P58" s="781"/>
      <c r="Q58" s="1143"/>
      <c r="R58" s="1167" t="s">
        <v>176</v>
      </c>
      <c r="S58" s="597"/>
      <c r="T58" s="1016"/>
      <c r="U58" s="979">
        <v>3</v>
      </c>
      <c r="V58" s="569"/>
      <c r="W58" s="457">
        <v>3</v>
      </c>
      <c r="X58" s="936"/>
      <c r="Y58" s="410"/>
    </row>
    <row r="59" spans="1:29" s="90" customFormat="1" ht="27.75" customHeight="1" x14ac:dyDescent="0.3">
      <c r="A59" s="39"/>
      <c r="B59" s="1176"/>
      <c r="C59" s="4"/>
      <c r="D59" s="232" t="s">
        <v>177</v>
      </c>
      <c r="E59" s="155"/>
      <c r="F59" s="156">
        <v>11020202</v>
      </c>
      <c r="G59" s="784"/>
      <c r="H59" s="1251" t="s">
        <v>217</v>
      </c>
      <c r="I59" s="780">
        <v>42</v>
      </c>
      <c r="J59" s="1264">
        <v>42</v>
      </c>
      <c r="K59" s="1264"/>
      <c r="L59" s="1259">
        <v>50.4</v>
      </c>
      <c r="M59" s="781">
        <v>50.4</v>
      </c>
      <c r="N59" s="782"/>
      <c r="O59" s="780">
        <v>60.5</v>
      </c>
      <c r="P59" s="781">
        <v>60.5</v>
      </c>
      <c r="Q59" s="1143"/>
      <c r="R59" s="685" t="s">
        <v>106</v>
      </c>
      <c r="S59" s="471">
        <v>320</v>
      </c>
      <c r="T59" s="915"/>
      <c r="U59" s="1011">
        <v>325</v>
      </c>
      <c r="V59" s="859"/>
      <c r="W59" s="471">
        <v>330</v>
      </c>
      <c r="X59" s="915"/>
      <c r="Y59" s="390"/>
    </row>
    <row r="60" spans="1:29" s="90" customFormat="1" ht="27.75" customHeight="1" x14ac:dyDescent="0.3">
      <c r="A60" s="39"/>
      <c r="B60" s="1176"/>
      <c r="C60" s="4"/>
      <c r="D60" s="1214"/>
      <c r="E60" s="155"/>
      <c r="F60" s="157"/>
      <c r="G60" s="784"/>
      <c r="H60" s="1159"/>
      <c r="I60" s="1155"/>
      <c r="J60" s="1157"/>
      <c r="K60" s="1157"/>
      <c r="L60" s="1153"/>
      <c r="M60" s="1108"/>
      <c r="N60" s="1154"/>
      <c r="O60" s="1155"/>
      <c r="P60" s="1108"/>
      <c r="Q60" s="1143"/>
      <c r="R60" s="685" t="s">
        <v>224</v>
      </c>
      <c r="S60" s="1222">
        <v>14</v>
      </c>
      <c r="T60" s="1187"/>
      <c r="U60" s="979">
        <v>14</v>
      </c>
      <c r="V60" s="912"/>
      <c r="W60" s="1222">
        <v>14</v>
      </c>
      <c r="X60" s="936"/>
      <c r="Y60" s="410"/>
    </row>
    <row r="61" spans="1:29" s="90" customFormat="1" ht="15.75" customHeight="1" x14ac:dyDescent="0.3">
      <c r="A61" s="39"/>
      <c r="B61" s="1176"/>
      <c r="C61" s="4"/>
      <c r="D61" s="1338" t="s">
        <v>121</v>
      </c>
      <c r="E61" s="155"/>
      <c r="F61" s="157"/>
      <c r="G61" s="784"/>
      <c r="H61" s="1328" t="s">
        <v>217</v>
      </c>
      <c r="I61" s="834">
        <v>3.3</v>
      </c>
      <c r="J61" s="1276">
        <v>3.3</v>
      </c>
      <c r="K61" s="1276"/>
      <c r="L61" s="1277">
        <v>5.4</v>
      </c>
      <c r="M61" s="799">
        <v>5.4</v>
      </c>
      <c r="N61" s="825"/>
      <c r="O61" s="834">
        <v>3.3</v>
      </c>
      <c r="P61" s="799">
        <v>3.3</v>
      </c>
      <c r="Q61" s="1243"/>
      <c r="R61" s="685" t="s">
        <v>81</v>
      </c>
      <c r="S61" s="1656">
        <v>116</v>
      </c>
      <c r="T61" s="1187"/>
      <c r="U61" s="1664">
        <v>120</v>
      </c>
      <c r="V61" s="929"/>
      <c r="W61" s="1656">
        <v>120</v>
      </c>
      <c r="X61" s="915"/>
      <c r="Y61" s="390"/>
    </row>
    <row r="62" spans="1:29" s="90" customFormat="1" ht="15" customHeight="1" thickBot="1" x14ac:dyDescent="0.35">
      <c r="A62" s="41"/>
      <c r="B62" s="1197"/>
      <c r="C62" s="5"/>
      <c r="D62" s="1366"/>
      <c r="E62" s="158"/>
      <c r="F62" s="200"/>
      <c r="G62" s="790"/>
      <c r="H62" s="108" t="s">
        <v>18</v>
      </c>
      <c r="I62" s="280">
        <f>SUM(I50)</f>
        <v>1264.3999999999999</v>
      </c>
      <c r="J62" s="863">
        <f>SUM(J50)</f>
        <v>1264.3999999999999</v>
      </c>
      <c r="K62" s="863">
        <f>SUM(K50)</f>
        <v>0</v>
      </c>
      <c r="L62" s="970">
        <f t="shared" ref="L62:O62" si="16">SUM(L50)</f>
        <v>1970.2</v>
      </c>
      <c r="M62" s="318">
        <f t="shared" ref="M62:N62" si="17">SUM(M50)</f>
        <v>1970.2</v>
      </c>
      <c r="N62" s="318">
        <f t="shared" si="17"/>
        <v>0</v>
      </c>
      <c r="O62" s="280">
        <f t="shared" si="16"/>
        <v>1993.2</v>
      </c>
      <c r="P62" s="318">
        <f t="shared" ref="P62:Q62" si="18">SUM(P50)</f>
        <v>1993.2</v>
      </c>
      <c r="Q62" s="318">
        <f t="shared" si="18"/>
        <v>0</v>
      </c>
      <c r="R62" s="30"/>
      <c r="S62" s="1657"/>
      <c r="T62" s="1188"/>
      <c r="U62" s="1665"/>
      <c r="V62" s="930"/>
      <c r="W62" s="1657"/>
      <c r="X62" s="1188"/>
      <c r="Y62" s="387"/>
    </row>
    <row r="63" spans="1:29" s="90" customFormat="1" ht="28.5" customHeight="1" x14ac:dyDescent="0.3">
      <c r="A63" s="1371" t="s">
        <v>13</v>
      </c>
      <c r="B63" s="1354" t="s">
        <v>19</v>
      </c>
      <c r="C63" s="1444" t="s">
        <v>21</v>
      </c>
      <c r="D63" s="1358" t="s">
        <v>69</v>
      </c>
      <c r="E63" s="1447"/>
      <c r="F63" s="1450">
        <v>11020310</v>
      </c>
      <c r="G63" s="750" t="s">
        <v>16</v>
      </c>
      <c r="H63" s="6" t="s">
        <v>17</v>
      </c>
      <c r="I63" s="68">
        <f>116.4-15.5-33.4</f>
        <v>67.5</v>
      </c>
      <c r="J63" s="862">
        <f>116.4-15.5-33.4</f>
        <v>67.5</v>
      </c>
      <c r="K63" s="862"/>
      <c r="L63" s="1055">
        <v>120.4</v>
      </c>
      <c r="M63" s="376">
        <v>120.4</v>
      </c>
      <c r="N63" s="374"/>
      <c r="O63" s="68">
        <v>120.4</v>
      </c>
      <c r="P63" s="376">
        <v>120.4</v>
      </c>
      <c r="Q63" s="867"/>
      <c r="R63" s="229" t="s">
        <v>67</v>
      </c>
      <c r="S63" s="449">
        <v>8674</v>
      </c>
      <c r="T63" s="1244"/>
      <c r="U63" s="980">
        <v>10160</v>
      </c>
      <c r="V63" s="856"/>
      <c r="W63" s="22">
        <v>10160</v>
      </c>
      <c r="X63" s="1032"/>
      <c r="Y63" s="1648"/>
    </row>
    <row r="64" spans="1:29" s="90" customFormat="1" ht="15" customHeight="1" x14ac:dyDescent="0.3">
      <c r="A64" s="1372"/>
      <c r="B64" s="1380"/>
      <c r="C64" s="1445"/>
      <c r="D64" s="1382"/>
      <c r="E64" s="1448"/>
      <c r="F64" s="1451"/>
      <c r="G64" s="205">
        <v>3</v>
      </c>
      <c r="H64" s="449"/>
      <c r="I64" s="801"/>
      <c r="J64" s="876"/>
      <c r="K64" s="876"/>
      <c r="L64" s="1062"/>
      <c r="M64" s="802"/>
      <c r="N64" s="1063"/>
      <c r="O64" s="801"/>
      <c r="P64" s="802"/>
      <c r="Q64" s="887"/>
      <c r="R64" s="1494" t="s">
        <v>225</v>
      </c>
      <c r="S64" s="469">
        <v>152</v>
      </c>
      <c r="T64" s="1017"/>
      <c r="U64" s="981">
        <v>152</v>
      </c>
      <c r="V64" s="931"/>
      <c r="W64" s="469">
        <v>152</v>
      </c>
      <c r="X64" s="886"/>
      <c r="Y64" s="1624"/>
    </row>
    <row r="65" spans="1:28" s="90" customFormat="1" ht="15" customHeight="1" thickBot="1" x14ac:dyDescent="0.35">
      <c r="A65" s="1373"/>
      <c r="B65" s="1355"/>
      <c r="C65" s="1446"/>
      <c r="D65" s="1359"/>
      <c r="E65" s="1449"/>
      <c r="F65" s="1464"/>
      <c r="G65" s="204"/>
      <c r="H65" s="1204" t="s">
        <v>18</v>
      </c>
      <c r="I65" s="280">
        <f>SUM(I63:I64)</f>
        <v>67.5</v>
      </c>
      <c r="J65" s="863">
        <f>SUM(J63:J64)</f>
        <v>67.5</v>
      </c>
      <c r="K65" s="863">
        <f>SUM(K63:K64)</f>
        <v>0</v>
      </c>
      <c r="L65" s="970">
        <f t="shared" ref="L65:O65" si="19">SUM(L63:L64)</f>
        <v>120.4</v>
      </c>
      <c r="M65" s="318">
        <f t="shared" ref="M65:N65" si="20">SUM(M63:M64)</f>
        <v>120.4</v>
      </c>
      <c r="N65" s="318">
        <f t="shared" si="20"/>
        <v>0</v>
      </c>
      <c r="O65" s="359">
        <f t="shared" si="19"/>
        <v>120.4</v>
      </c>
      <c r="P65" s="537">
        <f t="shared" ref="P65:Q65" si="21">SUM(P63:P64)</f>
        <v>120.4</v>
      </c>
      <c r="Q65" s="537">
        <f t="shared" si="21"/>
        <v>0</v>
      </c>
      <c r="R65" s="1495"/>
      <c r="S65" s="470"/>
      <c r="T65" s="82"/>
      <c r="U65" s="992"/>
      <c r="V65" s="417"/>
      <c r="W65" s="470"/>
      <c r="X65" s="82"/>
      <c r="Y65" s="1649"/>
    </row>
    <row r="66" spans="1:28" s="90" customFormat="1" ht="46.5" customHeight="1" x14ac:dyDescent="0.3">
      <c r="A66" s="43" t="s">
        <v>13</v>
      </c>
      <c r="B66" s="1176" t="s">
        <v>19</v>
      </c>
      <c r="C66" s="1189" t="s">
        <v>31</v>
      </c>
      <c r="D66" s="1365" t="s">
        <v>79</v>
      </c>
      <c r="E66" s="121"/>
      <c r="F66" s="1573">
        <v>11020406</v>
      </c>
      <c r="G66" s="208">
        <v>2</v>
      </c>
      <c r="H66" s="667" t="s">
        <v>17</v>
      </c>
      <c r="I66" s="370">
        <f>99.2-3</f>
        <v>96.2</v>
      </c>
      <c r="J66" s="1130">
        <f>99.2-3</f>
        <v>96.2</v>
      </c>
      <c r="K66" s="1282"/>
      <c r="L66" s="1064">
        <v>120</v>
      </c>
      <c r="M66" s="378">
        <v>120</v>
      </c>
      <c r="N66" s="1065"/>
      <c r="O66" s="370">
        <v>120</v>
      </c>
      <c r="P66" s="378">
        <v>120</v>
      </c>
      <c r="Q66" s="888"/>
      <c r="R66" s="1575" t="s">
        <v>80</v>
      </c>
      <c r="S66" s="471">
        <v>1876</v>
      </c>
      <c r="T66" s="1283"/>
      <c r="U66" s="1011">
        <v>2060</v>
      </c>
      <c r="V66" s="859"/>
      <c r="W66" s="471">
        <v>2060</v>
      </c>
      <c r="X66" s="915"/>
      <c r="Y66" s="1358"/>
    </row>
    <row r="67" spans="1:28" s="90" customFormat="1" ht="18.75" customHeight="1" thickBot="1" x14ac:dyDescent="0.35">
      <c r="A67" s="43"/>
      <c r="B67" s="1176"/>
      <c r="C67" s="1189"/>
      <c r="D67" s="1349"/>
      <c r="E67" s="122"/>
      <c r="F67" s="1574"/>
      <c r="G67" s="221"/>
      <c r="H67" s="1204" t="s">
        <v>18</v>
      </c>
      <c r="I67" s="270">
        <f t="shared" ref="I67:O67" si="22">+I66</f>
        <v>96.2</v>
      </c>
      <c r="J67" s="877">
        <f t="shared" ref="J67:K67" si="23">+J66</f>
        <v>96.2</v>
      </c>
      <c r="K67" s="877">
        <f t="shared" si="23"/>
        <v>0</v>
      </c>
      <c r="L67" s="1066">
        <f t="shared" si="22"/>
        <v>120</v>
      </c>
      <c r="M67" s="379">
        <f t="shared" ref="M67:N67" si="24">+M66</f>
        <v>120</v>
      </c>
      <c r="N67" s="379">
        <f t="shared" si="24"/>
        <v>0</v>
      </c>
      <c r="O67" s="265">
        <f t="shared" si="22"/>
        <v>120</v>
      </c>
      <c r="P67" s="672">
        <f t="shared" ref="P67:Q67" si="25">+P66</f>
        <v>120</v>
      </c>
      <c r="Q67" s="672">
        <f t="shared" si="25"/>
        <v>0</v>
      </c>
      <c r="R67" s="1495"/>
      <c r="S67" s="1307"/>
      <c r="T67" s="1284"/>
      <c r="U67" s="1221"/>
      <c r="V67" s="674"/>
      <c r="W67" s="1223"/>
      <c r="X67" s="1188"/>
      <c r="Y67" s="1359"/>
    </row>
    <row r="68" spans="1:28" s="90" customFormat="1" ht="21.65" customHeight="1" x14ac:dyDescent="0.3">
      <c r="A68" s="38" t="s">
        <v>13</v>
      </c>
      <c r="B68" s="102" t="s">
        <v>19</v>
      </c>
      <c r="C68" s="474" t="s">
        <v>49</v>
      </c>
      <c r="D68" s="1365" t="s">
        <v>109</v>
      </c>
      <c r="E68" s="476" t="s">
        <v>118</v>
      </c>
      <c r="F68" s="159"/>
      <c r="G68" s="208">
        <v>1</v>
      </c>
      <c r="H68" s="128" t="s">
        <v>17</v>
      </c>
      <c r="I68" s="283">
        <f>27+4+3.2</f>
        <v>34.200000000000003</v>
      </c>
      <c r="J68" s="878">
        <f>27+4+3.2</f>
        <v>34.200000000000003</v>
      </c>
      <c r="K68" s="878"/>
      <c r="L68" s="490">
        <v>37</v>
      </c>
      <c r="M68" s="317">
        <v>37</v>
      </c>
      <c r="N68" s="699"/>
      <c r="O68" s="283">
        <v>37</v>
      </c>
      <c r="P68" s="317">
        <v>37</v>
      </c>
      <c r="Q68" s="882"/>
      <c r="R68" s="1459" t="s">
        <v>255</v>
      </c>
      <c r="S68" s="249">
        <v>50</v>
      </c>
      <c r="T68" s="1177"/>
      <c r="U68" s="994">
        <v>25</v>
      </c>
      <c r="V68" s="396"/>
      <c r="W68" s="249">
        <v>25</v>
      </c>
      <c r="X68" s="1177"/>
      <c r="Y68" s="1365"/>
    </row>
    <row r="69" spans="1:28" s="90" customFormat="1" ht="27" customHeight="1" x14ac:dyDescent="0.3">
      <c r="A69" s="39"/>
      <c r="B69" s="103"/>
      <c r="C69" s="477"/>
      <c r="D69" s="1349"/>
      <c r="E69" s="479"/>
      <c r="F69" s="210"/>
      <c r="G69" s="211"/>
      <c r="H69" s="251" t="s">
        <v>55</v>
      </c>
      <c r="I69" s="749">
        <v>10</v>
      </c>
      <c r="J69" s="1171">
        <v>10</v>
      </c>
      <c r="K69" s="1171"/>
      <c r="L69" s="1067"/>
      <c r="M69" s="307"/>
      <c r="N69" s="373"/>
      <c r="O69" s="749"/>
      <c r="P69" s="307"/>
      <c r="Q69" s="870"/>
      <c r="R69" s="1460"/>
      <c r="S69" s="299"/>
      <c r="T69" s="1216"/>
      <c r="U69" s="995"/>
      <c r="V69" s="406"/>
      <c r="W69" s="299"/>
      <c r="X69" s="1216"/>
      <c r="Y69" s="1349"/>
    </row>
    <row r="70" spans="1:28" s="90" customFormat="1" ht="13.5" thickBot="1" x14ac:dyDescent="0.35">
      <c r="A70" s="39"/>
      <c r="B70" s="103"/>
      <c r="C70" s="477"/>
      <c r="D70" s="1366"/>
      <c r="E70" s="479"/>
      <c r="F70" s="210"/>
      <c r="G70" s="211"/>
      <c r="H70" s="1195" t="s">
        <v>18</v>
      </c>
      <c r="I70" s="359">
        <f t="shared" ref="I70:Q70" si="26">SUM(I68:I69)</f>
        <v>44.2</v>
      </c>
      <c r="J70" s="879">
        <f t="shared" si="26"/>
        <v>44.2</v>
      </c>
      <c r="K70" s="879">
        <f t="shared" si="26"/>
        <v>0</v>
      </c>
      <c r="L70" s="1068">
        <f t="shared" si="26"/>
        <v>37</v>
      </c>
      <c r="M70" s="537">
        <f t="shared" si="26"/>
        <v>37</v>
      </c>
      <c r="N70" s="537">
        <f t="shared" si="26"/>
        <v>0</v>
      </c>
      <c r="O70" s="280">
        <f t="shared" si="26"/>
        <v>37</v>
      </c>
      <c r="P70" s="318">
        <f t="shared" si="26"/>
        <v>37</v>
      </c>
      <c r="Q70" s="318">
        <f t="shared" si="26"/>
        <v>0</v>
      </c>
      <c r="R70" s="96"/>
      <c r="S70" s="470"/>
      <c r="T70" s="82"/>
      <c r="U70" s="992"/>
      <c r="V70" s="417"/>
      <c r="W70" s="470"/>
      <c r="X70" s="82"/>
      <c r="Y70" s="1366"/>
      <c r="AB70" s="99"/>
    </row>
    <row r="71" spans="1:28" s="90" customFormat="1" ht="28.15" customHeight="1" x14ac:dyDescent="0.3">
      <c r="A71" s="1352" t="s">
        <v>13</v>
      </c>
      <c r="B71" s="1354" t="s">
        <v>19</v>
      </c>
      <c r="C71" s="1356" t="s">
        <v>73</v>
      </c>
      <c r="D71" s="1369" t="s">
        <v>204</v>
      </c>
      <c r="E71" s="748"/>
      <c r="F71" s="159"/>
      <c r="G71" s="208"/>
      <c r="H71" s="667" t="s">
        <v>17</v>
      </c>
      <c r="I71" s="283">
        <v>2.7</v>
      </c>
      <c r="J71" s="878">
        <v>2.7</v>
      </c>
      <c r="K71" s="878"/>
      <c r="L71" s="1069"/>
      <c r="M71" s="669"/>
      <c r="N71" s="670"/>
      <c r="O71" s="668"/>
      <c r="P71" s="669"/>
      <c r="Q71" s="883"/>
      <c r="R71" s="1358" t="s">
        <v>205</v>
      </c>
      <c r="S71" s="1225">
        <v>100</v>
      </c>
      <c r="T71" s="1173"/>
      <c r="U71" s="1227"/>
      <c r="V71" s="671"/>
      <c r="W71" s="1225"/>
      <c r="X71" s="1173"/>
      <c r="Y71" s="388"/>
    </row>
    <row r="72" spans="1:28" s="90" customFormat="1" ht="16.149999999999999" customHeight="1" thickBot="1" x14ac:dyDescent="0.35">
      <c r="A72" s="1353"/>
      <c r="B72" s="1355"/>
      <c r="C72" s="1357"/>
      <c r="D72" s="1370"/>
      <c r="E72" s="591"/>
      <c r="F72" s="592"/>
      <c r="G72" s="221"/>
      <c r="H72" s="1204" t="s">
        <v>18</v>
      </c>
      <c r="I72" s="265">
        <f t="shared" ref="I72:Q72" si="27">+I71</f>
        <v>2.7</v>
      </c>
      <c r="J72" s="871">
        <f t="shared" si="27"/>
        <v>2.7</v>
      </c>
      <c r="K72" s="871">
        <f t="shared" si="27"/>
        <v>0</v>
      </c>
      <c r="L72" s="1070">
        <f t="shared" si="27"/>
        <v>0</v>
      </c>
      <c r="M72" s="672">
        <f t="shared" si="27"/>
        <v>0</v>
      </c>
      <c r="N72" s="672">
        <f t="shared" si="27"/>
        <v>0</v>
      </c>
      <c r="O72" s="265">
        <f t="shared" si="27"/>
        <v>0</v>
      </c>
      <c r="P72" s="672">
        <f t="shared" si="27"/>
        <v>0</v>
      </c>
      <c r="Q72" s="672">
        <f t="shared" si="27"/>
        <v>0</v>
      </c>
      <c r="R72" s="1359"/>
      <c r="S72" s="1223"/>
      <c r="T72" s="1188"/>
      <c r="U72" s="1221"/>
      <c r="V72" s="674"/>
      <c r="W72" s="1223"/>
      <c r="X72" s="1188"/>
      <c r="Y72" s="387"/>
    </row>
    <row r="73" spans="1:28" s="90" customFormat="1" ht="17.5" customHeight="1" x14ac:dyDescent="0.3">
      <c r="A73" s="1352" t="s">
        <v>13</v>
      </c>
      <c r="B73" s="1354" t="s">
        <v>19</v>
      </c>
      <c r="C73" s="1356" t="s">
        <v>74</v>
      </c>
      <c r="D73" s="1369" t="s">
        <v>226</v>
      </c>
      <c r="E73" s="748"/>
      <c r="F73" s="675"/>
      <c r="G73" s="208"/>
      <c r="H73" s="667" t="s">
        <v>17</v>
      </c>
      <c r="I73" s="283">
        <v>510</v>
      </c>
      <c r="J73" s="878">
        <v>510</v>
      </c>
      <c r="K73" s="878"/>
      <c r="L73" s="1069"/>
      <c r="M73" s="669"/>
      <c r="N73" s="670"/>
      <c r="O73" s="668"/>
      <c r="P73" s="669"/>
      <c r="Q73" s="883"/>
      <c r="R73" s="1358" t="s">
        <v>210</v>
      </c>
      <c r="S73" s="1225">
        <v>100</v>
      </c>
      <c r="T73" s="1173"/>
      <c r="U73" s="1227"/>
      <c r="V73" s="671"/>
      <c r="W73" s="1225"/>
      <c r="X73" s="1173"/>
      <c r="Y73" s="388"/>
    </row>
    <row r="74" spans="1:28" s="90" customFormat="1" ht="15.75" customHeight="1" thickBot="1" x14ac:dyDescent="0.35">
      <c r="A74" s="1353"/>
      <c r="B74" s="1355"/>
      <c r="C74" s="1357"/>
      <c r="D74" s="1370"/>
      <c r="E74" s="591"/>
      <c r="F74" s="676"/>
      <c r="G74" s="221"/>
      <c r="H74" s="1196" t="s">
        <v>18</v>
      </c>
      <c r="I74" s="265">
        <f>+I73</f>
        <v>510</v>
      </c>
      <c r="J74" s="871">
        <f>+J73</f>
        <v>510</v>
      </c>
      <c r="K74" s="871">
        <f>+K73</f>
        <v>0</v>
      </c>
      <c r="L74" s="1070">
        <v>0</v>
      </c>
      <c r="M74" s="672">
        <v>0</v>
      </c>
      <c r="N74" s="672">
        <v>0</v>
      </c>
      <c r="O74" s="265">
        <v>0</v>
      </c>
      <c r="P74" s="672">
        <v>0</v>
      </c>
      <c r="Q74" s="672">
        <v>0</v>
      </c>
      <c r="R74" s="1359"/>
      <c r="S74" s="1223"/>
      <c r="T74" s="1188"/>
      <c r="U74" s="1221"/>
      <c r="V74" s="674"/>
      <c r="W74" s="1223"/>
      <c r="X74" s="1188"/>
      <c r="Y74" s="387"/>
    </row>
    <row r="75" spans="1:28" s="90" customFormat="1" ht="15" customHeight="1" thickBot="1" x14ac:dyDescent="0.35">
      <c r="A75" s="254" t="s">
        <v>13</v>
      </c>
      <c r="B75" s="255" t="s">
        <v>19</v>
      </c>
      <c r="C75" s="1340" t="s">
        <v>22</v>
      </c>
      <c r="D75" s="1340"/>
      <c r="E75" s="1341"/>
      <c r="F75" s="1341"/>
      <c r="G75" s="1341"/>
      <c r="H75" s="1341"/>
      <c r="I75" s="600">
        <f>+I70+I67+I65+I62+I49+I72+I74</f>
        <v>7351.7</v>
      </c>
      <c r="J75" s="880">
        <f>+J70+J67+J65+J62+J49+J72+J74</f>
        <v>7370.9000000000005</v>
      </c>
      <c r="K75" s="880">
        <f>+K70+K67+K65+K62+K49+K72+K74</f>
        <v>19.200000000000728</v>
      </c>
      <c r="L75" s="1052">
        <f t="shared" ref="L75:Q75" si="28">+L70+L67+L65+L62+L49</f>
        <v>7649.5</v>
      </c>
      <c r="M75" s="319">
        <f t="shared" si="28"/>
        <v>7649.5</v>
      </c>
      <c r="N75" s="319">
        <f t="shared" si="28"/>
        <v>0</v>
      </c>
      <c r="O75" s="600">
        <f t="shared" si="28"/>
        <v>7682.6999999999989</v>
      </c>
      <c r="P75" s="881">
        <f t="shared" si="28"/>
        <v>7682.6999999999989</v>
      </c>
      <c r="Q75" s="881">
        <f t="shared" si="28"/>
        <v>0</v>
      </c>
      <c r="R75" s="1652"/>
      <c r="S75" s="1653"/>
      <c r="T75" s="1653"/>
      <c r="U75" s="1653"/>
      <c r="V75" s="1653"/>
      <c r="W75" s="1653"/>
      <c r="X75" s="1653"/>
      <c r="Y75" s="1654"/>
    </row>
    <row r="76" spans="1:28" s="90" customFormat="1" ht="15" customHeight="1" thickBot="1" x14ac:dyDescent="0.35">
      <c r="A76" s="45" t="s">
        <v>13</v>
      </c>
      <c r="B76" s="288" t="s">
        <v>21</v>
      </c>
      <c r="C76" s="1655" t="s">
        <v>133</v>
      </c>
      <c r="D76" s="1442"/>
      <c r="E76" s="1442"/>
      <c r="F76" s="1442"/>
      <c r="G76" s="1442"/>
      <c r="H76" s="1442"/>
      <c r="I76" s="1442"/>
      <c r="J76" s="1442"/>
      <c r="K76" s="1442"/>
      <c r="L76" s="1442"/>
      <c r="M76" s="1442"/>
      <c r="N76" s="1442"/>
      <c r="O76" s="1442"/>
      <c r="P76" s="1442"/>
      <c r="Q76" s="1442"/>
      <c r="R76" s="1442"/>
      <c r="S76" s="1442"/>
      <c r="T76" s="1442"/>
      <c r="U76" s="1442"/>
      <c r="V76" s="1442"/>
      <c r="W76" s="1442"/>
      <c r="X76" s="1442"/>
      <c r="Y76" s="1443"/>
    </row>
    <row r="77" spans="1:28" s="90" customFormat="1" ht="31.9" customHeight="1" x14ac:dyDescent="0.3">
      <c r="A77" s="38" t="s">
        <v>13</v>
      </c>
      <c r="B77" s="1360" t="s">
        <v>21</v>
      </c>
      <c r="C77" s="1363" t="s">
        <v>13</v>
      </c>
      <c r="D77" s="1349" t="s">
        <v>206</v>
      </c>
      <c r="E77" s="198"/>
      <c r="F77" s="144"/>
      <c r="G77" s="129">
        <v>2</v>
      </c>
      <c r="H77" s="134" t="s">
        <v>17</v>
      </c>
      <c r="I77" s="271"/>
      <c r="J77" s="891"/>
      <c r="K77" s="891"/>
      <c r="L77" s="1071">
        <f>11.5+13</f>
        <v>24.5</v>
      </c>
      <c r="M77" s="360">
        <f>11.5+13</f>
        <v>24.5</v>
      </c>
      <c r="N77" s="350"/>
      <c r="O77" s="271"/>
      <c r="P77" s="891"/>
      <c r="Q77" s="895"/>
      <c r="R77" s="402" t="s">
        <v>207</v>
      </c>
      <c r="S77" s="804"/>
      <c r="T77" s="1026"/>
      <c r="U77" s="1001">
        <v>2</v>
      </c>
      <c r="V77" s="582"/>
      <c r="W77" s="804"/>
      <c r="X77" s="1026"/>
      <c r="Y77" s="444"/>
    </row>
    <row r="78" spans="1:28" s="90" customFormat="1" ht="16.149999999999999" customHeight="1" x14ac:dyDescent="0.3">
      <c r="A78" s="39"/>
      <c r="B78" s="1361"/>
      <c r="C78" s="1363"/>
      <c r="D78" s="1349"/>
      <c r="E78" s="198"/>
      <c r="F78" s="144"/>
      <c r="G78" s="129"/>
      <c r="H78" s="139"/>
      <c r="I78" s="347"/>
      <c r="J78" s="889"/>
      <c r="K78" s="889"/>
      <c r="L78" s="1072"/>
      <c r="M78" s="361"/>
      <c r="N78" s="351"/>
      <c r="O78" s="347"/>
      <c r="P78" s="889"/>
      <c r="Q78" s="894"/>
      <c r="R78" s="1650" t="s">
        <v>208</v>
      </c>
      <c r="S78" s="299"/>
      <c r="T78" s="1216"/>
      <c r="U78" s="995">
        <v>2</v>
      </c>
      <c r="V78" s="406"/>
      <c r="W78" s="299"/>
      <c r="X78" s="1216"/>
      <c r="Y78" s="418"/>
    </row>
    <row r="79" spans="1:28" s="90" customFormat="1" ht="16.5" customHeight="1" thickBot="1" x14ac:dyDescent="0.35">
      <c r="A79" s="39"/>
      <c r="B79" s="1361"/>
      <c r="C79" s="1364"/>
      <c r="D79" s="1366"/>
      <c r="E79" s="93"/>
      <c r="F79" s="94"/>
      <c r="G79" s="95"/>
      <c r="H79" s="108" t="s">
        <v>18</v>
      </c>
      <c r="I79" s="69"/>
      <c r="J79" s="875"/>
      <c r="K79" s="875"/>
      <c r="L79" s="1059">
        <f t="shared" ref="L79:N79" si="29">SUM(L77:L78)</f>
        <v>24.5</v>
      </c>
      <c r="M79" s="362">
        <f t="shared" si="29"/>
        <v>24.5</v>
      </c>
      <c r="N79" s="362">
        <f t="shared" si="29"/>
        <v>0</v>
      </c>
      <c r="O79" s="69"/>
      <c r="P79" s="875"/>
      <c r="Q79" s="884"/>
      <c r="R79" s="1651"/>
      <c r="S79" s="470"/>
      <c r="T79" s="82"/>
      <c r="U79" s="992"/>
      <c r="V79" s="417"/>
      <c r="W79" s="470"/>
      <c r="X79" s="1216"/>
      <c r="Y79" s="418"/>
    </row>
    <row r="80" spans="1:28" s="90" customFormat="1" ht="15.75" customHeight="1" x14ac:dyDescent="0.3">
      <c r="A80" s="46" t="s">
        <v>13</v>
      </c>
      <c r="B80" s="28" t="s">
        <v>21</v>
      </c>
      <c r="C80" s="9" t="s">
        <v>19</v>
      </c>
      <c r="D80" s="1383" t="s">
        <v>139</v>
      </c>
      <c r="E80" s="203"/>
      <c r="F80" s="65"/>
      <c r="G80" s="20"/>
      <c r="H80" s="439" t="s">
        <v>17</v>
      </c>
      <c r="I80" s="370">
        <f>0+4.1</f>
        <v>4.0999999999999996</v>
      </c>
      <c r="J80" s="1130">
        <v>4.0999999999999996</v>
      </c>
      <c r="K80" s="888"/>
      <c r="L80" s="1138"/>
      <c r="M80" s="361"/>
      <c r="N80" s="351"/>
      <c r="O80" s="347">
        <f>871+135</f>
        <v>1006</v>
      </c>
      <c r="P80" s="889">
        <f>871+100+35</f>
        <v>1006</v>
      </c>
      <c r="Q80" s="894"/>
      <c r="R80" s="440"/>
      <c r="S80" s="72"/>
      <c r="T80" s="940"/>
      <c r="U80" s="1019"/>
      <c r="V80" s="908"/>
      <c r="W80" s="72"/>
      <c r="X80" s="940"/>
      <c r="Y80" s="419"/>
    </row>
    <row r="81" spans="1:28" s="90" customFormat="1" ht="15.75" customHeight="1" x14ac:dyDescent="0.3">
      <c r="A81" s="47"/>
      <c r="B81" s="127"/>
      <c r="C81" s="206"/>
      <c r="D81" s="1397"/>
      <c r="E81" s="239"/>
      <c r="F81" s="66"/>
      <c r="G81" s="36"/>
      <c r="H81" s="1285" t="s">
        <v>55</v>
      </c>
      <c r="I81" s="1286">
        <f>475.9-145</f>
        <v>330.9</v>
      </c>
      <c r="J81" s="1287">
        <f>475.9-145-93.6</f>
        <v>237.29999999999998</v>
      </c>
      <c r="K81" s="1288">
        <f>+J81-I81</f>
        <v>-93.6</v>
      </c>
      <c r="L81" s="1139">
        <f>SUMIF(H90:H112,"sb(l)",L90:L112)</f>
        <v>0</v>
      </c>
      <c r="M81" s="363">
        <f>SUMIF(I90:I112,"sb(l)",M90:M112)</f>
        <v>0</v>
      </c>
      <c r="N81" s="352"/>
      <c r="O81" s="272">
        <f>SUMIF(H90:H112,"sb(l)",O90:O112)</f>
        <v>0</v>
      </c>
      <c r="P81" s="890">
        <f>SUMIF(I90:I112,"sb(l)",P90:P112)</f>
        <v>0</v>
      </c>
      <c r="Q81" s="894"/>
      <c r="R81" s="252"/>
      <c r="S81" s="73"/>
      <c r="T81" s="941"/>
      <c r="U81" s="1020"/>
      <c r="V81" s="99"/>
      <c r="W81" s="73"/>
      <c r="X81" s="941"/>
      <c r="Y81" s="807"/>
    </row>
    <row r="82" spans="1:28" s="90" customFormat="1" ht="15.75" customHeight="1" x14ac:dyDescent="0.3">
      <c r="A82" s="47"/>
      <c r="B82" s="127"/>
      <c r="C82" s="206"/>
      <c r="D82" s="1397"/>
      <c r="E82" s="239"/>
      <c r="F82" s="66"/>
      <c r="G82" s="36"/>
      <c r="H82" s="1229" t="s">
        <v>33</v>
      </c>
      <c r="I82" s="272">
        <f>2.8</f>
        <v>2.8</v>
      </c>
      <c r="J82" s="890">
        <f>2.8</f>
        <v>2.8</v>
      </c>
      <c r="K82" s="897"/>
      <c r="L82" s="1139">
        <f>SUMIF(H90:H112,"sb(vb)",L90:L112)</f>
        <v>0</v>
      </c>
      <c r="M82" s="363">
        <f>SUMIF(I90:I112,"sb(vb)",M90:M112)</f>
        <v>0</v>
      </c>
      <c r="N82" s="352"/>
      <c r="O82" s="272">
        <f>SUMIF(H90:H112,"sb(vb)",O90:O112)</f>
        <v>0</v>
      </c>
      <c r="P82" s="890">
        <f>SUMIF(I90:I112,"sb(vb)",P90:P112)</f>
        <v>0</v>
      </c>
      <c r="Q82" s="894"/>
      <c r="R82" s="252"/>
      <c r="S82" s="73"/>
      <c r="T82" s="941"/>
      <c r="U82" s="1020"/>
      <c r="V82" s="99"/>
      <c r="W82" s="73"/>
      <c r="X82" s="941"/>
      <c r="Y82" s="807"/>
    </row>
    <row r="83" spans="1:28" s="90" customFormat="1" ht="15.75" customHeight="1" x14ac:dyDescent="0.3">
      <c r="A83" s="47"/>
      <c r="B83" s="127"/>
      <c r="C83" s="206"/>
      <c r="D83" s="1397"/>
      <c r="E83" s="239"/>
      <c r="F83" s="66"/>
      <c r="G83" s="36"/>
      <c r="H83" s="1229" t="s">
        <v>128</v>
      </c>
      <c r="I83" s="272">
        <v>17</v>
      </c>
      <c r="J83" s="890">
        <v>17</v>
      </c>
      <c r="K83" s="897"/>
      <c r="L83" s="1139"/>
      <c r="M83" s="363"/>
      <c r="N83" s="352"/>
      <c r="O83" s="272"/>
      <c r="P83" s="890"/>
      <c r="Q83" s="894"/>
      <c r="R83" s="252"/>
      <c r="S83" s="73"/>
      <c r="T83" s="941"/>
      <c r="U83" s="1020"/>
      <c r="V83" s="99"/>
      <c r="W83" s="73"/>
      <c r="X83" s="941"/>
      <c r="Y83" s="807"/>
    </row>
    <row r="84" spans="1:28" s="90" customFormat="1" ht="15.75" customHeight="1" x14ac:dyDescent="0.3">
      <c r="A84" s="47"/>
      <c r="B84" s="127"/>
      <c r="C84" s="206"/>
      <c r="D84" s="1397"/>
      <c r="E84" s="239"/>
      <c r="F84" s="66"/>
      <c r="G84" s="36"/>
      <c r="H84" s="135" t="s">
        <v>57</v>
      </c>
      <c r="I84" s="272">
        <v>32.6</v>
      </c>
      <c r="J84" s="890">
        <v>32.6</v>
      </c>
      <c r="K84" s="897"/>
      <c r="L84" s="1139">
        <f>SUMIF(H90:H112,"sb(es)",L90:L112)</f>
        <v>0</v>
      </c>
      <c r="M84" s="363">
        <f>SUMIF(I90:I112,"sb(es)",M90:M112)</f>
        <v>0</v>
      </c>
      <c r="N84" s="352"/>
      <c r="O84" s="272">
        <f>SUMIF(H90:H112,"sb(es)",O90:O112)</f>
        <v>0</v>
      </c>
      <c r="P84" s="890">
        <f>SUMIF(I90:I112,"sb(es)",P90:P112)</f>
        <v>0</v>
      </c>
      <c r="Q84" s="894"/>
      <c r="R84" s="252"/>
      <c r="S84" s="73"/>
      <c r="T84" s="941"/>
      <c r="U84" s="1020"/>
      <c r="V84" s="99"/>
      <c r="W84" s="73"/>
      <c r="X84" s="941"/>
      <c r="Y84" s="807"/>
      <c r="AB84" s="99"/>
    </row>
    <row r="85" spans="1:28" s="90" customFormat="1" ht="15.75" customHeight="1" x14ac:dyDescent="0.3">
      <c r="A85" s="47"/>
      <c r="B85" s="127"/>
      <c r="C85" s="206"/>
      <c r="D85" s="1397"/>
      <c r="E85" s="24"/>
      <c r="F85" s="66"/>
      <c r="G85" s="36"/>
      <c r="H85" s="138" t="s">
        <v>129</v>
      </c>
      <c r="I85" s="272">
        <v>191.8</v>
      </c>
      <c r="J85" s="890">
        <v>191.8</v>
      </c>
      <c r="K85" s="897"/>
      <c r="L85" s="1139">
        <f>SUMIF(H90:H112,"sb(esl)",L90:L112)</f>
        <v>0</v>
      </c>
      <c r="M85" s="363">
        <f>SUMIF(I90:I112,"sb(esl)",M90:M112)</f>
        <v>0</v>
      </c>
      <c r="N85" s="352"/>
      <c r="O85" s="272">
        <f>SUMIF(H90:H112,"sb(esl)",O90:O112)</f>
        <v>0</v>
      </c>
      <c r="P85" s="890">
        <f>SUMIF(I90:I112,"sb(esl)",P90:P112)</f>
        <v>0</v>
      </c>
      <c r="Q85" s="894"/>
      <c r="R85" s="252"/>
      <c r="S85" s="73"/>
      <c r="T85" s="941"/>
      <c r="U85" s="1020"/>
      <c r="V85" s="99"/>
      <c r="W85" s="73"/>
      <c r="X85" s="941"/>
      <c r="Y85" s="807"/>
    </row>
    <row r="86" spans="1:28" s="90" customFormat="1" ht="15.75" customHeight="1" x14ac:dyDescent="0.3">
      <c r="A86" s="47"/>
      <c r="B86" s="127"/>
      <c r="C86" s="206"/>
      <c r="D86" s="1205"/>
      <c r="E86" s="24"/>
      <c r="F86" s="66"/>
      <c r="G86" s="36"/>
      <c r="H86" s="1039" t="s">
        <v>86</v>
      </c>
      <c r="I86" s="1286">
        <v>1206.3</v>
      </c>
      <c r="J86" s="1287">
        <f>1206.3+93.6</f>
        <v>1299.8999999999999</v>
      </c>
      <c r="K86" s="1288">
        <f>+J86-I86</f>
        <v>93.599999999999909</v>
      </c>
      <c r="L86" s="1139">
        <f>SUMIF(H90:H112,"sb(p)",L90:L112)</f>
        <v>0</v>
      </c>
      <c r="M86" s="363">
        <f>SUMIF(I90:I112,"sb(p)",M90:M112)</f>
        <v>0</v>
      </c>
      <c r="N86" s="352"/>
      <c r="O86" s="272">
        <f>SUMIF(H90:H112,"sb(p)",O90:O112)</f>
        <v>0</v>
      </c>
      <c r="P86" s="890">
        <f>SUMIF(I90:I112,"sb(p)",P90:P112)</f>
        <v>0</v>
      </c>
      <c r="Q86" s="894"/>
      <c r="R86" s="252"/>
      <c r="S86" s="73"/>
      <c r="T86" s="941"/>
      <c r="U86" s="1020"/>
      <c r="V86" s="99"/>
      <c r="W86" s="73"/>
      <c r="X86" s="941"/>
      <c r="Y86" s="807"/>
    </row>
    <row r="87" spans="1:28" s="90" customFormat="1" ht="15.75" customHeight="1" x14ac:dyDescent="0.3">
      <c r="A87" s="47"/>
      <c r="B87" s="127"/>
      <c r="C87" s="206"/>
      <c r="D87" s="1205"/>
      <c r="E87" s="24"/>
      <c r="F87" s="66"/>
      <c r="G87" s="36"/>
      <c r="H87" s="1191" t="s">
        <v>35</v>
      </c>
      <c r="I87" s="272"/>
      <c r="J87" s="890"/>
      <c r="K87" s="897"/>
      <c r="L87" s="1139">
        <f>SUMIF(H90:H112,"lrvb",L90:L112)</f>
        <v>0</v>
      </c>
      <c r="M87" s="363">
        <f>SUMIF(I90:I112,"lrvb",M90:M112)</f>
        <v>0</v>
      </c>
      <c r="N87" s="352"/>
      <c r="O87" s="272">
        <v>3834</v>
      </c>
      <c r="P87" s="890">
        <v>3834</v>
      </c>
      <c r="Q87" s="897"/>
      <c r="R87" s="252"/>
      <c r="S87" s="73"/>
      <c r="T87" s="941"/>
      <c r="U87" s="1020"/>
      <c r="V87" s="99"/>
      <c r="W87" s="73"/>
      <c r="X87" s="941"/>
      <c r="Y87" s="807"/>
    </row>
    <row r="88" spans="1:28" s="90" customFormat="1" ht="15.75" customHeight="1" x14ac:dyDescent="0.3">
      <c r="A88" s="47"/>
      <c r="B88" s="127"/>
      <c r="C88" s="206"/>
      <c r="D88" s="1205"/>
      <c r="E88" s="24"/>
      <c r="F88" s="66"/>
      <c r="G88" s="36"/>
      <c r="H88" s="137" t="s">
        <v>135</v>
      </c>
      <c r="I88" s="271">
        <f>0+81.7</f>
        <v>81.7</v>
      </c>
      <c r="J88" s="891">
        <v>81.7</v>
      </c>
      <c r="K88" s="895"/>
      <c r="L88" s="1140"/>
      <c r="M88" s="805"/>
      <c r="N88" s="365"/>
      <c r="O88" s="271"/>
      <c r="P88" s="891"/>
      <c r="Q88" s="895"/>
      <c r="R88" s="252"/>
      <c r="S88" s="73"/>
      <c r="T88" s="941"/>
      <c r="U88" s="1020"/>
      <c r="V88" s="99"/>
      <c r="W88" s="73"/>
      <c r="X88" s="941"/>
      <c r="Y88" s="807"/>
    </row>
    <row r="89" spans="1:28" s="90" customFormat="1" ht="29.25" customHeight="1" x14ac:dyDescent="0.3">
      <c r="A89" s="43"/>
      <c r="B89" s="1176"/>
      <c r="C89" s="206"/>
      <c r="D89" s="1210" t="s">
        <v>59</v>
      </c>
      <c r="E89" s="1208" t="s">
        <v>32</v>
      </c>
      <c r="F89" s="1398">
        <v>1101012101</v>
      </c>
      <c r="G89" s="243">
        <v>5</v>
      </c>
      <c r="H89" s="134"/>
      <c r="I89" s="271"/>
      <c r="J89" s="891"/>
      <c r="K89" s="895"/>
      <c r="L89" s="1140"/>
      <c r="M89" s="805"/>
      <c r="N89" s="365"/>
      <c r="O89" s="271"/>
      <c r="P89" s="891"/>
      <c r="Q89" s="895"/>
      <c r="R89" s="1168"/>
      <c r="S89" s="815"/>
      <c r="T89" s="942"/>
      <c r="U89" s="1021"/>
      <c r="V89" s="909"/>
      <c r="W89" s="815"/>
      <c r="X89" s="942"/>
      <c r="Y89" s="817"/>
    </row>
    <row r="90" spans="1:28" s="90" customFormat="1" ht="13.5" customHeight="1" x14ac:dyDescent="0.3">
      <c r="A90" s="43"/>
      <c r="B90" s="1176"/>
      <c r="C90" s="206"/>
      <c r="D90" s="1347" t="s">
        <v>58</v>
      </c>
      <c r="E90" s="258" t="s">
        <v>118</v>
      </c>
      <c r="F90" s="1399"/>
      <c r="G90" s="177"/>
      <c r="H90" s="1258" t="s">
        <v>218</v>
      </c>
      <c r="I90" s="834">
        <f>105.8+666.4-764.6+25.7</f>
        <v>33.299999999999912</v>
      </c>
      <c r="J90" s="1276">
        <f>105.8+666.4-764.6+25.7</f>
        <v>33.299999999999912</v>
      </c>
      <c r="K90" s="1142"/>
      <c r="L90" s="1245"/>
      <c r="M90" s="1099"/>
      <c r="N90" s="1100"/>
      <c r="O90" s="1096"/>
      <c r="P90" s="1097"/>
      <c r="Q90" s="1142"/>
      <c r="R90" s="1338" t="s">
        <v>34</v>
      </c>
      <c r="S90" s="1591">
        <v>100</v>
      </c>
      <c r="T90" s="1597"/>
      <c r="U90" s="1591"/>
      <c r="V90" s="1597"/>
      <c r="W90" s="1591"/>
      <c r="X90" s="1597"/>
      <c r="Y90" s="1608"/>
    </row>
    <row r="91" spans="1:28" s="90" customFormat="1" ht="14.25" customHeight="1" x14ac:dyDescent="0.3">
      <c r="A91" s="43"/>
      <c r="B91" s="1176"/>
      <c r="C91" s="206"/>
      <c r="D91" s="1397"/>
      <c r="E91" s="239"/>
      <c r="F91" s="1051"/>
      <c r="G91" s="177"/>
      <c r="H91" s="1258" t="s">
        <v>249</v>
      </c>
      <c r="I91" s="834">
        <v>2.8</v>
      </c>
      <c r="J91" s="1276">
        <v>2.8</v>
      </c>
      <c r="K91" s="1142"/>
      <c r="L91" s="1245"/>
      <c r="M91" s="1099"/>
      <c r="N91" s="1100"/>
      <c r="O91" s="1096"/>
      <c r="P91" s="1097"/>
      <c r="Q91" s="1142"/>
      <c r="R91" s="1349"/>
      <c r="S91" s="1592"/>
      <c r="T91" s="1598"/>
      <c r="U91" s="1592"/>
      <c r="V91" s="1598"/>
      <c r="W91" s="1592"/>
      <c r="X91" s="1598"/>
      <c r="Y91" s="1609"/>
    </row>
    <row r="92" spans="1:28" s="90" customFormat="1" ht="12" customHeight="1" x14ac:dyDescent="0.3">
      <c r="A92" s="43"/>
      <c r="B92" s="1176"/>
      <c r="C92" s="206"/>
      <c r="D92" s="1397"/>
      <c r="E92" s="239"/>
      <c r="F92" s="1051"/>
      <c r="G92" s="177"/>
      <c r="H92" s="1258" t="s">
        <v>251</v>
      </c>
      <c r="I92" s="834">
        <v>17</v>
      </c>
      <c r="J92" s="1276">
        <v>17</v>
      </c>
      <c r="K92" s="1142"/>
      <c r="L92" s="1245"/>
      <c r="M92" s="1099"/>
      <c r="N92" s="1100"/>
      <c r="O92" s="1096"/>
      <c r="P92" s="1097"/>
      <c r="Q92" s="1142"/>
      <c r="R92" s="1349"/>
      <c r="S92" s="1592"/>
      <c r="T92" s="1598"/>
      <c r="U92" s="1592"/>
      <c r="V92" s="1598"/>
      <c r="W92" s="1592"/>
      <c r="X92" s="1598"/>
      <c r="Y92" s="1609"/>
    </row>
    <row r="93" spans="1:28" s="90" customFormat="1" ht="13.5" customHeight="1" x14ac:dyDescent="0.3">
      <c r="A93" s="43"/>
      <c r="B93" s="1176"/>
      <c r="C93" s="206"/>
      <c r="D93" s="1397"/>
      <c r="E93" s="239"/>
      <c r="F93" s="1051"/>
      <c r="G93" s="177"/>
      <c r="H93" s="1258" t="s">
        <v>250</v>
      </c>
      <c r="I93" s="834">
        <v>32.6</v>
      </c>
      <c r="J93" s="1276">
        <v>32.6</v>
      </c>
      <c r="K93" s="1142"/>
      <c r="L93" s="1245"/>
      <c r="M93" s="1099"/>
      <c r="N93" s="1100"/>
      <c r="O93" s="1096"/>
      <c r="P93" s="1097"/>
      <c r="Q93" s="1142"/>
      <c r="R93" s="1349"/>
      <c r="S93" s="1592"/>
      <c r="T93" s="1598"/>
      <c r="U93" s="1592"/>
      <c r="V93" s="1598"/>
      <c r="W93" s="1592"/>
      <c r="X93" s="1598"/>
      <c r="Y93" s="1609"/>
    </row>
    <row r="94" spans="1:28" s="90" customFormat="1" ht="12.75" customHeight="1" x14ac:dyDescent="0.3">
      <c r="A94" s="43"/>
      <c r="B94" s="1176"/>
      <c r="C94" s="206"/>
      <c r="D94" s="1397"/>
      <c r="E94" s="239"/>
      <c r="F94" s="1051"/>
      <c r="G94" s="177"/>
      <c r="H94" s="1258" t="s">
        <v>252</v>
      </c>
      <c r="I94" s="834">
        <v>191.8</v>
      </c>
      <c r="J94" s="1276">
        <v>191.8</v>
      </c>
      <c r="K94" s="1142"/>
      <c r="L94" s="1245"/>
      <c r="M94" s="1099"/>
      <c r="N94" s="1100"/>
      <c r="O94" s="1096"/>
      <c r="P94" s="1097"/>
      <c r="Q94" s="1142"/>
      <c r="R94" s="1349"/>
      <c r="S94" s="1592"/>
      <c r="T94" s="1598"/>
      <c r="U94" s="1592"/>
      <c r="V94" s="1598"/>
      <c r="W94" s="1592"/>
      <c r="X94" s="1598"/>
      <c r="Y94" s="1609"/>
    </row>
    <row r="95" spans="1:28" s="90" customFormat="1" ht="15" customHeight="1" x14ac:dyDescent="0.3">
      <c r="A95" s="43"/>
      <c r="B95" s="1176"/>
      <c r="C95" s="206"/>
      <c r="D95" s="1384"/>
      <c r="E95" s="239"/>
      <c r="F95" s="1051"/>
      <c r="G95" s="177"/>
      <c r="H95" s="1258" t="s">
        <v>219</v>
      </c>
      <c r="I95" s="834">
        <f>764.6+34.1</f>
        <v>798.7</v>
      </c>
      <c r="J95" s="1276">
        <f>764.6+34.1</f>
        <v>798.7</v>
      </c>
      <c r="K95" s="1142"/>
      <c r="L95" s="1245"/>
      <c r="M95" s="1099"/>
      <c r="N95" s="1100"/>
      <c r="O95" s="1096"/>
      <c r="P95" s="1097"/>
      <c r="Q95" s="1142"/>
      <c r="R95" s="1339"/>
      <c r="S95" s="1593"/>
      <c r="T95" s="1549"/>
      <c r="U95" s="1593"/>
      <c r="V95" s="1549"/>
      <c r="W95" s="1593"/>
      <c r="X95" s="1549"/>
      <c r="Y95" s="1610"/>
    </row>
    <row r="96" spans="1:28" s="90" customFormat="1" ht="17.25" customHeight="1" x14ac:dyDescent="0.3">
      <c r="A96" s="43"/>
      <c r="B96" s="1176"/>
      <c r="C96" s="206"/>
      <c r="D96" s="1347" t="s">
        <v>117</v>
      </c>
      <c r="E96" s="260"/>
      <c r="F96" s="261"/>
      <c r="G96" s="177"/>
      <c r="H96" s="1038" t="s">
        <v>219</v>
      </c>
      <c r="I96" s="1252">
        <f>441.7-34.1</f>
        <v>407.59999999999997</v>
      </c>
      <c r="J96" s="1253">
        <f>441.7-34.1+93.6</f>
        <v>501.19999999999993</v>
      </c>
      <c r="K96" s="1254">
        <f>+J96-I96</f>
        <v>93.599999999999966</v>
      </c>
      <c r="L96" s="1245"/>
      <c r="M96" s="1099"/>
      <c r="N96" s="1100"/>
      <c r="O96" s="1096"/>
      <c r="P96" s="1097"/>
      <c r="Q96" s="1142"/>
      <c r="R96" s="1338" t="s">
        <v>34</v>
      </c>
      <c r="S96" s="1591">
        <v>100</v>
      </c>
      <c r="T96" s="1597"/>
      <c r="U96" s="1591"/>
      <c r="V96" s="1597"/>
      <c r="W96" s="1591"/>
      <c r="X96" s="1597"/>
      <c r="Y96" s="1338" t="s">
        <v>267</v>
      </c>
    </row>
    <row r="97" spans="1:30" s="90" customFormat="1" ht="18" customHeight="1" x14ac:dyDescent="0.3">
      <c r="A97" s="43"/>
      <c r="B97" s="1176"/>
      <c r="C97" s="206"/>
      <c r="D97" s="1397"/>
      <c r="E97" s="1050"/>
      <c r="F97" s="261"/>
      <c r="G97" s="177"/>
      <c r="H97" s="1038" t="s">
        <v>218</v>
      </c>
      <c r="I97" s="1252">
        <f>397.5-25.7-145-47</f>
        <v>179.8</v>
      </c>
      <c r="J97" s="1253">
        <f>397.5-25.7-145-47-93.6</f>
        <v>86.200000000000017</v>
      </c>
      <c r="K97" s="1254">
        <f>+J97-I97</f>
        <v>-93.6</v>
      </c>
      <c r="L97" s="1245"/>
      <c r="M97" s="1099"/>
      <c r="N97" s="1100"/>
      <c r="O97" s="1096"/>
      <c r="P97" s="1097"/>
      <c r="Q97" s="1142"/>
      <c r="R97" s="1349"/>
      <c r="S97" s="1592"/>
      <c r="T97" s="1598"/>
      <c r="U97" s="1592"/>
      <c r="V97" s="1598"/>
      <c r="W97" s="1592"/>
      <c r="X97" s="1598"/>
      <c r="Y97" s="1349"/>
    </row>
    <row r="98" spans="1:30" s="90" customFormat="1" ht="60" customHeight="1" x14ac:dyDescent="0.3">
      <c r="A98" s="43"/>
      <c r="B98" s="1176"/>
      <c r="C98" s="206"/>
      <c r="D98" s="1384"/>
      <c r="E98" s="1050"/>
      <c r="F98" s="261"/>
      <c r="G98" s="177"/>
      <c r="H98" s="1230" t="s">
        <v>218</v>
      </c>
      <c r="I98" s="1246">
        <v>47</v>
      </c>
      <c r="J98" s="1097">
        <v>47</v>
      </c>
      <c r="K98" s="1142"/>
      <c r="L98" s="1245"/>
      <c r="M98" s="1099"/>
      <c r="N98" s="1100"/>
      <c r="O98" s="1096"/>
      <c r="P98" s="1097"/>
      <c r="Q98" s="1142"/>
      <c r="R98" s="1339"/>
      <c r="S98" s="1593"/>
      <c r="T98" s="1549"/>
      <c r="U98" s="1593"/>
      <c r="V98" s="1549"/>
      <c r="W98" s="1593"/>
      <c r="X98" s="1549"/>
      <c r="Y98" s="1339"/>
    </row>
    <row r="99" spans="1:30" s="90" customFormat="1" ht="28.5" customHeight="1" x14ac:dyDescent="0.3">
      <c r="A99" s="43"/>
      <c r="B99" s="1176"/>
      <c r="C99" s="206"/>
      <c r="D99" s="1338" t="s">
        <v>61</v>
      </c>
      <c r="E99" s="217" t="s">
        <v>32</v>
      </c>
      <c r="F99" s="161"/>
      <c r="G99" s="125"/>
      <c r="H99" s="811" t="s">
        <v>218</v>
      </c>
      <c r="I99" s="780">
        <v>60.2</v>
      </c>
      <c r="J99" s="1264">
        <v>60.2</v>
      </c>
      <c r="K99" s="1143"/>
      <c r="L99" s="1158"/>
      <c r="M99" s="1108"/>
      <c r="N99" s="1154"/>
      <c r="O99" s="1155"/>
      <c r="P99" s="1157"/>
      <c r="Q99" s="1143"/>
      <c r="R99" s="1167" t="s">
        <v>62</v>
      </c>
      <c r="S99" s="241">
        <v>100</v>
      </c>
      <c r="T99" s="1215"/>
      <c r="U99" s="983"/>
      <c r="V99" s="543"/>
      <c r="W99" s="241"/>
      <c r="X99" s="1216"/>
      <c r="Y99" s="418"/>
      <c r="AB99" s="99"/>
    </row>
    <row r="100" spans="1:30" s="90" customFormat="1" ht="14.25" customHeight="1" x14ac:dyDescent="0.3">
      <c r="A100" s="43"/>
      <c r="B100" s="1176"/>
      <c r="C100" s="206"/>
      <c r="D100" s="1339"/>
      <c r="E100" s="289"/>
      <c r="F100" s="290"/>
      <c r="G100" s="125"/>
      <c r="H100" s="811"/>
      <c r="I100" s="780"/>
      <c r="J100" s="1264"/>
      <c r="K100" s="1143"/>
      <c r="L100" s="1158"/>
      <c r="M100" s="1108"/>
      <c r="N100" s="1154"/>
      <c r="O100" s="1155"/>
      <c r="P100" s="1157"/>
      <c r="Q100" s="1143"/>
      <c r="R100" s="1170"/>
      <c r="S100" s="299"/>
      <c r="T100" s="1216"/>
      <c r="U100" s="995"/>
      <c r="V100" s="406"/>
      <c r="W100" s="299"/>
      <c r="X100" s="1178"/>
      <c r="Y100" s="445"/>
    </row>
    <row r="101" spans="1:30" s="90" customFormat="1" ht="27" customHeight="1" x14ac:dyDescent="0.3">
      <c r="A101" s="43"/>
      <c r="B101" s="1176"/>
      <c r="C101" s="206"/>
      <c r="D101" s="1338" t="s">
        <v>150</v>
      </c>
      <c r="E101" s="217" t="s">
        <v>32</v>
      </c>
      <c r="F101" s="161"/>
      <c r="G101" s="89"/>
      <c r="H101" s="1279" t="s">
        <v>218</v>
      </c>
      <c r="I101" s="780">
        <v>10.6</v>
      </c>
      <c r="J101" s="1264">
        <v>10.6</v>
      </c>
      <c r="K101" s="1143"/>
      <c r="L101" s="1158"/>
      <c r="M101" s="1108"/>
      <c r="N101" s="1154"/>
      <c r="O101" s="1155"/>
      <c r="P101" s="1157"/>
      <c r="Q101" s="1143"/>
      <c r="R101" s="1338" t="s">
        <v>151</v>
      </c>
      <c r="S101" s="241">
        <v>1</v>
      </c>
      <c r="T101" s="1215"/>
      <c r="U101" s="983"/>
      <c r="V101" s="543"/>
      <c r="W101" s="241"/>
      <c r="X101" s="1215"/>
      <c r="Y101" s="1338"/>
      <c r="AB101" s="99"/>
    </row>
    <row r="102" spans="1:30" s="90" customFormat="1" ht="24.75" customHeight="1" x14ac:dyDescent="0.3">
      <c r="A102" s="43"/>
      <c r="B102" s="1176"/>
      <c r="C102" s="206"/>
      <c r="D102" s="1339"/>
      <c r="E102" s="289"/>
      <c r="F102" s="290"/>
      <c r="G102" s="125"/>
      <c r="H102" s="1279" t="s">
        <v>217</v>
      </c>
      <c r="I102" s="780">
        <f>0+4.1</f>
        <v>4.0999999999999996</v>
      </c>
      <c r="J102" s="1264">
        <v>4.0999999999999996</v>
      </c>
      <c r="K102" s="1143"/>
      <c r="L102" s="1158"/>
      <c r="M102" s="1108"/>
      <c r="N102" s="1154"/>
      <c r="O102" s="1155"/>
      <c r="P102" s="1157"/>
      <c r="Q102" s="1143"/>
      <c r="R102" s="1339"/>
      <c r="S102" s="250"/>
      <c r="T102" s="1178"/>
      <c r="U102" s="1001"/>
      <c r="V102" s="582"/>
      <c r="W102" s="250"/>
      <c r="X102" s="1178"/>
      <c r="Y102" s="1339"/>
      <c r="AB102" s="99"/>
      <c r="AD102" s="99"/>
    </row>
    <row r="103" spans="1:30" s="90" customFormat="1" ht="30.65" customHeight="1" x14ac:dyDescent="0.3">
      <c r="A103" s="43"/>
      <c r="B103" s="1176"/>
      <c r="C103" s="206"/>
      <c r="D103" s="1338" t="s">
        <v>242</v>
      </c>
      <c r="E103" s="289"/>
      <c r="F103" s="290"/>
      <c r="G103" s="125"/>
      <c r="H103" s="1279" t="s">
        <v>248</v>
      </c>
      <c r="I103" s="780">
        <f>0+81.7</f>
        <v>81.7</v>
      </c>
      <c r="J103" s="1264">
        <v>81.7</v>
      </c>
      <c r="K103" s="1143"/>
      <c r="L103" s="1158"/>
      <c r="M103" s="1108"/>
      <c r="N103" s="1154"/>
      <c r="O103" s="1155"/>
      <c r="P103" s="1157"/>
      <c r="Q103" s="1143"/>
      <c r="R103" s="450" t="s">
        <v>243</v>
      </c>
      <c r="S103" s="298">
        <v>1</v>
      </c>
      <c r="T103" s="558"/>
      <c r="U103" s="984"/>
      <c r="V103" s="423"/>
      <c r="W103" s="298"/>
      <c r="X103" s="558"/>
      <c r="Y103" s="1338"/>
      <c r="AB103" s="99"/>
      <c r="AD103" s="99"/>
    </row>
    <row r="104" spans="1:30" s="90" customFormat="1" ht="30.65" customHeight="1" x14ac:dyDescent="0.3">
      <c r="A104" s="43"/>
      <c r="B104" s="1176"/>
      <c r="C104" s="206"/>
      <c r="D104" s="1349"/>
      <c r="E104" s="289"/>
      <c r="F104" s="290"/>
      <c r="G104" s="125"/>
      <c r="H104" s="1156"/>
      <c r="I104" s="1155"/>
      <c r="J104" s="1157"/>
      <c r="K104" s="1143"/>
      <c r="L104" s="1158"/>
      <c r="M104" s="1108"/>
      <c r="N104" s="1154"/>
      <c r="O104" s="1155"/>
      <c r="P104" s="1157"/>
      <c r="Q104" s="1143"/>
      <c r="R104" s="450" t="s">
        <v>244</v>
      </c>
      <c r="S104" s="298">
        <v>1</v>
      </c>
      <c r="T104" s="558"/>
      <c r="U104" s="984"/>
      <c r="V104" s="910"/>
      <c r="W104" s="298"/>
      <c r="X104" s="558"/>
      <c r="Y104" s="1349"/>
      <c r="AB104" s="99"/>
      <c r="AD104" s="99"/>
    </row>
    <row r="105" spans="1:30" s="90" customFormat="1" ht="30.65" customHeight="1" x14ac:dyDescent="0.3">
      <c r="A105" s="43"/>
      <c r="B105" s="1176"/>
      <c r="C105" s="206"/>
      <c r="D105" s="1349"/>
      <c r="E105" s="289"/>
      <c r="F105" s="290"/>
      <c r="G105" s="125"/>
      <c r="H105" s="1156"/>
      <c r="I105" s="1155"/>
      <c r="J105" s="1157"/>
      <c r="K105" s="1143"/>
      <c r="L105" s="1158"/>
      <c r="M105" s="1108"/>
      <c r="N105" s="1154"/>
      <c r="O105" s="1155"/>
      <c r="P105" s="1157"/>
      <c r="Q105" s="1143"/>
      <c r="R105" s="1338" t="s">
        <v>245</v>
      </c>
      <c r="S105" s="241">
        <v>100</v>
      </c>
      <c r="T105" s="1215"/>
      <c r="U105" s="983"/>
      <c r="V105" s="543"/>
      <c r="W105" s="241"/>
      <c r="X105" s="1215"/>
      <c r="Y105" s="1349"/>
      <c r="AB105" s="99"/>
      <c r="AD105" s="99"/>
    </row>
    <row r="106" spans="1:30" s="90" customFormat="1" ht="42" customHeight="1" x14ac:dyDescent="0.3">
      <c r="A106" s="43"/>
      <c r="B106" s="1176"/>
      <c r="C106" s="206"/>
      <c r="D106" s="1339"/>
      <c r="E106" s="289"/>
      <c r="F106" s="290"/>
      <c r="G106" s="125"/>
      <c r="H106" s="1156"/>
      <c r="I106" s="1155"/>
      <c r="J106" s="1157"/>
      <c r="K106" s="1143"/>
      <c r="L106" s="1158"/>
      <c r="M106" s="1108"/>
      <c r="N106" s="1154"/>
      <c r="O106" s="1155"/>
      <c r="P106" s="1157"/>
      <c r="Q106" s="1143"/>
      <c r="R106" s="1339"/>
      <c r="S106" s="250"/>
      <c r="T106" s="1178"/>
      <c r="U106" s="1001"/>
      <c r="V106" s="582"/>
      <c r="W106" s="250"/>
      <c r="X106" s="1178"/>
      <c r="Y106" s="1339"/>
      <c r="AB106" s="99"/>
      <c r="AD106" s="99"/>
    </row>
    <row r="107" spans="1:30" s="90" customFormat="1" ht="33.75" customHeight="1" x14ac:dyDescent="0.3">
      <c r="A107" s="43"/>
      <c r="B107" s="1176"/>
      <c r="C107" s="206"/>
      <c r="D107" s="1338" t="s">
        <v>254</v>
      </c>
      <c r="E107" s="289"/>
      <c r="F107" s="290"/>
      <c r="G107" s="125"/>
      <c r="H107" s="1611" t="s">
        <v>217</v>
      </c>
      <c r="I107" s="780"/>
      <c r="J107" s="1264"/>
      <c r="K107" s="1281"/>
      <c r="L107" s="1308"/>
      <c r="M107" s="1280"/>
      <c r="N107" s="782"/>
      <c r="O107" s="780">
        <f>0+35</f>
        <v>35</v>
      </c>
      <c r="P107" s="1264">
        <v>35</v>
      </c>
      <c r="Q107" s="1143"/>
      <c r="R107" s="450" t="s">
        <v>256</v>
      </c>
      <c r="S107" s="298"/>
      <c r="T107" s="558"/>
      <c r="U107" s="984"/>
      <c r="V107" s="910"/>
      <c r="W107" s="298">
        <v>1</v>
      </c>
      <c r="X107" s="558"/>
      <c r="Y107" s="1338"/>
      <c r="AB107" s="99"/>
      <c r="AD107" s="99"/>
    </row>
    <row r="108" spans="1:30" s="90" customFormat="1" ht="33.75" customHeight="1" x14ac:dyDescent="0.3">
      <c r="A108" s="43"/>
      <c r="B108" s="1176"/>
      <c r="C108" s="206"/>
      <c r="D108" s="1339"/>
      <c r="E108" s="289"/>
      <c r="F108" s="290"/>
      <c r="G108" s="125"/>
      <c r="H108" s="1611"/>
      <c r="I108" s="780"/>
      <c r="J108" s="1264"/>
      <c r="K108" s="1281"/>
      <c r="L108" s="1308"/>
      <c r="M108" s="1280"/>
      <c r="N108" s="782"/>
      <c r="O108" s="780">
        <f>0+100</f>
        <v>100</v>
      </c>
      <c r="P108" s="1264">
        <v>100</v>
      </c>
      <c r="Q108" s="1143"/>
      <c r="R108" s="1170" t="s">
        <v>186</v>
      </c>
      <c r="S108" s="299"/>
      <c r="T108" s="1216"/>
      <c r="U108" s="995"/>
      <c r="V108" s="406"/>
      <c r="W108" s="299">
        <v>1</v>
      </c>
      <c r="X108" s="1216"/>
      <c r="Y108" s="1339"/>
      <c r="Z108" s="1460"/>
      <c r="AA108" s="1607"/>
      <c r="AB108" s="1607"/>
      <c r="AD108" s="99"/>
    </row>
    <row r="109" spans="1:30" s="90" customFormat="1" ht="15.65" customHeight="1" x14ac:dyDescent="0.3">
      <c r="A109" s="43"/>
      <c r="B109" s="1176"/>
      <c r="C109" s="206"/>
      <c r="D109" s="1210" t="s">
        <v>148</v>
      </c>
      <c r="E109" s="217" t="s">
        <v>32</v>
      </c>
      <c r="F109" s="161"/>
      <c r="G109" s="89"/>
      <c r="H109" s="1278" t="s">
        <v>220</v>
      </c>
      <c r="I109" s="780"/>
      <c r="J109" s="1264"/>
      <c r="K109" s="1281"/>
      <c r="L109" s="1308"/>
      <c r="M109" s="1280"/>
      <c r="N109" s="782"/>
      <c r="O109" s="780">
        <f>1000-1000+4000-2000</f>
        <v>2000</v>
      </c>
      <c r="P109" s="1264">
        <f>1000-1000+4000-2000</f>
        <v>2000</v>
      </c>
      <c r="Q109" s="1143"/>
      <c r="R109" s="1167" t="s">
        <v>211</v>
      </c>
      <c r="S109" s="241"/>
      <c r="T109" s="1215"/>
      <c r="U109" s="983"/>
      <c r="V109" s="543"/>
      <c r="W109" s="241">
        <v>35</v>
      </c>
      <c r="X109" s="1215"/>
      <c r="Y109" s="423"/>
      <c r="Z109" s="99"/>
    </row>
    <row r="110" spans="1:30" s="90" customFormat="1" ht="29.25" customHeight="1" x14ac:dyDescent="0.3">
      <c r="A110" s="43"/>
      <c r="B110" s="1176"/>
      <c r="C110" s="206"/>
      <c r="D110" s="292" t="s">
        <v>166</v>
      </c>
      <c r="E110" s="293" t="s">
        <v>32</v>
      </c>
      <c r="F110" s="187"/>
      <c r="G110" s="808"/>
      <c r="H110" s="1279" t="s">
        <v>220</v>
      </c>
      <c r="I110" s="1309"/>
      <c r="J110" s="1310"/>
      <c r="K110" s="1311"/>
      <c r="L110" s="1312"/>
      <c r="M110" s="812"/>
      <c r="N110" s="1313"/>
      <c r="O110" s="1309">
        <v>1834</v>
      </c>
      <c r="P110" s="1310">
        <v>1834</v>
      </c>
      <c r="Q110" s="1247"/>
      <c r="R110" s="450" t="s">
        <v>167</v>
      </c>
      <c r="S110" s="587"/>
      <c r="T110" s="1027"/>
      <c r="U110" s="1022"/>
      <c r="V110" s="982"/>
      <c r="W110" s="298">
        <v>95</v>
      </c>
      <c r="X110" s="558"/>
      <c r="Y110" s="423"/>
    </row>
    <row r="111" spans="1:30" s="90" customFormat="1" ht="43.15" customHeight="1" x14ac:dyDescent="0.3">
      <c r="A111" s="43"/>
      <c r="B111" s="1176"/>
      <c r="C111" s="206"/>
      <c r="D111" s="292" t="s">
        <v>187</v>
      </c>
      <c r="E111" s="293" t="s">
        <v>32</v>
      </c>
      <c r="F111" s="187"/>
      <c r="G111" s="808"/>
      <c r="H111" s="1279" t="s">
        <v>217</v>
      </c>
      <c r="I111" s="1314"/>
      <c r="J111" s="1315"/>
      <c r="K111" s="1316"/>
      <c r="L111" s="1317"/>
      <c r="M111" s="813"/>
      <c r="N111" s="1318"/>
      <c r="O111" s="780">
        <v>821</v>
      </c>
      <c r="P111" s="1264">
        <v>821</v>
      </c>
      <c r="Q111" s="1143"/>
      <c r="R111" s="450" t="s">
        <v>188</v>
      </c>
      <c r="S111" s="251"/>
      <c r="T111" s="1028"/>
      <c r="U111" s="1023"/>
      <c r="V111" s="556"/>
      <c r="W111" s="298">
        <v>1</v>
      </c>
      <c r="X111" s="558"/>
      <c r="Y111" s="423"/>
      <c r="AC111" s="99"/>
    </row>
    <row r="112" spans="1:30" s="90" customFormat="1" ht="27.65" customHeight="1" x14ac:dyDescent="0.3">
      <c r="A112" s="43"/>
      <c r="B112" s="1176"/>
      <c r="C112" s="1213"/>
      <c r="D112" s="1336" t="s">
        <v>190</v>
      </c>
      <c r="E112" s="1208" t="s">
        <v>32</v>
      </c>
      <c r="F112" s="79"/>
      <c r="G112" s="97"/>
      <c r="H112" s="1319" t="s">
        <v>217</v>
      </c>
      <c r="I112" s="1309"/>
      <c r="J112" s="1310"/>
      <c r="K112" s="1311"/>
      <c r="L112" s="1312"/>
      <c r="M112" s="812"/>
      <c r="N112" s="1313"/>
      <c r="O112" s="1309">
        <v>50</v>
      </c>
      <c r="P112" s="1310">
        <v>50</v>
      </c>
      <c r="Q112" s="1248"/>
      <c r="R112" s="1209" t="s">
        <v>186</v>
      </c>
      <c r="S112" s="241"/>
      <c r="T112" s="1215"/>
      <c r="U112" s="983"/>
      <c r="V112" s="543"/>
      <c r="W112" s="241">
        <v>1</v>
      </c>
      <c r="X112" s="1216"/>
      <c r="Y112" s="418"/>
    </row>
    <row r="113" spans="1:25" s="90" customFormat="1" ht="17.5" customHeight="1" thickBot="1" x14ac:dyDescent="0.35">
      <c r="A113" s="48"/>
      <c r="B113" s="27"/>
      <c r="C113" s="17"/>
      <c r="D113" s="1590"/>
      <c r="E113" s="190"/>
      <c r="F113" s="191"/>
      <c r="G113" s="95"/>
      <c r="H113" s="1137" t="s">
        <v>18</v>
      </c>
      <c r="I113" s="69">
        <f>SUM(I80:I88)</f>
        <v>1867.2</v>
      </c>
      <c r="J113" s="875">
        <f>SUM(J80:J88)</f>
        <v>1867.2</v>
      </c>
      <c r="K113" s="1144">
        <f>+J113-I113</f>
        <v>0</v>
      </c>
      <c r="L113" s="1141">
        <f t="shared" ref="L113:Q113" si="30">SUM(L80:L88)</f>
        <v>0</v>
      </c>
      <c r="M113" s="362">
        <f t="shared" si="30"/>
        <v>0</v>
      </c>
      <c r="N113" s="362">
        <f t="shared" si="30"/>
        <v>0</v>
      </c>
      <c r="O113" s="69">
        <f t="shared" si="30"/>
        <v>4840</v>
      </c>
      <c r="P113" s="875">
        <f t="shared" si="30"/>
        <v>4840</v>
      </c>
      <c r="Q113" s="875">
        <f t="shared" si="30"/>
        <v>0</v>
      </c>
      <c r="R113" s="1172"/>
      <c r="S113" s="498"/>
      <c r="T113" s="943"/>
      <c r="U113" s="1024"/>
      <c r="V113" s="911"/>
      <c r="W113" s="498"/>
      <c r="X113" s="943"/>
      <c r="Y113" s="424"/>
    </row>
    <row r="114" spans="1:25" s="90" customFormat="1" ht="22.15" customHeight="1" x14ac:dyDescent="0.3">
      <c r="A114" s="46" t="s">
        <v>13</v>
      </c>
      <c r="B114" s="28" t="s">
        <v>21</v>
      </c>
      <c r="C114" s="9" t="s">
        <v>21</v>
      </c>
      <c r="D114" s="1383" t="s">
        <v>147</v>
      </c>
      <c r="E114" s="1085"/>
      <c r="F114" s="1079"/>
      <c r="G114" s="830"/>
      <c r="H114" s="1300" t="s">
        <v>17</v>
      </c>
      <c r="I114" s="1301">
        <f>244.1+283.1</f>
        <v>527.20000000000005</v>
      </c>
      <c r="J114" s="1302">
        <f>244.1+250+21+1.1+11+51.6-21-11</f>
        <v>546.80000000000007</v>
      </c>
      <c r="K114" s="1303">
        <f>+J114-I114</f>
        <v>19.600000000000023</v>
      </c>
      <c r="L114" s="1304">
        <v>548.5</v>
      </c>
      <c r="M114" s="1305">
        <f>548.5+21-225</f>
        <v>344.5</v>
      </c>
      <c r="N114" s="1306">
        <f>+M114-L114</f>
        <v>-204</v>
      </c>
      <c r="O114" s="900">
        <v>231.7</v>
      </c>
      <c r="P114" s="896">
        <v>231.7</v>
      </c>
      <c r="Q114" s="1090"/>
      <c r="R114" s="1091"/>
      <c r="S114" s="471"/>
      <c r="T114" s="915"/>
      <c r="U114" s="1011"/>
      <c r="V114" s="859"/>
      <c r="W114" s="471"/>
      <c r="X114" s="1146"/>
      <c r="Y114" s="390"/>
    </row>
    <row r="115" spans="1:25" s="90" customFormat="1" ht="22.15" customHeight="1" x14ac:dyDescent="0.3">
      <c r="A115" s="47"/>
      <c r="B115" s="127"/>
      <c r="C115" s="206"/>
      <c r="D115" s="1397"/>
      <c r="E115" s="1086"/>
      <c r="F115" s="1080"/>
      <c r="G115" s="129"/>
      <c r="H115" s="136" t="s">
        <v>55</v>
      </c>
      <c r="I115" s="843">
        <f>21.3+23</f>
        <v>44.3</v>
      </c>
      <c r="J115" s="892">
        <f>21.3+23</f>
        <v>44.3</v>
      </c>
      <c r="K115" s="1132"/>
      <c r="L115" s="1073"/>
      <c r="M115" s="844"/>
      <c r="N115" s="845"/>
      <c r="O115" s="843"/>
      <c r="P115" s="892"/>
      <c r="Q115" s="896"/>
      <c r="R115" s="33"/>
      <c r="S115" s="471"/>
      <c r="T115" s="915"/>
      <c r="U115" s="1011"/>
      <c r="V115" s="859"/>
      <c r="W115" s="471"/>
      <c r="X115" s="1147"/>
      <c r="Y115" s="390"/>
    </row>
    <row r="116" spans="1:25" s="90" customFormat="1" ht="22.15" customHeight="1" x14ac:dyDescent="0.3">
      <c r="A116" s="47"/>
      <c r="B116" s="127"/>
      <c r="C116" s="206"/>
      <c r="D116" s="1102"/>
      <c r="E116" s="1086"/>
      <c r="F116" s="1080"/>
      <c r="G116" s="129"/>
      <c r="H116" s="137" t="s">
        <v>135</v>
      </c>
      <c r="I116" s="900">
        <f>0+11.4</f>
        <v>11.4</v>
      </c>
      <c r="J116" s="896">
        <v>11.4</v>
      </c>
      <c r="K116" s="896"/>
      <c r="L116" s="1103"/>
      <c r="M116" s="1104"/>
      <c r="N116" s="1105"/>
      <c r="O116" s="900"/>
      <c r="P116" s="896"/>
      <c r="Q116" s="896"/>
      <c r="R116" s="33"/>
      <c r="S116" s="471"/>
      <c r="T116" s="915"/>
      <c r="U116" s="1011"/>
      <c r="V116" s="859"/>
      <c r="W116" s="471"/>
      <c r="X116" s="1148"/>
      <c r="Y116" s="390"/>
    </row>
    <row r="117" spans="1:25" s="90" customFormat="1" ht="41.25" customHeight="1" x14ac:dyDescent="0.3">
      <c r="A117" s="47"/>
      <c r="B117" s="127"/>
      <c r="C117" s="206"/>
      <c r="D117" s="1198" t="s">
        <v>52</v>
      </c>
      <c r="E117" s="1086"/>
      <c r="F117" s="1080"/>
      <c r="G117" s="129"/>
      <c r="H117" s="1159" t="s">
        <v>217</v>
      </c>
      <c r="I117" s="1160">
        <v>33</v>
      </c>
      <c r="J117" s="1161">
        <v>33</v>
      </c>
      <c r="K117" s="1161"/>
      <c r="L117" s="1162"/>
      <c r="M117" s="1163"/>
      <c r="N117" s="1164"/>
      <c r="O117" s="1160"/>
      <c r="P117" s="1161"/>
      <c r="Q117" s="1161"/>
      <c r="R117" s="8" t="s">
        <v>227</v>
      </c>
      <c r="S117" s="457">
        <v>100</v>
      </c>
      <c r="T117" s="936"/>
      <c r="U117" s="979"/>
      <c r="V117" s="569"/>
      <c r="W117" s="457"/>
      <c r="X117" s="936"/>
      <c r="Y117" s="390"/>
    </row>
    <row r="118" spans="1:25" s="90" customFormat="1" ht="45" customHeight="1" x14ac:dyDescent="0.3">
      <c r="A118" s="47"/>
      <c r="B118" s="127"/>
      <c r="C118" s="206"/>
      <c r="D118" s="196"/>
      <c r="E118" s="1086"/>
      <c r="F118" s="1081"/>
      <c r="G118" s="129"/>
      <c r="H118" s="1156" t="s">
        <v>217</v>
      </c>
      <c r="I118" s="1155">
        <f>32.9+5.5</f>
        <v>38.4</v>
      </c>
      <c r="J118" s="1157">
        <f>32.9+5.5</f>
        <v>38.4</v>
      </c>
      <c r="K118" s="1157"/>
      <c r="L118" s="1153"/>
      <c r="M118" s="1108"/>
      <c r="N118" s="1154"/>
      <c r="O118" s="1155"/>
      <c r="P118" s="1157"/>
      <c r="Q118" s="1157"/>
      <c r="R118" s="8" t="s">
        <v>198</v>
      </c>
      <c r="S118" s="457">
        <v>100</v>
      </c>
      <c r="T118" s="936"/>
      <c r="U118" s="979"/>
      <c r="V118" s="985"/>
      <c r="W118" s="1030"/>
      <c r="X118" s="486"/>
      <c r="Y118" s="1029"/>
    </row>
    <row r="119" spans="1:25" s="90" customFormat="1" ht="43.5" customHeight="1" x14ac:dyDescent="0.3">
      <c r="A119" s="47"/>
      <c r="B119" s="127"/>
      <c r="C119" s="206"/>
      <c r="D119" s="196"/>
      <c r="E119" s="1086"/>
      <c r="F119" s="1081"/>
      <c r="G119" s="129"/>
      <c r="H119" s="1156" t="s">
        <v>218</v>
      </c>
      <c r="I119" s="1096">
        <f>0+23</f>
        <v>23</v>
      </c>
      <c r="J119" s="1097">
        <v>23</v>
      </c>
      <c r="K119" s="1097"/>
      <c r="L119" s="1153"/>
      <c r="M119" s="1108"/>
      <c r="N119" s="1154"/>
      <c r="O119" s="1155"/>
      <c r="P119" s="1157"/>
      <c r="Q119" s="1157"/>
      <c r="R119" s="1338" t="s">
        <v>257</v>
      </c>
      <c r="S119" s="1563">
        <v>100</v>
      </c>
      <c r="T119" s="1510"/>
      <c r="U119" s="1563"/>
      <c r="V119" s="1510"/>
      <c r="W119" s="1620"/>
      <c r="X119" s="1622"/>
      <c r="Y119" s="1624"/>
    </row>
    <row r="120" spans="1:25" s="90" customFormat="1" ht="27.75" customHeight="1" x14ac:dyDescent="0.3">
      <c r="A120" s="47"/>
      <c r="B120" s="127"/>
      <c r="C120" s="206"/>
      <c r="D120" s="196"/>
      <c r="E120" s="1086"/>
      <c r="F120" s="1081"/>
      <c r="G120" s="129"/>
      <c r="H120" s="1156"/>
      <c r="I120" s="1096"/>
      <c r="J120" s="1097"/>
      <c r="K120" s="1097"/>
      <c r="L120" s="1153"/>
      <c r="M120" s="1108"/>
      <c r="N120" s="1154"/>
      <c r="O120" s="1155"/>
      <c r="P120" s="1157"/>
      <c r="Q120" s="1157"/>
      <c r="R120" s="1339"/>
      <c r="S120" s="1477"/>
      <c r="T120" s="1578"/>
      <c r="U120" s="1477"/>
      <c r="V120" s="1578"/>
      <c r="W120" s="1621"/>
      <c r="X120" s="1623"/>
      <c r="Y120" s="1624"/>
    </row>
    <row r="121" spans="1:25" s="90" customFormat="1" ht="31.5" customHeight="1" x14ac:dyDescent="0.3">
      <c r="A121" s="47"/>
      <c r="B121" s="127"/>
      <c r="C121" s="206"/>
      <c r="D121" s="196"/>
      <c r="E121" s="1086"/>
      <c r="F121" s="1081"/>
      <c r="G121" s="129"/>
      <c r="H121" s="1156" t="s">
        <v>217</v>
      </c>
      <c r="I121" s="1155">
        <v>2.2000000000000002</v>
      </c>
      <c r="J121" s="1157">
        <v>2.2000000000000002</v>
      </c>
      <c r="K121" s="1157"/>
      <c r="L121" s="1153"/>
      <c r="M121" s="1108"/>
      <c r="N121" s="1154"/>
      <c r="O121" s="1155"/>
      <c r="P121" s="1157"/>
      <c r="Q121" s="1157"/>
      <c r="R121" s="521" t="s">
        <v>192</v>
      </c>
      <c r="S121" s="457">
        <v>2</v>
      </c>
      <c r="T121" s="936"/>
      <c r="U121" s="979"/>
      <c r="V121" s="985"/>
      <c r="W121" s="1030"/>
      <c r="X121" s="486"/>
      <c r="Y121" s="1289"/>
    </row>
    <row r="122" spans="1:25" s="90" customFormat="1" ht="153" customHeight="1" x14ac:dyDescent="0.3">
      <c r="A122" s="47"/>
      <c r="B122" s="127"/>
      <c r="C122" s="206"/>
      <c r="D122" s="1145"/>
      <c r="E122" s="1086"/>
      <c r="F122" s="1081"/>
      <c r="G122" s="129"/>
      <c r="H122" s="1038" t="s">
        <v>217</v>
      </c>
      <c r="I122" s="1268">
        <f>0+250</f>
        <v>250</v>
      </c>
      <c r="J122" s="1269">
        <f>250+51.6</f>
        <v>301.60000000000002</v>
      </c>
      <c r="K122" s="1269">
        <f>+J122-I122</f>
        <v>51.600000000000023</v>
      </c>
      <c r="L122" s="1295">
        <v>225</v>
      </c>
      <c r="M122" s="1296">
        <v>0</v>
      </c>
      <c r="N122" s="1297">
        <f>+M122-L122</f>
        <v>-225</v>
      </c>
      <c r="O122" s="1155"/>
      <c r="P122" s="1157"/>
      <c r="Q122" s="1157"/>
      <c r="R122" s="521" t="s">
        <v>269</v>
      </c>
      <c r="S122" s="457">
        <v>100</v>
      </c>
      <c r="T122" s="936"/>
      <c r="U122" s="1293">
        <v>100</v>
      </c>
      <c r="V122" s="1294">
        <v>0</v>
      </c>
      <c r="W122" s="1030"/>
      <c r="X122" s="486"/>
      <c r="Y122" s="1289" t="s">
        <v>271</v>
      </c>
    </row>
    <row r="123" spans="1:25" s="90" customFormat="1" ht="93.75" customHeight="1" x14ac:dyDescent="0.3">
      <c r="A123" s="47"/>
      <c r="B123" s="127"/>
      <c r="C123" s="206"/>
      <c r="D123" s="1145"/>
      <c r="E123" s="1086"/>
      <c r="F123" s="1081"/>
      <c r="G123" s="129"/>
      <c r="H123" s="1038" t="s">
        <v>217</v>
      </c>
      <c r="I123" s="1268">
        <f>0+21</f>
        <v>21</v>
      </c>
      <c r="J123" s="1269">
        <f>21-21</f>
        <v>0</v>
      </c>
      <c r="K123" s="1269">
        <f>+J123-I123</f>
        <v>-21</v>
      </c>
      <c r="L123" s="1295">
        <v>0</v>
      </c>
      <c r="M123" s="1296">
        <v>21</v>
      </c>
      <c r="N123" s="1297">
        <f>+M123-L123</f>
        <v>21</v>
      </c>
      <c r="O123" s="1155"/>
      <c r="P123" s="1157"/>
      <c r="Q123" s="1157"/>
      <c r="R123" s="1290" t="s">
        <v>260</v>
      </c>
      <c r="S123" s="1291">
        <v>1</v>
      </c>
      <c r="T123" s="1292">
        <v>0</v>
      </c>
      <c r="U123" s="1293">
        <v>0</v>
      </c>
      <c r="V123" s="1294">
        <v>1</v>
      </c>
      <c r="W123" s="1030"/>
      <c r="X123" s="486"/>
      <c r="Y123" s="1289" t="s">
        <v>270</v>
      </c>
    </row>
    <row r="124" spans="1:25" s="90" customFormat="1" ht="30.75" customHeight="1" x14ac:dyDescent="0.3">
      <c r="A124" s="47"/>
      <c r="B124" s="127"/>
      <c r="C124" s="206"/>
      <c r="D124" s="1145"/>
      <c r="E124" s="1086"/>
      <c r="F124" s="1081"/>
      <c r="G124" s="129"/>
      <c r="H124" s="1156" t="s">
        <v>217</v>
      </c>
      <c r="I124" s="1155">
        <f>0+1.1</f>
        <v>1.1000000000000001</v>
      </c>
      <c r="J124" s="1157">
        <v>1.1000000000000001</v>
      </c>
      <c r="K124" s="1157"/>
      <c r="L124" s="1153"/>
      <c r="M124" s="1108"/>
      <c r="N124" s="1154"/>
      <c r="O124" s="1155"/>
      <c r="P124" s="1157"/>
      <c r="Q124" s="1157"/>
      <c r="R124" s="521" t="s">
        <v>263</v>
      </c>
      <c r="S124" s="457">
        <v>2</v>
      </c>
      <c r="T124" s="936"/>
      <c r="U124" s="979"/>
      <c r="V124" s="569"/>
      <c r="W124" s="1030"/>
      <c r="X124" s="486"/>
      <c r="Y124" s="1289"/>
    </row>
    <row r="125" spans="1:25" s="90" customFormat="1" ht="32.5" customHeight="1" x14ac:dyDescent="0.3">
      <c r="A125" s="47"/>
      <c r="B125" s="127"/>
      <c r="C125" s="206"/>
      <c r="D125" s="1198"/>
      <c r="E125" s="1086"/>
      <c r="F125" s="1080"/>
      <c r="G125" s="129"/>
      <c r="H125" s="1159" t="s">
        <v>217</v>
      </c>
      <c r="I125" s="1096"/>
      <c r="J125" s="1097"/>
      <c r="K125" s="1097"/>
      <c r="L125" s="1098">
        <v>18.7</v>
      </c>
      <c r="M125" s="1099">
        <v>18.7</v>
      </c>
      <c r="N125" s="1100"/>
      <c r="O125" s="1096"/>
      <c r="P125" s="1097"/>
      <c r="Q125" s="1097"/>
      <c r="R125" s="521" t="s">
        <v>180</v>
      </c>
      <c r="S125" s="298"/>
      <c r="T125" s="558"/>
      <c r="U125" s="984">
        <v>100</v>
      </c>
      <c r="V125" s="910"/>
      <c r="W125" s="298"/>
      <c r="X125" s="558"/>
      <c r="Y125" s="1289"/>
    </row>
    <row r="126" spans="1:25" s="90" customFormat="1" ht="32.5" customHeight="1" x14ac:dyDescent="0.3">
      <c r="A126" s="47"/>
      <c r="B126" s="127"/>
      <c r="C126" s="206"/>
      <c r="D126" s="1198"/>
      <c r="E126" s="1086"/>
      <c r="F126" s="1080"/>
      <c r="G126" s="129"/>
      <c r="H126" s="1159" t="s">
        <v>217</v>
      </c>
      <c r="I126" s="1155"/>
      <c r="J126" s="1157"/>
      <c r="K126" s="1157"/>
      <c r="L126" s="1153">
        <v>20.5</v>
      </c>
      <c r="M126" s="1108">
        <v>20.5</v>
      </c>
      <c r="N126" s="1154"/>
      <c r="O126" s="1155"/>
      <c r="P126" s="1157"/>
      <c r="Q126" s="1157"/>
      <c r="R126" s="8" t="s">
        <v>168</v>
      </c>
      <c r="S126" s="298"/>
      <c r="T126" s="558"/>
      <c r="U126" s="984">
        <v>100</v>
      </c>
      <c r="V126" s="910"/>
      <c r="W126" s="298"/>
      <c r="X126" s="558"/>
      <c r="Y126" s="1289"/>
    </row>
    <row r="127" spans="1:25" s="90" customFormat="1" ht="39.75" customHeight="1" x14ac:dyDescent="0.3">
      <c r="A127" s="47"/>
      <c r="B127" s="127"/>
      <c r="C127" s="206"/>
      <c r="D127" s="196"/>
      <c r="E127" s="1086"/>
      <c r="F127" s="1081"/>
      <c r="G127" s="129"/>
      <c r="H127" s="1156" t="s">
        <v>217</v>
      </c>
      <c r="I127" s="1155"/>
      <c r="J127" s="1157"/>
      <c r="K127" s="1157"/>
      <c r="L127" s="1153">
        <v>24.9</v>
      </c>
      <c r="M127" s="1108">
        <v>24.9</v>
      </c>
      <c r="N127" s="1154"/>
      <c r="O127" s="1155"/>
      <c r="P127" s="1157"/>
      <c r="Q127" s="1157"/>
      <c r="R127" s="8" t="s">
        <v>193</v>
      </c>
      <c r="S127" s="298"/>
      <c r="T127" s="558"/>
      <c r="U127" s="984">
        <v>100</v>
      </c>
      <c r="V127" s="937"/>
      <c r="W127" s="298"/>
      <c r="X127" s="558"/>
      <c r="Y127" s="1289"/>
    </row>
    <row r="128" spans="1:25" s="90" customFormat="1" ht="41.25" customHeight="1" x14ac:dyDescent="0.3">
      <c r="A128" s="47"/>
      <c r="B128" s="127"/>
      <c r="C128" s="206"/>
      <c r="D128" s="196"/>
      <c r="E128" s="1086"/>
      <c r="F128" s="1081"/>
      <c r="G128" s="129"/>
      <c r="H128" s="1156" t="s">
        <v>217</v>
      </c>
      <c r="I128" s="1155"/>
      <c r="J128" s="1157"/>
      <c r="K128" s="1157"/>
      <c r="L128" s="1153">
        <v>9.5</v>
      </c>
      <c r="M128" s="1108">
        <v>9.5</v>
      </c>
      <c r="N128" s="1154"/>
      <c r="O128" s="1155"/>
      <c r="P128" s="1157"/>
      <c r="Q128" s="1157"/>
      <c r="R128" s="1217" t="s">
        <v>182</v>
      </c>
      <c r="S128" s="1226"/>
      <c r="T128" s="1174"/>
      <c r="U128" s="979">
        <v>100</v>
      </c>
      <c r="V128" s="985"/>
      <c r="W128" s="1030"/>
      <c r="X128" s="486"/>
      <c r="Y128" s="1029"/>
    </row>
    <row r="129" spans="1:30" s="90" customFormat="1" ht="41.25" customHeight="1" x14ac:dyDescent="0.3">
      <c r="A129" s="47"/>
      <c r="B129" s="127"/>
      <c r="C129" s="206"/>
      <c r="D129" s="196"/>
      <c r="E129" s="1086"/>
      <c r="F129" s="1081"/>
      <c r="G129" s="129"/>
      <c r="H129" s="1156" t="s">
        <v>217</v>
      </c>
      <c r="I129" s="1155"/>
      <c r="J129" s="1157"/>
      <c r="K129" s="1157"/>
      <c r="L129" s="1153">
        <v>7</v>
      </c>
      <c r="M129" s="1108">
        <v>7</v>
      </c>
      <c r="N129" s="1154"/>
      <c r="O129" s="1155"/>
      <c r="P129" s="1157"/>
      <c r="Q129" s="1157"/>
      <c r="R129" s="1217" t="s">
        <v>183</v>
      </c>
      <c r="S129" s="1226"/>
      <c r="T129" s="1174"/>
      <c r="U129" s="979">
        <v>100</v>
      </c>
      <c r="V129" s="985"/>
      <c r="W129" s="1030"/>
      <c r="X129" s="486"/>
      <c r="Y129" s="1029"/>
    </row>
    <row r="130" spans="1:30" s="90" customFormat="1" ht="39" customHeight="1" x14ac:dyDescent="0.3">
      <c r="A130" s="47"/>
      <c r="B130" s="127"/>
      <c r="C130" s="206"/>
      <c r="D130" s="196"/>
      <c r="E130" s="1086"/>
      <c r="F130" s="1081"/>
      <c r="G130" s="129"/>
      <c r="H130" s="1156" t="s">
        <v>217</v>
      </c>
      <c r="I130" s="1155"/>
      <c r="J130" s="1157"/>
      <c r="K130" s="1157"/>
      <c r="L130" s="1153">
        <v>3</v>
      </c>
      <c r="M130" s="1108">
        <v>3</v>
      </c>
      <c r="N130" s="1154"/>
      <c r="O130" s="1155"/>
      <c r="P130" s="1157"/>
      <c r="Q130" s="1157"/>
      <c r="R130" s="551" t="s">
        <v>194</v>
      </c>
      <c r="S130" s="457"/>
      <c r="T130" s="936"/>
      <c r="U130" s="979">
        <v>100</v>
      </c>
      <c r="V130" s="985"/>
      <c r="W130" s="1030"/>
      <c r="X130" s="486"/>
      <c r="Y130" s="1029"/>
    </row>
    <row r="131" spans="1:30" s="90" customFormat="1" ht="30.65" customHeight="1" x14ac:dyDescent="0.3">
      <c r="A131" s="47"/>
      <c r="B131" s="127"/>
      <c r="C131" s="206"/>
      <c r="D131" s="196"/>
      <c r="E131" s="1086"/>
      <c r="F131" s="1081"/>
      <c r="G131" s="129"/>
      <c r="H131" s="1156" t="s">
        <v>217</v>
      </c>
      <c r="I131" s="1155"/>
      <c r="J131" s="1157"/>
      <c r="K131" s="1157"/>
      <c r="L131" s="1153">
        <v>9</v>
      </c>
      <c r="M131" s="1108">
        <v>9</v>
      </c>
      <c r="N131" s="1154"/>
      <c r="O131" s="1155"/>
      <c r="P131" s="1157"/>
      <c r="Q131" s="1157"/>
      <c r="R131" s="1217" t="s">
        <v>184</v>
      </c>
      <c r="S131" s="1226"/>
      <c r="T131" s="1174"/>
      <c r="U131" s="979">
        <v>100</v>
      </c>
      <c r="V131" s="569"/>
      <c r="W131" s="1030"/>
      <c r="X131" s="486"/>
      <c r="Y131" s="1029"/>
    </row>
    <row r="132" spans="1:30" s="90" customFormat="1" ht="44.5" customHeight="1" x14ac:dyDescent="0.3">
      <c r="A132" s="47"/>
      <c r="B132" s="127"/>
      <c r="C132" s="206"/>
      <c r="D132" s="1198"/>
      <c r="E132" s="1086"/>
      <c r="F132" s="1080"/>
      <c r="G132" s="129"/>
      <c r="H132" s="1159" t="s">
        <v>217</v>
      </c>
      <c r="I132" s="1155"/>
      <c r="J132" s="1157"/>
      <c r="K132" s="1157"/>
      <c r="L132" s="1153"/>
      <c r="M132" s="1108"/>
      <c r="N132" s="1154"/>
      <c r="O132" s="1155">
        <v>44.5</v>
      </c>
      <c r="P132" s="1157">
        <v>44.5</v>
      </c>
      <c r="Q132" s="1157"/>
      <c r="R132" s="1206" t="s">
        <v>191</v>
      </c>
      <c r="S132" s="1222"/>
      <c r="T132" s="1187"/>
      <c r="U132" s="1220"/>
      <c r="V132" s="912"/>
      <c r="W132" s="241">
        <v>100</v>
      </c>
      <c r="X132" s="558"/>
      <c r="Y132" s="445"/>
      <c r="AB132" s="99"/>
      <c r="AD132" s="99"/>
    </row>
    <row r="133" spans="1:30" s="90" customFormat="1" ht="31.15" customHeight="1" x14ac:dyDescent="0.3">
      <c r="A133" s="43"/>
      <c r="B133" s="1176"/>
      <c r="C133" s="1213"/>
      <c r="D133" s="1502" t="s">
        <v>169</v>
      </c>
      <c r="E133" s="1087"/>
      <c r="F133" s="1082"/>
      <c r="G133" s="97" t="s">
        <v>16</v>
      </c>
      <c r="H133" s="1156" t="s">
        <v>217</v>
      </c>
      <c r="I133" s="1155">
        <v>14.9</v>
      </c>
      <c r="J133" s="1157">
        <v>14.9</v>
      </c>
      <c r="K133" s="1157"/>
      <c r="L133" s="1153"/>
      <c r="M133" s="1108"/>
      <c r="N133" s="1154"/>
      <c r="O133" s="1155"/>
      <c r="P133" s="1157"/>
      <c r="Q133" s="1157"/>
      <c r="R133" s="851" t="s">
        <v>195</v>
      </c>
      <c r="S133" s="298">
        <v>100</v>
      </c>
      <c r="T133" s="558"/>
      <c r="U133" s="852"/>
      <c r="V133" s="986"/>
      <c r="W133" s="1031"/>
      <c r="X133" s="554"/>
      <c r="Y133" s="1345" t="s">
        <v>266</v>
      </c>
    </row>
    <row r="134" spans="1:30" s="90" customFormat="1" ht="31.15" customHeight="1" x14ac:dyDescent="0.3">
      <c r="A134" s="43"/>
      <c r="B134" s="1176"/>
      <c r="C134" s="1213"/>
      <c r="D134" s="1503"/>
      <c r="E134" s="1087"/>
      <c r="F134" s="1083"/>
      <c r="G134" s="86"/>
      <c r="H134" s="1038" t="s">
        <v>217</v>
      </c>
      <c r="I134" s="1268">
        <f>0+11</f>
        <v>11</v>
      </c>
      <c r="J134" s="1269">
        <f>11-11</f>
        <v>0</v>
      </c>
      <c r="K134" s="1269">
        <f>+J134-I134</f>
        <v>-11</v>
      </c>
      <c r="L134" s="1153"/>
      <c r="M134" s="1108"/>
      <c r="N134" s="1154"/>
      <c r="O134" s="1155"/>
      <c r="P134" s="1157"/>
      <c r="Q134" s="1157"/>
      <c r="R134" s="1298" t="s">
        <v>261</v>
      </c>
      <c r="S134" s="1299">
        <v>100</v>
      </c>
      <c r="T134" s="558"/>
      <c r="U134" s="852"/>
      <c r="V134" s="986"/>
      <c r="W134" s="1031"/>
      <c r="X134" s="554"/>
      <c r="Y134" s="1624"/>
    </row>
    <row r="135" spans="1:30" s="90" customFormat="1" ht="27.75" customHeight="1" x14ac:dyDescent="0.3">
      <c r="A135" s="43"/>
      <c r="B135" s="1176"/>
      <c r="C135" s="1213"/>
      <c r="D135" s="1503"/>
      <c r="E135" s="1087"/>
      <c r="F135" s="1083"/>
      <c r="G135" s="86"/>
      <c r="H135" s="1156" t="s">
        <v>217</v>
      </c>
      <c r="I135" s="1155"/>
      <c r="J135" s="1157"/>
      <c r="K135" s="1157"/>
      <c r="L135" s="1153">
        <v>14.2</v>
      </c>
      <c r="M135" s="1108">
        <v>14.2</v>
      </c>
      <c r="N135" s="1154"/>
      <c r="O135" s="1155"/>
      <c r="P135" s="1157"/>
      <c r="Q135" s="1157"/>
      <c r="R135" s="555" t="s">
        <v>171</v>
      </c>
      <c r="S135" s="298"/>
      <c r="T135" s="558"/>
      <c r="U135" s="984">
        <v>100</v>
      </c>
      <c r="V135" s="937"/>
      <c r="W135" s="298"/>
      <c r="X135" s="558"/>
      <c r="Y135" s="1624"/>
    </row>
    <row r="136" spans="1:30" s="90" customFormat="1" ht="32.5" customHeight="1" x14ac:dyDescent="0.3">
      <c r="A136" s="43"/>
      <c r="B136" s="1176"/>
      <c r="C136" s="1213"/>
      <c r="D136" s="196"/>
      <c r="E136" s="1087"/>
      <c r="F136" s="1083"/>
      <c r="G136" s="86"/>
      <c r="H136" s="1156" t="s">
        <v>217</v>
      </c>
      <c r="I136" s="1155"/>
      <c r="J136" s="1157"/>
      <c r="K136" s="1157"/>
      <c r="L136" s="1153">
        <v>3.5</v>
      </c>
      <c r="M136" s="1108">
        <v>3.5</v>
      </c>
      <c r="N136" s="1154"/>
      <c r="O136" s="1155"/>
      <c r="P136" s="1157"/>
      <c r="Q136" s="1157"/>
      <c r="R136" s="1212" t="s">
        <v>196</v>
      </c>
      <c r="S136" s="595"/>
      <c r="T136" s="1012"/>
      <c r="U136" s="1001">
        <v>100</v>
      </c>
      <c r="V136" s="653"/>
      <c r="W136" s="250"/>
      <c r="X136" s="558"/>
      <c r="Y136" s="1624"/>
    </row>
    <row r="137" spans="1:30" s="90" customFormat="1" ht="42.75" customHeight="1" x14ac:dyDescent="0.3">
      <c r="A137" s="43"/>
      <c r="B137" s="1176"/>
      <c r="C137" s="1213"/>
      <c r="D137" s="196"/>
      <c r="E137" s="1087"/>
      <c r="F137" s="1083"/>
      <c r="G137" s="86"/>
      <c r="H137" s="1156" t="s">
        <v>217</v>
      </c>
      <c r="I137" s="1155"/>
      <c r="J137" s="1157"/>
      <c r="K137" s="1157"/>
      <c r="L137" s="1153">
        <v>36.299999999999997</v>
      </c>
      <c r="M137" s="1108">
        <v>36.299999999999997</v>
      </c>
      <c r="N137" s="1154"/>
      <c r="O137" s="1155"/>
      <c r="P137" s="1157"/>
      <c r="Q137" s="1157"/>
      <c r="R137" s="682" t="s">
        <v>170</v>
      </c>
      <c r="S137" s="241"/>
      <c r="T137" s="1215"/>
      <c r="U137" s="983">
        <v>100</v>
      </c>
      <c r="V137" s="938"/>
      <c r="W137" s="241"/>
      <c r="X137" s="558"/>
      <c r="Y137" s="1624"/>
    </row>
    <row r="138" spans="1:30" s="90" customFormat="1" ht="43.9" customHeight="1" x14ac:dyDescent="0.3">
      <c r="A138" s="43"/>
      <c r="B138" s="1176"/>
      <c r="C138" s="1213"/>
      <c r="D138" s="196"/>
      <c r="E138" s="1087"/>
      <c r="F138" s="1083"/>
      <c r="G138" s="86"/>
      <c r="H138" s="1156" t="s">
        <v>217</v>
      </c>
      <c r="I138" s="1155"/>
      <c r="J138" s="1157"/>
      <c r="K138" s="1157"/>
      <c r="L138" s="1153"/>
      <c r="M138" s="1108"/>
      <c r="N138" s="1154"/>
      <c r="O138" s="1155">
        <v>10.3</v>
      </c>
      <c r="P138" s="1157">
        <v>10.3</v>
      </c>
      <c r="Q138" s="1157"/>
      <c r="R138" s="1211" t="s">
        <v>189</v>
      </c>
      <c r="S138" s="241"/>
      <c r="T138" s="1215"/>
      <c r="U138" s="983"/>
      <c r="V138" s="543"/>
      <c r="W138" s="241">
        <v>100</v>
      </c>
      <c r="X138" s="558"/>
      <c r="Y138" s="1346"/>
    </row>
    <row r="139" spans="1:30" s="90" customFormat="1" ht="34.5" customHeight="1" x14ac:dyDescent="0.3">
      <c r="A139" s="43"/>
      <c r="B139" s="1176"/>
      <c r="C139" s="206"/>
      <c r="D139" s="1092" t="s">
        <v>134</v>
      </c>
      <c r="E139" s="1088"/>
      <c r="F139" s="1084">
        <v>11010100</v>
      </c>
      <c r="G139" s="89">
        <v>6</v>
      </c>
      <c r="H139" s="811" t="s">
        <v>217</v>
      </c>
      <c r="I139" s="834">
        <v>155.6</v>
      </c>
      <c r="J139" s="1276">
        <v>155.6</v>
      </c>
      <c r="K139" s="1276"/>
      <c r="L139" s="1277">
        <v>176.9</v>
      </c>
      <c r="M139" s="799">
        <v>176.9</v>
      </c>
      <c r="N139" s="825"/>
      <c r="O139" s="834">
        <v>176.9</v>
      </c>
      <c r="P139" s="1276">
        <v>176.9</v>
      </c>
      <c r="Q139" s="1097"/>
      <c r="R139" s="1093" t="s">
        <v>185</v>
      </c>
      <c r="S139" s="100">
        <v>6</v>
      </c>
      <c r="T139" s="520"/>
      <c r="U139" s="1094">
        <v>6</v>
      </c>
      <c r="V139" s="1095"/>
      <c r="W139" s="100">
        <v>6</v>
      </c>
      <c r="X139" s="520"/>
      <c r="Y139" s="1191"/>
      <c r="AD139" s="99"/>
    </row>
    <row r="140" spans="1:30" s="90" customFormat="1" ht="18" customHeight="1" x14ac:dyDescent="0.3">
      <c r="A140" s="43"/>
      <c r="B140" s="1176"/>
      <c r="C140" s="206"/>
      <c r="D140" s="1336" t="s">
        <v>138</v>
      </c>
      <c r="E140" s="1089"/>
      <c r="F140" s="1077"/>
      <c r="G140" s="243"/>
      <c r="H140" s="1331" t="s">
        <v>248</v>
      </c>
      <c r="I140" s="834">
        <f>0+11.4</f>
        <v>11.4</v>
      </c>
      <c r="J140" s="1276">
        <v>11.4</v>
      </c>
      <c r="K140" s="1276"/>
      <c r="L140" s="1277"/>
      <c r="M140" s="799"/>
      <c r="N140" s="825"/>
      <c r="O140" s="834"/>
      <c r="P140" s="1276"/>
      <c r="Q140" s="1101"/>
      <c r="R140" s="1345" t="s">
        <v>253</v>
      </c>
      <c r="S140" s="22">
        <v>134</v>
      </c>
      <c r="T140" s="55"/>
      <c r="U140" s="1078"/>
      <c r="V140" s="856"/>
      <c r="W140" s="22"/>
      <c r="X140" s="55"/>
      <c r="Y140" s="1345"/>
      <c r="AD140" s="99"/>
    </row>
    <row r="141" spans="1:30" s="90" customFormat="1" ht="15.75" customHeight="1" x14ac:dyDescent="0.3">
      <c r="A141" s="39"/>
      <c r="B141" s="1176"/>
      <c r="C141" s="1213"/>
      <c r="D141" s="1342"/>
      <c r="E141" s="1613" t="s">
        <v>18</v>
      </c>
      <c r="F141" s="1480"/>
      <c r="G141" s="1480"/>
      <c r="H141" s="1481"/>
      <c r="I141" s="355">
        <f>SUM(I114:I116)</f>
        <v>582.9</v>
      </c>
      <c r="J141" s="893">
        <f>SUM(J114:J116)</f>
        <v>602.5</v>
      </c>
      <c r="K141" s="893">
        <f>SUM(K114:K116)</f>
        <v>19.600000000000023</v>
      </c>
      <c r="L141" s="1074">
        <f t="shared" ref="L141:Q141" si="31">SUM(L114)</f>
        <v>548.5</v>
      </c>
      <c r="M141" s="285">
        <f t="shared" si="31"/>
        <v>344.5</v>
      </c>
      <c r="N141" s="285">
        <f t="shared" si="31"/>
        <v>-204</v>
      </c>
      <c r="O141" s="355">
        <f t="shared" si="31"/>
        <v>231.7</v>
      </c>
      <c r="P141" s="893">
        <f t="shared" si="31"/>
        <v>231.7</v>
      </c>
      <c r="Q141" s="893">
        <f t="shared" si="31"/>
        <v>0</v>
      </c>
      <c r="R141" s="1346"/>
      <c r="S141" s="245"/>
      <c r="T141" s="566"/>
      <c r="U141" s="1025"/>
      <c r="V141" s="939"/>
      <c r="W141" s="245"/>
      <c r="X141" s="566"/>
      <c r="Y141" s="1346"/>
      <c r="AB141" s="99"/>
    </row>
    <row r="142" spans="1:30" s="90" customFormat="1" ht="15.65" customHeight="1" thickBot="1" x14ac:dyDescent="0.35">
      <c r="A142" s="254" t="s">
        <v>13</v>
      </c>
      <c r="B142" s="255" t="s">
        <v>21</v>
      </c>
      <c r="C142" s="1614" t="s">
        <v>22</v>
      </c>
      <c r="D142" s="1615"/>
      <c r="E142" s="1615"/>
      <c r="F142" s="1615"/>
      <c r="G142" s="1615"/>
      <c r="H142" s="1616"/>
      <c r="I142" s="904">
        <f t="shared" ref="I142:Q142" si="32">I141+I113+I79</f>
        <v>2450.1</v>
      </c>
      <c r="J142" s="905">
        <f t="shared" si="32"/>
        <v>2469.6999999999998</v>
      </c>
      <c r="K142" s="905">
        <f t="shared" si="32"/>
        <v>19.600000000000023</v>
      </c>
      <c r="L142" s="1075">
        <f t="shared" si="32"/>
        <v>573</v>
      </c>
      <c r="M142" s="688">
        <f t="shared" si="32"/>
        <v>369</v>
      </c>
      <c r="N142" s="688">
        <f t="shared" si="32"/>
        <v>-204</v>
      </c>
      <c r="O142" s="904">
        <f t="shared" si="32"/>
        <v>5071.7</v>
      </c>
      <c r="P142" s="905">
        <f t="shared" si="32"/>
        <v>5071.7</v>
      </c>
      <c r="Q142" s="905">
        <f t="shared" si="32"/>
        <v>0</v>
      </c>
      <c r="R142" s="1617"/>
      <c r="S142" s="1618"/>
      <c r="T142" s="1618"/>
      <c r="U142" s="1618"/>
      <c r="V142" s="1618"/>
      <c r="W142" s="1618"/>
      <c r="X142" s="1618"/>
      <c r="Y142" s="1619"/>
    </row>
    <row r="143" spans="1:30" s="90" customFormat="1" ht="14.25" customHeight="1" thickBot="1" x14ac:dyDescent="0.35">
      <c r="A143" s="49" t="s">
        <v>13</v>
      </c>
      <c r="B143" s="902" t="s">
        <v>31</v>
      </c>
      <c r="C143" s="1625" t="s">
        <v>38</v>
      </c>
      <c r="D143" s="1413"/>
      <c r="E143" s="1413"/>
      <c r="F143" s="1413"/>
      <c r="G143" s="1413"/>
      <c r="H143" s="1413"/>
      <c r="I143" s="1413"/>
      <c r="J143" s="1413"/>
      <c r="K143" s="1413"/>
      <c r="L143" s="1413"/>
      <c r="M143" s="1413"/>
      <c r="N143" s="1413"/>
      <c r="O143" s="1413"/>
      <c r="P143" s="1413"/>
      <c r="Q143" s="1413"/>
      <c r="R143" s="1413"/>
      <c r="S143" s="1413"/>
      <c r="T143" s="1413"/>
      <c r="U143" s="1413"/>
      <c r="V143" s="1413"/>
      <c r="W143" s="1413"/>
      <c r="X143" s="1413"/>
      <c r="Y143" s="1626"/>
    </row>
    <row r="144" spans="1:30" s="90" customFormat="1" ht="54" customHeight="1" x14ac:dyDescent="0.3">
      <c r="A144" s="38" t="s">
        <v>13</v>
      </c>
      <c r="B144" s="1175" t="s">
        <v>31</v>
      </c>
      <c r="C144" s="4" t="s">
        <v>13</v>
      </c>
      <c r="D144" s="1349" t="s">
        <v>83</v>
      </c>
      <c r="E144" s="906"/>
      <c r="F144" s="907">
        <v>11030607</v>
      </c>
      <c r="G144" s="1182" t="s">
        <v>16</v>
      </c>
      <c r="H144" s="1249" t="s">
        <v>17</v>
      </c>
      <c r="I144" s="218">
        <f>756+600</f>
        <v>1356</v>
      </c>
      <c r="J144" s="368">
        <f>756+600</f>
        <v>1356</v>
      </c>
      <c r="K144" s="368"/>
      <c r="L144" s="490">
        <v>756</v>
      </c>
      <c r="M144" s="317">
        <v>756</v>
      </c>
      <c r="N144" s="882"/>
      <c r="O144" s="218">
        <v>756</v>
      </c>
      <c r="P144" s="301">
        <v>756</v>
      </c>
      <c r="Q144" s="870"/>
      <c r="R144" s="1460" t="s">
        <v>228</v>
      </c>
      <c r="S144" s="249">
        <v>4</v>
      </c>
      <c r="T144" s="1177"/>
      <c r="U144" s="995">
        <v>4</v>
      </c>
      <c r="V144" s="406"/>
      <c r="W144" s="249">
        <v>4</v>
      </c>
      <c r="X144" s="1177"/>
      <c r="Y144" s="1365"/>
    </row>
    <row r="145" spans="1:25" s="90" customFormat="1" ht="13.5" thickBot="1" x14ac:dyDescent="0.35">
      <c r="A145" s="41"/>
      <c r="B145" s="1197"/>
      <c r="C145" s="5"/>
      <c r="D145" s="1366"/>
      <c r="E145" s="164"/>
      <c r="F145" s="238"/>
      <c r="G145" s="54"/>
      <c r="H145" s="35" t="s">
        <v>18</v>
      </c>
      <c r="I145" s="280">
        <f t="shared" ref="I145:O145" si="33">SUM(I144:I144)</f>
        <v>1356</v>
      </c>
      <c r="J145" s="863">
        <f t="shared" ref="J145:K145" si="34">SUM(J144:J144)</f>
        <v>1356</v>
      </c>
      <c r="K145" s="863">
        <f t="shared" si="34"/>
        <v>0</v>
      </c>
      <c r="L145" s="970">
        <f t="shared" si="33"/>
        <v>756</v>
      </c>
      <c r="M145" s="318">
        <f t="shared" ref="M145:N145" si="35">SUM(M144:M144)</f>
        <v>756</v>
      </c>
      <c r="N145" s="318">
        <f t="shared" si="35"/>
        <v>0</v>
      </c>
      <c r="O145" s="280">
        <f t="shared" si="33"/>
        <v>756</v>
      </c>
      <c r="P145" s="318">
        <f t="shared" ref="P145:Q145" si="36">SUM(P144:P144)</f>
        <v>756</v>
      </c>
      <c r="Q145" s="318">
        <f t="shared" si="36"/>
        <v>0</v>
      </c>
      <c r="R145" s="1504"/>
      <c r="S145" s="250"/>
      <c r="T145" s="1178"/>
      <c r="U145" s="1001"/>
      <c r="V145" s="582"/>
      <c r="W145" s="250"/>
      <c r="X145" s="1178"/>
      <c r="Y145" s="1339"/>
    </row>
    <row r="146" spans="1:25" s="90" customFormat="1" ht="24.75" customHeight="1" x14ac:dyDescent="0.3">
      <c r="A146" s="38" t="s">
        <v>13</v>
      </c>
      <c r="B146" s="1354" t="s">
        <v>31</v>
      </c>
      <c r="C146" s="1542" t="s">
        <v>19</v>
      </c>
      <c r="D146" s="1403" t="s">
        <v>84</v>
      </c>
      <c r="E146" s="1546"/>
      <c r="F146" s="1184">
        <v>11030701</v>
      </c>
      <c r="G146" s="1482" t="s">
        <v>16</v>
      </c>
      <c r="H146" s="19" t="s">
        <v>17</v>
      </c>
      <c r="I146" s="283">
        <v>33.700000000000003</v>
      </c>
      <c r="J146" s="878">
        <f>33.7</f>
        <v>33.700000000000003</v>
      </c>
      <c r="K146" s="878"/>
      <c r="L146" s="490">
        <v>55</v>
      </c>
      <c r="M146" s="317">
        <v>55</v>
      </c>
      <c r="N146" s="882"/>
      <c r="O146" s="218">
        <v>55</v>
      </c>
      <c r="P146" s="301">
        <v>55</v>
      </c>
      <c r="Q146" s="870"/>
      <c r="R146" s="1460" t="s">
        <v>39</v>
      </c>
      <c r="S146" s="299">
        <v>27</v>
      </c>
      <c r="T146" s="1216"/>
      <c r="U146" s="406">
        <v>15</v>
      </c>
      <c r="V146" s="278"/>
      <c r="W146" s="299">
        <v>18</v>
      </c>
      <c r="X146" s="1216"/>
      <c r="Y146" s="1338"/>
    </row>
    <row r="147" spans="1:25" s="90" customFormat="1" ht="15.65" customHeight="1" x14ac:dyDescent="0.3">
      <c r="A147" s="39"/>
      <c r="B147" s="1380"/>
      <c r="C147" s="1600"/>
      <c r="D147" s="1601"/>
      <c r="E147" s="1602"/>
      <c r="F147" s="1185"/>
      <c r="G147" s="1603"/>
      <c r="H147" s="138" t="s">
        <v>55</v>
      </c>
      <c r="I147" s="71">
        <f>0+21.2</f>
        <v>21.2</v>
      </c>
      <c r="J147" s="367">
        <v>21.2</v>
      </c>
      <c r="K147" s="367"/>
      <c r="L147" s="1061"/>
      <c r="M147" s="300"/>
      <c r="N147" s="874"/>
      <c r="O147" s="71"/>
      <c r="P147" s="300"/>
      <c r="Q147" s="367"/>
      <c r="R147" s="1460"/>
      <c r="S147" s="299"/>
      <c r="T147" s="1216"/>
      <c r="U147" s="406"/>
      <c r="V147" s="1216"/>
      <c r="W147" s="299"/>
      <c r="X147" s="1216"/>
      <c r="Y147" s="1349"/>
    </row>
    <row r="148" spans="1:25" s="90" customFormat="1" ht="16.5" customHeight="1" thickBot="1" x14ac:dyDescent="0.35">
      <c r="A148" s="41"/>
      <c r="B148" s="1355"/>
      <c r="C148" s="1543"/>
      <c r="D148" s="1404"/>
      <c r="E148" s="1547"/>
      <c r="F148" s="1186"/>
      <c r="G148" s="1483"/>
      <c r="H148" s="18" t="s">
        <v>18</v>
      </c>
      <c r="I148" s="280">
        <f>SUM(I146:I147)</f>
        <v>54.900000000000006</v>
      </c>
      <c r="J148" s="863">
        <f>SUM(J146:J147)</f>
        <v>54.900000000000006</v>
      </c>
      <c r="K148" s="863">
        <f>SUM(K146:K147)</f>
        <v>0</v>
      </c>
      <c r="L148" s="970">
        <f t="shared" ref="L148:O148" si="37">SUM(L146:L146)</f>
        <v>55</v>
      </c>
      <c r="M148" s="318">
        <f t="shared" ref="M148:N148" si="38">SUM(M146:M146)</f>
        <v>55</v>
      </c>
      <c r="N148" s="318">
        <f t="shared" si="38"/>
        <v>0</v>
      </c>
      <c r="O148" s="280">
        <f t="shared" si="37"/>
        <v>55</v>
      </c>
      <c r="P148" s="318">
        <f t="shared" ref="P148:Q148" si="39">SUM(P146:P146)</f>
        <v>55</v>
      </c>
      <c r="Q148" s="318">
        <f t="shared" si="39"/>
        <v>0</v>
      </c>
      <c r="R148" s="1460"/>
      <c r="S148" s="470"/>
      <c r="T148" s="82"/>
      <c r="U148" s="995"/>
      <c r="V148" s="406"/>
      <c r="W148" s="470"/>
      <c r="X148" s="82"/>
      <c r="Y148" s="1366"/>
    </row>
    <row r="149" spans="1:25" s="90" customFormat="1" ht="15.75" customHeight="1" thickBot="1" x14ac:dyDescent="0.35">
      <c r="A149" s="37" t="s">
        <v>13</v>
      </c>
      <c r="B149" s="10" t="s">
        <v>31</v>
      </c>
      <c r="C149" s="1402" t="s">
        <v>22</v>
      </c>
      <c r="D149" s="1402"/>
      <c r="E149" s="1402"/>
      <c r="F149" s="1402"/>
      <c r="G149" s="1402"/>
      <c r="H149" s="1402"/>
      <c r="I149" s="275">
        <f t="shared" ref="I149:O149" si="40">I148+I145</f>
        <v>1410.9</v>
      </c>
      <c r="J149" s="866">
        <f>J148+J145</f>
        <v>1410.9</v>
      </c>
      <c r="K149" s="866">
        <f>K148+K145</f>
        <v>0</v>
      </c>
      <c r="L149" s="1052">
        <f t="shared" si="40"/>
        <v>811</v>
      </c>
      <c r="M149" s="319">
        <f t="shared" ref="M149:N149" si="41">M148+M145</f>
        <v>811</v>
      </c>
      <c r="N149" s="319">
        <f t="shared" si="41"/>
        <v>0</v>
      </c>
      <c r="O149" s="275">
        <f t="shared" si="40"/>
        <v>811</v>
      </c>
      <c r="P149" s="319">
        <f t="shared" ref="P149:Q149" si="42">P148+P145</f>
        <v>811</v>
      </c>
      <c r="Q149" s="319">
        <f t="shared" si="42"/>
        <v>0</v>
      </c>
      <c r="R149" s="1535"/>
      <c r="S149" s="1536"/>
      <c r="T149" s="1536"/>
      <c r="U149" s="1536"/>
      <c r="V149" s="1536"/>
      <c r="W149" s="1536"/>
      <c r="X149" s="1536"/>
      <c r="Y149" s="1537"/>
    </row>
    <row r="150" spans="1:25" s="101" customFormat="1" ht="15.75" customHeight="1" thickBot="1" x14ac:dyDescent="0.35">
      <c r="A150" s="37" t="s">
        <v>13</v>
      </c>
      <c r="B150" s="1538" t="s">
        <v>40</v>
      </c>
      <c r="C150" s="1539"/>
      <c r="D150" s="1539"/>
      <c r="E150" s="1539"/>
      <c r="F150" s="1539"/>
      <c r="G150" s="1539"/>
      <c r="H150" s="1539"/>
      <c r="I150" s="188">
        <f t="shared" ref="I150:Q150" si="43">I142+I75+I26+I149</f>
        <v>11436.8</v>
      </c>
      <c r="J150" s="898">
        <f t="shared" si="43"/>
        <v>11436.8</v>
      </c>
      <c r="K150" s="898">
        <f t="shared" si="43"/>
        <v>7.531752999057062E-13</v>
      </c>
      <c r="L150" s="1053">
        <f t="shared" si="43"/>
        <v>9173.2000000000007</v>
      </c>
      <c r="M150" s="320">
        <f t="shared" si="43"/>
        <v>8969.2000000000007</v>
      </c>
      <c r="N150" s="320">
        <f t="shared" si="43"/>
        <v>-204</v>
      </c>
      <c r="O150" s="188">
        <f t="shared" si="43"/>
        <v>13686.499999999998</v>
      </c>
      <c r="P150" s="320">
        <f t="shared" si="43"/>
        <v>13686.499999999998</v>
      </c>
      <c r="Q150" s="320">
        <f t="shared" si="43"/>
        <v>0</v>
      </c>
      <c r="R150" s="1612"/>
      <c r="S150" s="1498"/>
      <c r="T150" s="1498"/>
      <c r="U150" s="1498"/>
      <c r="V150" s="1498"/>
      <c r="W150" s="1498"/>
      <c r="X150" s="1498"/>
      <c r="Y150" s="1499"/>
    </row>
    <row r="151" spans="1:25" s="101" customFormat="1" ht="15.75" customHeight="1" thickBot="1" x14ac:dyDescent="0.35">
      <c r="A151" s="304" t="s">
        <v>41</v>
      </c>
      <c r="B151" s="305" t="s">
        <v>42</v>
      </c>
      <c r="C151" s="306"/>
      <c r="D151" s="306"/>
      <c r="E151" s="306"/>
      <c r="F151" s="306"/>
      <c r="G151" s="306"/>
      <c r="H151" s="306"/>
      <c r="I151" s="189">
        <f t="shared" ref="I151:O151" si="44">I150</f>
        <v>11436.8</v>
      </c>
      <c r="J151" s="899">
        <f t="shared" ref="J151:K151" si="45">J150</f>
        <v>11436.8</v>
      </c>
      <c r="K151" s="899">
        <f t="shared" si="45"/>
        <v>7.531752999057062E-13</v>
      </c>
      <c r="L151" s="1054">
        <f t="shared" si="44"/>
        <v>9173.2000000000007</v>
      </c>
      <c r="M151" s="321">
        <f t="shared" ref="M151:N151" si="46">M150</f>
        <v>8969.2000000000007</v>
      </c>
      <c r="N151" s="321">
        <f t="shared" si="46"/>
        <v>-204</v>
      </c>
      <c r="O151" s="189">
        <f t="shared" si="44"/>
        <v>13686.499999999998</v>
      </c>
      <c r="P151" s="321">
        <f t="shared" ref="P151:Q151" si="47">P150</f>
        <v>13686.499999999998</v>
      </c>
      <c r="Q151" s="321">
        <f t="shared" si="47"/>
        <v>0</v>
      </c>
      <c r="R151" s="1627"/>
      <c r="S151" s="1500"/>
      <c r="T151" s="1500"/>
      <c r="U151" s="1500"/>
      <c r="V151" s="1500"/>
      <c r="W151" s="1500"/>
      <c r="X151" s="1500"/>
      <c r="Y151" s="1501"/>
    </row>
    <row r="152" spans="1:25" s="90" customFormat="1" ht="19" customHeight="1" thickBot="1" x14ac:dyDescent="0.35">
      <c r="A152" s="11"/>
      <c r="B152" s="1484" t="s">
        <v>43</v>
      </c>
      <c r="C152" s="1484"/>
      <c r="D152" s="1484"/>
      <c r="E152" s="1484"/>
      <c r="F152" s="1484"/>
      <c r="G152" s="1484"/>
      <c r="H152" s="1484"/>
      <c r="I152" s="1485"/>
      <c r="J152" s="1485"/>
      <c r="K152" s="1485"/>
      <c r="L152" s="1485"/>
      <c r="M152" s="1485"/>
      <c r="N152" s="1485"/>
      <c r="O152" s="1485"/>
      <c r="P152" s="1194"/>
      <c r="Q152" s="1194"/>
      <c r="R152" s="13"/>
      <c r="S152" s="124"/>
      <c r="T152" s="1076"/>
      <c r="U152" s="124"/>
      <c r="V152" s="124"/>
      <c r="W152" s="124"/>
      <c r="X152" s="124"/>
      <c r="Y152" s="124"/>
    </row>
    <row r="153" spans="1:25" s="90" customFormat="1" ht="74.25" customHeight="1" x14ac:dyDescent="0.3">
      <c r="A153" s="12"/>
      <c r="B153" s="1533" t="s">
        <v>44</v>
      </c>
      <c r="C153" s="1534"/>
      <c r="D153" s="1534"/>
      <c r="E153" s="1534"/>
      <c r="F153" s="1534"/>
      <c r="G153" s="1534"/>
      <c r="H153" s="1646"/>
      <c r="I153" s="331" t="s">
        <v>237</v>
      </c>
      <c r="J153" s="944" t="s">
        <v>234</v>
      </c>
      <c r="K153" s="1033" t="s">
        <v>233</v>
      </c>
      <c r="L153" s="331" t="s">
        <v>239</v>
      </c>
      <c r="M153" s="944" t="s">
        <v>235</v>
      </c>
      <c r="N153" s="1034" t="s">
        <v>233</v>
      </c>
      <c r="O153" s="331" t="s">
        <v>238</v>
      </c>
      <c r="P153" s="944" t="s">
        <v>236</v>
      </c>
      <c r="Q153" s="1033" t="s">
        <v>233</v>
      </c>
      <c r="R153" s="14"/>
      <c r="S153" s="53"/>
      <c r="T153" s="53"/>
      <c r="U153" s="53"/>
      <c r="V153" s="53"/>
      <c r="W153" s="53"/>
      <c r="X153" s="53"/>
      <c r="Y153" s="53"/>
    </row>
    <row r="154" spans="1:25" s="90" customFormat="1" x14ac:dyDescent="0.3">
      <c r="A154" s="12"/>
      <c r="B154" s="1390" t="s">
        <v>45</v>
      </c>
      <c r="C154" s="1391"/>
      <c r="D154" s="1391"/>
      <c r="E154" s="1391"/>
      <c r="F154" s="1391"/>
      <c r="G154" s="1391"/>
      <c r="H154" s="1392"/>
      <c r="I154" s="332">
        <f t="shared" ref="I154:O154" si="48">+I155+I161+I162+I163+I164</f>
        <v>11343.699999999999</v>
      </c>
      <c r="J154" s="945">
        <f t="shared" ref="J154:K154" si="49">+J155+J161+J162+J163+J164</f>
        <v>11343.699999999999</v>
      </c>
      <c r="K154" s="951">
        <f t="shared" si="49"/>
        <v>6.6791017161449417E-13</v>
      </c>
      <c r="L154" s="957">
        <f t="shared" si="48"/>
        <v>9173.1999999999989</v>
      </c>
      <c r="M154" s="339">
        <f t="shared" ref="M154:N154" si="50">+M155+M161+M162+M163+M164</f>
        <v>8969.1999999999989</v>
      </c>
      <c r="N154" s="945">
        <f t="shared" si="50"/>
        <v>-204</v>
      </c>
      <c r="O154" s="963">
        <f t="shared" si="48"/>
        <v>9852.5</v>
      </c>
      <c r="P154" s="945">
        <f t="shared" ref="P154:Q154" si="51">+P155+P161+P162+P163+P164</f>
        <v>9852.5</v>
      </c>
      <c r="Q154" s="951">
        <f t="shared" si="51"/>
        <v>0</v>
      </c>
      <c r="R154" s="15"/>
      <c r="S154" s="52"/>
      <c r="T154" s="52"/>
      <c r="U154" s="52"/>
      <c r="V154" s="52"/>
      <c r="W154" s="52"/>
      <c r="X154" s="52"/>
      <c r="Y154" s="52"/>
    </row>
    <row r="155" spans="1:25" s="90" customFormat="1" x14ac:dyDescent="0.3">
      <c r="A155" s="12"/>
      <c r="B155" s="1479" t="s">
        <v>132</v>
      </c>
      <c r="C155" s="1480"/>
      <c r="D155" s="1480"/>
      <c r="E155" s="1480"/>
      <c r="F155" s="1480"/>
      <c r="G155" s="1480"/>
      <c r="H155" s="1481"/>
      <c r="I155" s="333">
        <f t="shared" ref="I155:O155" si="52">SUM(I156:I160)</f>
        <v>10646.7</v>
      </c>
      <c r="J155" s="946">
        <f t="shared" ref="J155:K155" si="53">SUM(J156:J160)</f>
        <v>10740.300000000001</v>
      </c>
      <c r="K155" s="952">
        <f t="shared" si="53"/>
        <v>93.600000000000662</v>
      </c>
      <c r="L155" s="958">
        <f t="shared" si="52"/>
        <v>9173.1999999999989</v>
      </c>
      <c r="M155" s="340">
        <f t="shared" ref="M155:N155" si="54">SUM(M156:M160)</f>
        <v>8969.1999999999989</v>
      </c>
      <c r="N155" s="946">
        <f t="shared" si="54"/>
        <v>-204</v>
      </c>
      <c r="O155" s="964">
        <f t="shared" si="52"/>
        <v>9852.5</v>
      </c>
      <c r="P155" s="946">
        <f t="shared" ref="P155:Q155" si="55">SUM(P156:P160)</f>
        <v>9852.5</v>
      </c>
      <c r="Q155" s="952">
        <f t="shared" si="55"/>
        <v>0</v>
      </c>
      <c r="R155" s="15"/>
      <c r="S155" s="52"/>
      <c r="T155" s="52"/>
      <c r="U155" s="52"/>
      <c r="V155" s="52"/>
      <c r="W155" s="52"/>
      <c r="X155" s="52"/>
      <c r="Y155" s="52"/>
    </row>
    <row r="156" spans="1:25" s="90" customFormat="1" ht="12.75" customHeight="1" x14ac:dyDescent="0.3">
      <c r="A156" s="12"/>
      <c r="B156" s="1531" t="s">
        <v>113</v>
      </c>
      <c r="C156" s="1532"/>
      <c r="D156" s="1532"/>
      <c r="E156" s="1532"/>
      <c r="F156" s="1532"/>
      <c r="G156" s="1532"/>
      <c r="H156" s="1647"/>
      <c r="I156" s="218">
        <f>SUMIF(H14:H146,"sb",I14:I146)</f>
        <v>9104.9000000000015</v>
      </c>
      <c r="J156" s="368">
        <f>SUMIF(H14:H146,"sb",J14:J146)</f>
        <v>9104.9000000000015</v>
      </c>
      <c r="K156" s="870">
        <f>SUMIF(H14:H146,"sb",K14:K146)</f>
        <v>7.531752999057062E-13</v>
      </c>
      <c r="L156" s="873">
        <f>SUMIF(H14:H146,"sb",L14:L146)</f>
        <v>8842.7999999999993</v>
      </c>
      <c r="M156" s="301">
        <f>SUMIF(H14:H146,"sb",M14:M146)</f>
        <v>8638.7999999999993</v>
      </c>
      <c r="N156" s="368">
        <f>SUMIF(H14:H146,"sb",N14:N146)</f>
        <v>-204</v>
      </c>
      <c r="O156" s="965">
        <f>SUMIF(H14:H146,"sb",O14:O146)</f>
        <v>9522.1</v>
      </c>
      <c r="P156" s="368">
        <f>SUMIF(H14:H146,"sb",P14:P146)</f>
        <v>9522.1</v>
      </c>
      <c r="Q156" s="870">
        <f>SUMIF(H14:H146,"sb",Q14:Q146)</f>
        <v>0</v>
      </c>
      <c r="R156" s="59"/>
      <c r="S156" s="78"/>
      <c r="T156" s="78"/>
      <c r="U156" s="78"/>
      <c r="V156" s="78"/>
      <c r="W156" s="78"/>
      <c r="X156" s="78"/>
      <c r="Y156" s="78"/>
    </row>
    <row r="157" spans="1:25" s="90" customFormat="1" ht="29.5" customHeight="1" x14ac:dyDescent="0.3">
      <c r="A157" s="12"/>
      <c r="B157" s="1407" t="s">
        <v>229</v>
      </c>
      <c r="C157" s="1408"/>
      <c r="D157" s="1408"/>
      <c r="E157" s="1408"/>
      <c r="F157" s="1408"/>
      <c r="G157" s="1408"/>
      <c r="H157" s="1409"/>
      <c r="I157" s="218">
        <f>SUMIF(H14:H146,"sb(es)",I14:I146)</f>
        <v>32.6</v>
      </c>
      <c r="J157" s="368">
        <f>SUMIF(H14:H146,"sb(es)",J14:J146)</f>
        <v>32.6</v>
      </c>
      <c r="K157" s="870">
        <f>SUMIF(H14:H146,"sb(es)",K14:K146)</f>
        <v>0</v>
      </c>
      <c r="L157" s="873">
        <f>SUMIF(H14:H146,"sb(es)",L14:L146)</f>
        <v>0</v>
      </c>
      <c r="M157" s="301">
        <f>SUMIF(H14:H146,"sb(es)",M14:M146)</f>
        <v>0</v>
      </c>
      <c r="N157" s="368">
        <f>SUMIF(H14:H146,"sb(es)",N14:N146)</f>
        <v>0</v>
      </c>
      <c r="O157" s="965">
        <f>SUMIF(H14:H146,"sb(es)",O14:O146)</f>
        <v>0</v>
      </c>
      <c r="P157" s="368">
        <f>SUMIF(H14:H146,"sb(es)",P14:P146)</f>
        <v>0</v>
      </c>
      <c r="Q157" s="870">
        <f>SUMIF(H14:H146,"sb(es)",Q14:Q146)</f>
        <v>0</v>
      </c>
      <c r="R157" s="59"/>
      <c r="S157" s="78"/>
      <c r="T157" s="78"/>
      <c r="U157" s="78"/>
      <c r="V157" s="78"/>
      <c r="W157" s="78"/>
      <c r="X157" s="78"/>
      <c r="Y157" s="78"/>
    </row>
    <row r="158" spans="1:25" s="90" customFormat="1" ht="29.5" customHeight="1" x14ac:dyDescent="0.3">
      <c r="A158" s="12"/>
      <c r="B158" s="1407" t="s">
        <v>101</v>
      </c>
      <c r="C158" s="1408"/>
      <c r="D158" s="1408"/>
      <c r="E158" s="1408"/>
      <c r="F158" s="1408"/>
      <c r="G158" s="1408"/>
      <c r="H158" s="1409"/>
      <c r="I158" s="218">
        <f>SUMIF(H14:H146,"sb(vb)",I14:I146)</f>
        <v>2.8</v>
      </c>
      <c r="J158" s="368">
        <f>SUMIF(H14:H146,"sb(vb)",J14:J146)</f>
        <v>2.8</v>
      </c>
      <c r="K158" s="870">
        <f>SUMIF(H14:H146,"sb(vb)",K14:K146)</f>
        <v>0</v>
      </c>
      <c r="L158" s="873">
        <f>SUMIF(H14:H146,"sb(vb)",L14:L146)</f>
        <v>0</v>
      </c>
      <c r="M158" s="301">
        <f>SUMIF(H14:H146,"sb(vb)",M14:M146)</f>
        <v>0</v>
      </c>
      <c r="N158" s="368">
        <f>SUMIF(H14:H146,"sb(vb)",N14:N146)</f>
        <v>0</v>
      </c>
      <c r="O158" s="965">
        <f>SUMIF(H14:H146,"sb(vb)",O14:O146)</f>
        <v>0</v>
      </c>
      <c r="P158" s="368">
        <f>SUMIF(H14:H146,"sb(vb)",P14:P146)</f>
        <v>0</v>
      </c>
      <c r="Q158" s="870">
        <f>SUMIF(H14:H146,"sb(vb)",Q14:Q146)</f>
        <v>0</v>
      </c>
      <c r="R158" s="59"/>
      <c r="S158" s="173"/>
      <c r="T158" s="173"/>
      <c r="U158" s="173"/>
      <c r="V158" s="173"/>
      <c r="W158" s="173"/>
      <c r="X158" s="173"/>
      <c r="Y158" s="173"/>
    </row>
    <row r="159" spans="1:25" s="90" customFormat="1" ht="12.75" customHeight="1" x14ac:dyDescent="0.3">
      <c r="A159" s="12"/>
      <c r="B159" s="1540" t="s">
        <v>87</v>
      </c>
      <c r="C159" s="1541"/>
      <c r="D159" s="1541"/>
      <c r="E159" s="1541"/>
      <c r="F159" s="1541"/>
      <c r="G159" s="1541"/>
      <c r="H159" s="1644"/>
      <c r="I159" s="218">
        <f>SUMIF(H16:H148,"sb(p)",I16:I148)</f>
        <v>1206.3</v>
      </c>
      <c r="J159" s="368">
        <f>SUMIF(H16:H148,"sb(p)",J16:J148)</f>
        <v>1299.8999999999999</v>
      </c>
      <c r="K159" s="870">
        <f>SUMIF(H16:H148,"sb(p)",K16:K148)</f>
        <v>93.599999999999909</v>
      </c>
      <c r="L159" s="873">
        <f>SUMIF(H16:H148,"sb(p)",L16:L148)</f>
        <v>0</v>
      </c>
      <c r="M159" s="301">
        <f>SUMIF(H16:H148,"sb(p)",M16:M148)</f>
        <v>0</v>
      </c>
      <c r="N159" s="368">
        <f>SUMIF(H16:H148,"sb(p)",N16:N148)</f>
        <v>0</v>
      </c>
      <c r="O159" s="965">
        <f>SUMIF(H16:H148,"sb(p)",O16:O148)</f>
        <v>0</v>
      </c>
      <c r="P159" s="368">
        <f>SUMIF(H16:H148,"sb(p)",P16:P148)</f>
        <v>0</v>
      </c>
      <c r="Q159" s="870">
        <f>SUMIF(H16:H148,"sb(p)",Q16:Q148)</f>
        <v>0</v>
      </c>
      <c r="R159" s="59"/>
      <c r="S159" s="173"/>
      <c r="T159" s="173"/>
      <c r="U159" s="173"/>
      <c r="V159" s="173"/>
      <c r="W159" s="173"/>
      <c r="X159" s="173"/>
      <c r="Y159" s="173"/>
    </row>
    <row r="160" spans="1:25" s="90" customFormat="1" ht="15" customHeight="1" x14ac:dyDescent="0.3">
      <c r="A160" s="12"/>
      <c r="B160" s="1407" t="s">
        <v>114</v>
      </c>
      <c r="C160" s="1408"/>
      <c r="D160" s="1408"/>
      <c r="E160" s="1408"/>
      <c r="F160" s="1408"/>
      <c r="G160" s="1408"/>
      <c r="H160" s="1409"/>
      <c r="I160" s="334">
        <f>SUMIF(H14:H146,"sb(sp)",I14:I146)</f>
        <v>300.10000000000002</v>
      </c>
      <c r="J160" s="947">
        <f>SUMIF(H14:H146,"sb(sp)",J14:J146)</f>
        <v>300.10000000000002</v>
      </c>
      <c r="K160" s="953">
        <f>SUMIF(H14:H146,"sb(sp)",K14:K146)</f>
        <v>0</v>
      </c>
      <c r="L160" s="959">
        <f>SUMIF(H14:H146,"sb(sp)",L14:L146)</f>
        <v>330.4</v>
      </c>
      <c r="M160" s="341">
        <f>SUMIF(H14:H146,"sb(sp)",M14:M146)</f>
        <v>330.4</v>
      </c>
      <c r="N160" s="947">
        <f>SUMIF(H14:H146,"sb(sp)",N14:N146)</f>
        <v>0</v>
      </c>
      <c r="O160" s="966">
        <f>SUMIF(H14:H146,"sb(sp)",O14:O146)</f>
        <v>330.4</v>
      </c>
      <c r="P160" s="947">
        <f>SUMIF(H14:H146,"sb(sp)",P14:P146)</f>
        <v>330.4</v>
      </c>
      <c r="Q160" s="953">
        <f>SUMIF(H14:H146,"sb(sp)",Q14:Q146)</f>
        <v>0</v>
      </c>
      <c r="R160" s="59"/>
      <c r="S160" s="173"/>
      <c r="T160" s="173"/>
      <c r="U160" s="173"/>
      <c r="V160" s="173"/>
      <c r="W160" s="173"/>
      <c r="X160" s="173"/>
      <c r="Y160" s="173"/>
    </row>
    <row r="161" spans="1:28" s="90" customFormat="1" ht="29.5" customHeight="1" x14ac:dyDescent="0.3">
      <c r="A161" s="12"/>
      <c r="B161" s="1393" t="s">
        <v>130</v>
      </c>
      <c r="C161" s="1394"/>
      <c r="D161" s="1394"/>
      <c r="E161" s="1394"/>
      <c r="F161" s="1394"/>
      <c r="G161" s="1394"/>
      <c r="H161" s="1395"/>
      <c r="I161" s="335">
        <f>SUMIF(H16:H148,"sb(esl)",I16:I148)</f>
        <v>191.8</v>
      </c>
      <c r="J161" s="948">
        <f>SUMIF(H16:H148,"sb(esl)",J16:J148)</f>
        <v>191.8</v>
      </c>
      <c r="K161" s="954">
        <f>SUMIF(H16:H148,"sb(esl)",K16:K148)</f>
        <v>0</v>
      </c>
      <c r="L161" s="960">
        <f>SUMIF(H16:H148,"sb(esl)",L16:L148)</f>
        <v>0</v>
      </c>
      <c r="M161" s="342">
        <f>SUMIF(H16:H148,"sb(esl)",M16:M148)</f>
        <v>0</v>
      </c>
      <c r="N161" s="948">
        <f>SUMIF(H16:H148,"sb(esl)",N16:N148)</f>
        <v>0</v>
      </c>
      <c r="O161" s="967">
        <f>SUMIF(H16:H148,"sb(esl)",O16:O148)</f>
        <v>0</v>
      </c>
      <c r="P161" s="948">
        <f>SUMIF(H16:H148,"sb(esl)",P16:P148)</f>
        <v>0</v>
      </c>
      <c r="Q161" s="954">
        <f>SUMIF(H16:H148,"sb(esl)",Q16:Q148)</f>
        <v>0</v>
      </c>
      <c r="R161" s="59"/>
      <c r="S161" s="78"/>
      <c r="T161" s="78"/>
      <c r="U161" s="78"/>
      <c r="V161" s="78"/>
      <c r="W161" s="78"/>
      <c r="X161" s="78"/>
      <c r="Y161" s="78"/>
    </row>
    <row r="162" spans="1:28" s="90" customFormat="1" ht="28.9" customHeight="1" x14ac:dyDescent="0.3">
      <c r="A162" s="12"/>
      <c r="B162" s="1393" t="s">
        <v>131</v>
      </c>
      <c r="C162" s="1394"/>
      <c r="D162" s="1394"/>
      <c r="E162" s="1394"/>
      <c r="F162" s="1394"/>
      <c r="G162" s="1394"/>
      <c r="H162" s="1395"/>
      <c r="I162" s="335">
        <f>SUMIF(H16:H148,"sb(vbl)",I16:I148)</f>
        <v>17</v>
      </c>
      <c r="J162" s="948">
        <f>SUMIF(H16:H148,"sb(vbl)",J16:J148)</f>
        <v>17</v>
      </c>
      <c r="K162" s="954">
        <f>SUMIF(H16:H148,"sb(vbl)",K16:K148)</f>
        <v>0</v>
      </c>
      <c r="L162" s="960">
        <f>SUMIF(H16:H148,"sb(vbl)",L16:L148)</f>
        <v>0</v>
      </c>
      <c r="M162" s="342">
        <f>SUMIF(H16:H148,"sb(vbl)",M16:M148)</f>
        <v>0</v>
      </c>
      <c r="N162" s="948">
        <f>SUMIF(H16:H148,"sb(vbl)",N16:N148)</f>
        <v>0</v>
      </c>
      <c r="O162" s="967">
        <f>SUMIF(H16:H148,"sb(vbl)",O16:O148)</f>
        <v>0</v>
      </c>
      <c r="P162" s="948">
        <f>SUMIF(H16:H148,"sb(vbl)",P16:P148)</f>
        <v>0</v>
      </c>
      <c r="Q162" s="954">
        <f>SUMIF(H16:H148,"sb(vbl)",Q16:Q148)</f>
        <v>0</v>
      </c>
      <c r="R162" s="59"/>
      <c r="S162" s="173"/>
      <c r="T162" s="173"/>
      <c r="U162" s="173"/>
      <c r="V162" s="173"/>
      <c r="W162" s="173"/>
      <c r="X162" s="173"/>
      <c r="Y162" s="173"/>
    </row>
    <row r="163" spans="1:28" s="90" customFormat="1" ht="14.5" customHeight="1" x14ac:dyDescent="0.3">
      <c r="A163" s="12"/>
      <c r="B163" s="1400" t="s">
        <v>56</v>
      </c>
      <c r="C163" s="1401"/>
      <c r="D163" s="1401"/>
      <c r="E163" s="1401"/>
      <c r="F163" s="1401"/>
      <c r="G163" s="1401"/>
      <c r="H163" s="1645"/>
      <c r="I163" s="335">
        <f>SUMIF(H14:H147,"sb(l)",I14:I147)</f>
        <v>406.4</v>
      </c>
      <c r="J163" s="948">
        <f>SUMIF(H14:H147,"sb(l)",J14:J147)</f>
        <v>312.79999999999995</v>
      </c>
      <c r="K163" s="954">
        <f>SUMIF(H14:H147,"sb(l)",K14:K147)</f>
        <v>-93.6</v>
      </c>
      <c r="L163" s="960">
        <f>SUMIF(H14:H146,"sb(l)",L14:L146)</f>
        <v>0</v>
      </c>
      <c r="M163" s="342">
        <f>SUMIF(H14:H146,"sb(l)",M14:M146)</f>
        <v>0</v>
      </c>
      <c r="N163" s="948">
        <f>SUMIF(H14:H146,"sb(l)",N14:N146)</f>
        <v>0</v>
      </c>
      <c r="O163" s="967">
        <f>SUMIF(H14:H146,"sb(l)",O14:O146)</f>
        <v>0</v>
      </c>
      <c r="P163" s="948">
        <f>SUMIF(H14:H146,"sb(l)",P14:P146)</f>
        <v>0</v>
      </c>
      <c r="Q163" s="954">
        <f>SUMIF(H14:H146,"sb(l)",Q14:Q146)</f>
        <v>0</v>
      </c>
      <c r="R163" s="59"/>
      <c r="S163" s="173"/>
      <c r="T163" s="173"/>
      <c r="U163" s="173"/>
      <c r="V163" s="173"/>
      <c r="W163" s="173"/>
      <c r="X163" s="173"/>
      <c r="Y163" s="173"/>
    </row>
    <row r="164" spans="1:28" s="90" customFormat="1" ht="14.5" customHeight="1" x14ac:dyDescent="0.3">
      <c r="A164" s="12"/>
      <c r="B164" s="1393" t="s">
        <v>54</v>
      </c>
      <c r="C164" s="1394"/>
      <c r="D164" s="1394"/>
      <c r="E164" s="1394"/>
      <c r="F164" s="1394"/>
      <c r="G164" s="1394"/>
      <c r="H164" s="1395"/>
      <c r="I164" s="335">
        <f>SUMIF(H14:H146,"sb(spl)",I14:I146)</f>
        <v>81.8</v>
      </c>
      <c r="J164" s="948">
        <f>SUMIF(H14:H146,"sb(spl)",J14:J146)</f>
        <v>81.8</v>
      </c>
      <c r="K164" s="954">
        <f>SUMIF(H14:H146,"sb(spl)",K14:K146)</f>
        <v>0</v>
      </c>
      <c r="L164" s="960">
        <f>SUMIF(H14:H146,"sb(spl)",L14:L146)</f>
        <v>0</v>
      </c>
      <c r="M164" s="342">
        <f>SUMIF(H14:H146,"sb(spl)",M14:M146)</f>
        <v>0</v>
      </c>
      <c r="N164" s="948">
        <f>SUMIF(H14:H146,"sb(spl)",N14:N146)</f>
        <v>0</v>
      </c>
      <c r="O164" s="967">
        <f>SUMIF(H14:H146,"sb(spl)",O14:O146)</f>
        <v>0</v>
      </c>
      <c r="P164" s="948">
        <f>SUMIF(H14:H146,"sb(spl)",P14:P146)</f>
        <v>0</v>
      </c>
      <c r="Q164" s="954">
        <f>SUMIF(H14:H146,"sb(spl)",Q14:Q146)</f>
        <v>0</v>
      </c>
      <c r="R164" s="59"/>
      <c r="S164" s="173"/>
      <c r="T164" s="173"/>
      <c r="U164" s="173"/>
      <c r="V164" s="173"/>
      <c r="W164" s="173"/>
      <c r="X164" s="173"/>
      <c r="Y164" s="173"/>
    </row>
    <row r="165" spans="1:28" s="90" customFormat="1" x14ac:dyDescent="0.3">
      <c r="A165" s="12"/>
      <c r="B165" s="1390" t="s">
        <v>46</v>
      </c>
      <c r="C165" s="1391"/>
      <c r="D165" s="1391"/>
      <c r="E165" s="1391"/>
      <c r="F165" s="1391"/>
      <c r="G165" s="1391"/>
      <c r="H165" s="1392"/>
      <c r="I165" s="336">
        <f t="shared" ref="I165:Q165" si="56">SUM(I166:I167)</f>
        <v>93.100000000000009</v>
      </c>
      <c r="J165" s="949">
        <f t="shared" si="56"/>
        <v>93.100000000000009</v>
      </c>
      <c r="K165" s="955">
        <f t="shared" si="56"/>
        <v>0</v>
      </c>
      <c r="L165" s="961">
        <f t="shared" si="56"/>
        <v>0</v>
      </c>
      <c r="M165" s="343">
        <f t="shared" si="56"/>
        <v>0</v>
      </c>
      <c r="N165" s="949">
        <f t="shared" si="56"/>
        <v>0</v>
      </c>
      <c r="O165" s="968">
        <f t="shared" si="56"/>
        <v>3834</v>
      </c>
      <c r="P165" s="949">
        <f t="shared" si="56"/>
        <v>3834</v>
      </c>
      <c r="Q165" s="955">
        <f t="shared" si="56"/>
        <v>0</v>
      </c>
      <c r="R165" s="59"/>
      <c r="S165" s="174"/>
      <c r="T165" s="174"/>
      <c r="U165" s="174"/>
      <c r="V165" s="174"/>
      <c r="W165" s="174"/>
      <c r="X165" s="174"/>
      <c r="Y165" s="174"/>
    </row>
    <row r="166" spans="1:28" s="90" customFormat="1" x14ac:dyDescent="0.3">
      <c r="A166" s="12"/>
      <c r="B166" s="1528" t="s">
        <v>47</v>
      </c>
      <c r="C166" s="1529"/>
      <c r="D166" s="1529"/>
      <c r="E166" s="1529"/>
      <c r="F166" s="1529"/>
      <c r="G166" s="1529"/>
      <c r="H166" s="1530"/>
      <c r="I166" s="338">
        <f>SUMIF(H14:H146,"lrvb",I14:I146)</f>
        <v>0</v>
      </c>
      <c r="J166" s="1040">
        <f>SUMIF(H14:H146,"lrvb",J14:J146)</f>
        <v>0</v>
      </c>
      <c r="K166" s="1041">
        <f>SUMIF(H14:H146,"lrvb",K14:K146)</f>
        <v>0</v>
      </c>
      <c r="L166" s="1042">
        <f>SUMIF(H14:H146,"lrvb",L14:L146)</f>
        <v>0</v>
      </c>
      <c r="M166" s="345">
        <f>SUMIF(H14:H146,"lrvb",M14:M146)</f>
        <v>0</v>
      </c>
      <c r="N166" s="1040">
        <f>SUMIF(H14:H146,"lrvb",N14:N146)</f>
        <v>0</v>
      </c>
      <c r="O166" s="1043">
        <f>SUMIF(H14:H146,"lrvb",O14:O146)</f>
        <v>3834</v>
      </c>
      <c r="P166" s="1040">
        <f>SUMIF(H14:H146,"lrvb",P14:P146)</f>
        <v>3834</v>
      </c>
      <c r="Q166" s="1041">
        <f>SUMIF(H14:H146,"lrvb",Q14:Q146)</f>
        <v>0</v>
      </c>
      <c r="R166" s="59"/>
      <c r="S166" s="176"/>
      <c r="T166" s="176"/>
      <c r="U166" s="176"/>
      <c r="V166" s="176"/>
      <c r="W166" s="176"/>
      <c r="X166" s="176"/>
      <c r="Y166" s="176"/>
      <c r="AB166" s="99"/>
    </row>
    <row r="167" spans="1:28" s="90" customFormat="1" x14ac:dyDescent="0.3">
      <c r="A167" s="12"/>
      <c r="B167" s="1528" t="s">
        <v>246</v>
      </c>
      <c r="C167" s="1529"/>
      <c r="D167" s="1529"/>
      <c r="E167" s="1529"/>
      <c r="F167" s="1529"/>
      <c r="G167" s="1529"/>
      <c r="H167" s="1530"/>
      <c r="I167" s="337">
        <f>SUMIF(H15:H148,"kt",I15:I148)</f>
        <v>93.100000000000009</v>
      </c>
      <c r="J167" s="950">
        <f>SUMIF(H15:H148,"kt",J15:J148)</f>
        <v>93.100000000000009</v>
      </c>
      <c r="K167" s="956">
        <f>SUMIF(H15:H148,"kt",K15:K148)</f>
        <v>0</v>
      </c>
      <c r="L167" s="962">
        <f>SUMIF(H15:H148,"kt",L15:L148)</f>
        <v>0</v>
      </c>
      <c r="M167" s="344">
        <f>SUMIF(H15:H148,"kt",M15:M148)</f>
        <v>0</v>
      </c>
      <c r="N167" s="950">
        <f>SUMIF(H15:H148,"kt",N15:N148)</f>
        <v>0</v>
      </c>
      <c r="O167" s="969">
        <f>SUMIF(H15:H148,"kt",O15:O148)</f>
        <v>0</v>
      </c>
      <c r="P167" s="950">
        <f>SUMIF(H15:H148,"kt",P15:P148)</f>
        <v>0</v>
      </c>
      <c r="Q167" s="956">
        <f>SUMIF(H15:H148,"kt",Q15:Q148)</f>
        <v>0</v>
      </c>
      <c r="R167" s="59"/>
      <c r="S167" s="176"/>
      <c r="T167" s="176"/>
      <c r="U167" s="176"/>
      <c r="V167" s="176"/>
      <c r="W167" s="176"/>
      <c r="X167" s="176"/>
      <c r="Y167" s="176"/>
      <c r="AB167" s="99"/>
    </row>
    <row r="168" spans="1:28" ht="13.5" thickBot="1" x14ac:dyDescent="0.35">
      <c r="A168" s="16"/>
      <c r="B168" s="1496" t="s">
        <v>18</v>
      </c>
      <c r="C168" s="1497"/>
      <c r="D168" s="1497"/>
      <c r="E168" s="1497"/>
      <c r="F168" s="1497"/>
      <c r="G168" s="1497"/>
      <c r="H168" s="1628"/>
      <c r="I168" s="280">
        <f>I165+I154</f>
        <v>11436.8</v>
      </c>
      <c r="J168" s="863">
        <f t="shared" ref="J168:K168" si="57">J165+J154</f>
        <v>11436.8</v>
      </c>
      <c r="K168" s="869">
        <f t="shared" si="57"/>
        <v>6.6791017161449417E-13</v>
      </c>
      <c r="L168" s="872">
        <f t="shared" ref="L168:O168" si="58">L165+L154</f>
        <v>9173.1999999999989</v>
      </c>
      <c r="M168" s="318">
        <f>M165+M154</f>
        <v>8969.1999999999989</v>
      </c>
      <c r="N168" s="863">
        <f t="shared" ref="N168" si="59">N165+N154</f>
        <v>-204</v>
      </c>
      <c r="O168" s="970">
        <f t="shared" si="58"/>
        <v>13686.5</v>
      </c>
      <c r="P168" s="863">
        <f t="shared" ref="P168:Q168" si="60">P165+P154</f>
        <v>13686.5</v>
      </c>
      <c r="Q168" s="869">
        <f t="shared" si="60"/>
        <v>0</v>
      </c>
      <c r="R168" s="59"/>
      <c r="S168" s="175"/>
      <c r="T168" s="175"/>
      <c r="U168" s="175"/>
      <c r="V168" s="175"/>
      <c r="W168" s="175"/>
      <c r="X168" s="175"/>
      <c r="Y168" s="175"/>
    </row>
    <row r="169" spans="1:28" x14ac:dyDescent="0.3">
      <c r="E169" s="169" t="s">
        <v>70</v>
      </c>
      <c r="F169" s="169"/>
      <c r="G169" s="169"/>
      <c r="H169" s="169"/>
    </row>
    <row r="170" spans="1:28" x14ac:dyDescent="0.3">
      <c r="I170" s="716">
        <f>+I168-I151</f>
        <v>0</v>
      </c>
      <c r="J170" s="716"/>
      <c r="K170" s="716"/>
      <c r="L170" s="716">
        <f>+L168-L151</f>
        <v>0</v>
      </c>
      <c r="M170" s="716"/>
      <c r="N170" s="716"/>
      <c r="O170" s="716">
        <f>+O168-O151</f>
        <v>0</v>
      </c>
      <c r="P170" s="1250"/>
      <c r="Q170" s="1250"/>
    </row>
    <row r="171" spans="1:28" x14ac:dyDescent="0.3">
      <c r="H171" s="215"/>
      <c r="I171" s="1335"/>
      <c r="J171" s="1335"/>
      <c r="K171" s="1335"/>
      <c r="L171" s="1335"/>
      <c r="M171" s="1335"/>
      <c r="N171" s="1335"/>
      <c r="O171" s="1335"/>
      <c r="P171" s="310"/>
      <c r="Q171" s="310"/>
      <c r="R171" s="215"/>
    </row>
    <row r="172" spans="1:28" x14ac:dyDescent="0.3">
      <c r="H172" s="215"/>
      <c r="I172" s="311"/>
      <c r="J172" s="311"/>
      <c r="K172" s="311"/>
      <c r="L172" s="311"/>
      <c r="M172" s="311"/>
      <c r="N172" s="311"/>
      <c r="O172" s="311"/>
      <c r="P172" s="311"/>
      <c r="Q172" s="311"/>
      <c r="R172" s="215"/>
    </row>
    <row r="173" spans="1:28" x14ac:dyDescent="0.3">
      <c r="H173" s="216"/>
      <c r="I173" s="312"/>
      <c r="J173" s="312"/>
      <c r="K173" s="312"/>
      <c r="L173" s="312"/>
      <c r="M173" s="312"/>
      <c r="N173" s="312"/>
      <c r="O173" s="312"/>
      <c r="P173" s="312"/>
      <c r="Q173" s="312"/>
      <c r="R173" s="215"/>
    </row>
    <row r="174" spans="1:28" x14ac:dyDescent="0.3">
      <c r="H174" s="216"/>
      <c r="I174" s="312"/>
      <c r="J174" s="312"/>
      <c r="K174" s="312"/>
      <c r="L174" s="312"/>
      <c r="M174" s="312"/>
      <c r="N174" s="312"/>
      <c r="O174" s="312"/>
      <c r="P174" s="312"/>
      <c r="Q174" s="312"/>
      <c r="R174" s="215"/>
    </row>
    <row r="175" spans="1:28" x14ac:dyDescent="0.3">
      <c r="H175" s="215"/>
      <c r="I175" s="311"/>
      <c r="J175" s="311"/>
      <c r="K175" s="311"/>
      <c r="L175" s="311"/>
      <c r="M175" s="311"/>
      <c r="N175" s="311"/>
      <c r="O175" s="311"/>
      <c r="P175" s="311"/>
      <c r="Q175" s="311"/>
      <c r="R175" s="215"/>
    </row>
  </sheetData>
  <mergeCells count="207">
    <mergeCell ref="Y40:Y41"/>
    <mergeCell ref="Y42:Y46"/>
    <mergeCell ref="Y47:Y49"/>
    <mergeCell ref="Y20:Y22"/>
    <mergeCell ref="B167:H167"/>
    <mergeCell ref="R1:W1"/>
    <mergeCell ref="A3:W3"/>
    <mergeCell ref="A4:W4"/>
    <mergeCell ref="A5:W5"/>
    <mergeCell ref="S6:W6"/>
    <mergeCell ref="A7:A9"/>
    <mergeCell ref="B7:B9"/>
    <mergeCell ref="C7:C9"/>
    <mergeCell ref="D7:D9"/>
    <mergeCell ref="E7:E9"/>
    <mergeCell ref="R7:X7"/>
    <mergeCell ref="S8:X8"/>
    <mergeCell ref="D14:D16"/>
    <mergeCell ref="E14:E16"/>
    <mergeCell ref="F14:F16"/>
    <mergeCell ref="G14:G16"/>
    <mergeCell ref="R15:R16"/>
    <mergeCell ref="C13:Y13"/>
    <mergeCell ref="R8:R9"/>
    <mergeCell ref="A17:A19"/>
    <mergeCell ref="B17:B19"/>
    <mergeCell ref="C17:C19"/>
    <mergeCell ref="D17:D19"/>
    <mergeCell ref="E17:E19"/>
    <mergeCell ref="F17:F19"/>
    <mergeCell ref="G7:G9"/>
    <mergeCell ref="H7:H9"/>
    <mergeCell ref="I7:I9"/>
    <mergeCell ref="B12:Y12"/>
    <mergeCell ref="F7:F9"/>
    <mergeCell ref="L7:L9"/>
    <mergeCell ref="O7:O9"/>
    <mergeCell ref="Y14:Y16"/>
    <mergeCell ref="G17:G19"/>
    <mergeCell ref="R18:R19"/>
    <mergeCell ref="U18:U19"/>
    <mergeCell ref="A10:Y10"/>
    <mergeCell ref="A11:Y11"/>
    <mergeCell ref="A20:A22"/>
    <mergeCell ref="B20:B22"/>
    <mergeCell ref="C20:C22"/>
    <mergeCell ref="D20:D22"/>
    <mergeCell ref="E20:E22"/>
    <mergeCell ref="F20:F22"/>
    <mergeCell ref="G20:G22"/>
    <mergeCell ref="R48:R49"/>
    <mergeCell ref="S48:S49"/>
    <mergeCell ref="D33:D36"/>
    <mergeCell ref="H33:H36"/>
    <mergeCell ref="I33:I36"/>
    <mergeCell ref="J33:J36"/>
    <mergeCell ref="K33:K36"/>
    <mergeCell ref="D42:D46"/>
    <mergeCell ref="E42:E46"/>
    <mergeCell ref="C26:H26"/>
    <mergeCell ref="D28:D29"/>
    <mergeCell ref="R28:R29"/>
    <mergeCell ref="R30:R31"/>
    <mergeCell ref="R26:Y26"/>
    <mergeCell ref="C27:Y27"/>
    <mergeCell ref="R21:R22"/>
    <mergeCell ref="Y33:Y36"/>
    <mergeCell ref="S50:S51"/>
    <mergeCell ref="U50:U51"/>
    <mergeCell ref="W50:W51"/>
    <mergeCell ref="D61:D62"/>
    <mergeCell ref="S61:S62"/>
    <mergeCell ref="U61:U62"/>
    <mergeCell ref="R71:R72"/>
    <mergeCell ref="R68:R69"/>
    <mergeCell ref="A71:A72"/>
    <mergeCell ref="B71:B72"/>
    <mergeCell ref="C71:C72"/>
    <mergeCell ref="D71:D72"/>
    <mergeCell ref="D68:D70"/>
    <mergeCell ref="R101:R102"/>
    <mergeCell ref="C75:H75"/>
    <mergeCell ref="Y66:Y67"/>
    <mergeCell ref="Y68:Y70"/>
    <mergeCell ref="A23:A25"/>
    <mergeCell ref="B23:B25"/>
    <mergeCell ref="C23:C25"/>
    <mergeCell ref="D23:D25"/>
    <mergeCell ref="E23:E25"/>
    <mergeCell ref="F23:F25"/>
    <mergeCell ref="G23:G25"/>
    <mergeCell ref="R23:R25"/>
    <mergeCell ref="A63:A65"/>
    <mergeCell ref="B63:B65"/>
    <mergeCell ref="C63:C65"/>
    <mergeCell ref="D63:D65"/>
    <mergeCell ref="E63:E65"/>
    <mergeCell ref="F63:F65"/>
    <mergeCell ref="A73:A74"/>
    <mergeCell ref="B73:B74"/>
    <mergeCell ref="W61:W62"/>
    <mergeCell ref="U48:U49"/>
    <mergeCell ref="W48:W49"/>
    <mergeCell ref="D50:D51"/>
    <mergeCell ref="C77:C79"/>
    <mergeCell ref="D77:D79"/>
    <mergeCell ref="R78:R79"/>
    <mergeCell ref="R75:Y75"/>
    <mergeCell ref="C76:Y76"/>
    <mergeCell ref="D66:D67"/>
    <mergeCell ref="F66:F67"/>
    <mergeCell ref="R66:R67"/>
    <mergeCell ref="B77:B79"/>
    <mergeCell ref="D73:D74"/>
    <mergeCell ref="R73:R74"/>
    <mergeCell ref="C73:C74"/>
    <mergeCell ref="B166:H166"/>
    <mergeCell ref="B168:H168"/>
    <mergeCell ref="Y7:Y9"/>
    <mergeCell ref="J7:J9"/>
    <mergeCell ref="K7:K9"/>
    <mergeCell ref="M7:M9"/>
    <mergeCell ref="N7:N9"/>
    <mergeCell ref="P7:P9"/>
    <mergeCell ref="Q7:Q9"/>
    <mergeCell ref="B159:H159"/>
    <mergeCell ref="B160:H160"/>
    <mergeCell ref="B161:H161"/>
    <mergeCell ref="B162:H162"/>
    <mergeCell ref="B163:H163"/>
    <mergeCell ref="B164:H164"/>
    <mergeCell ref="B153:H153"/>
    <mergeCell ref="B154:H154"/>
    <mergeCell ref="B155:H155"/>
    <mergeCell ref="B156:H156"/>
    <mergeCell ref="R64:R65"/>
    <mergeCell ref="D47:D49"/>
    <mergeCell ref="H47:H48"/>
    <mergeCell ref="B157:H157"/>
    <mergeCell ref="Y63:Y65"/>
    <mergeCell ref="Y146:Y148"/>
    <mergeCell ref="D140:D141"/>
    <mergeCell ref="R140:R141"/>
    <mergeCell ref="C143:Y143"/>
    <mergeCell ref="R119:R120"/>
    <mergeCell ref="S119:S120"/>
    <mergeCell ref="T119:T120"/>
    <mergeCell ref="U119:U120"/>
    <mergeCell ref="B165:H165"/>
    <mergeCell ref="B152:O152"/>
    <mergeCell ref="D144:D145"/>
    <mergeCell ref="R144:R145"/>
    <mergeCell ref="B146:B148"/>
    <mergeCell ref="C146:C148"/>
    <mergeCell ref="D146:D148"/>
    <mergeCell ref="E146:E148"/>
    <mergeCell ref="G146:G148"/>
    <mergeCell ref="R146:R148"/>
    <mergeCell ref="R151:Y151"/>
    <mergeCell ref="D90:D95"/>
    <mergeCell ref="D107:D108"/>
    <mergeCell ref="H107:H108"/>
    <mergeCell ref="Y107:Y108"/>
    <mergeCell ref="D96:D98"/>
    <mergeCell ref="R96:R98"/>
    <mergeCell ref="S96:S98"/>
    <mergeCell ref="T96:T98"/>
    <mergeCell ref="B158:H158"/>
    <mergeCell ref="C149:H149"/>
    <mergeCell ref="R149:Y149"/>
    <mergeCell ref="R150:Y150"/>
    <mergeCell ref="B150:H150"/>
    <mergeCell ref="D114:D115"/>
    <mergeCell ref="D133:D135"/>
    <mergeCell ref="E141:H141"/>
    <mergeCell ref="C142:H142"/>
    <mergeCell ref="R142:Y142"/>
    <mergeCell ref="W119:W120"/>
    <mergeCell ref="X119:X120"/>
    <mergeCell ref="Y119:Y120"/>
    <mergeCell ref="Y140:Y141"/>
    <mergeCell ref="Y144:Y145"/>
    <mergeCell ref="Y133:Y138"/>
    <mergeCell ref="U96:U98"/>
    <mergeCell ref="V96:V98"/>
    <mergeCell ref="W96:W98"/>
    <mergeCell ref="Y101:Y102"/>
    <mergeCell ref="X96:X98"/>
    <mergeCell ref="Y96:Y98"/>
    <mergeCell ref="Z108:AB108"/>
    <mergeCell ref="V119:V120"/>
    <mergeCell ref="D80:D85"/>
    <mergeCell ref="F89:F90"/>
    <mergeCell ref="D99:D100"/>
    <mergeCell ref="D101:D102"/>
    <mergeCell ref="D112:D113"/>
    <mergeCell ref="D103:D106"/>
    <mergeCell ref="Y103:Y106"/>
    <mergeCell ref="R105:R106"/>
    <mergeCell ref="R90:R95"/>
    <mergeCell ref="S90:S95"/>
    <mergeCell ref="T90:T95"/>
    <mergeCell ref="U90:U95"/>
    <mergeCell ref="V90:V95"/>
    <mergeCell ref="W90:W95"/>
    <mergeCell ref="X90:X95"/>
    <mergeCell ref="Y90:Y95"/>
  </mergeCells>
  <pageMargins left="0.7" right="0.7" top="0.75" bottom="0.75" header="0.3" footer="0.3"/>
  <pageSetup paperSize="9" scale="58" fitToHeight="0" orientation="landscape" r:id="rId1"/>
  <rowBreaks count="4" manualBreakCount="4">
    <brk id="37" max="25" man="1"/>
    <brk id="67" max="25" man="1"/>
    <brk id="110" max="25" man="1"/>
    <brk id="132"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5</vt:i4>
      </vt:variant>
    </vt:vector>
  </HeadingPairs>
  <TitlesOfParts>
    <vt:vector size="8" baseType="lpstr">
      <vt:lpstr>Aiškinamoji lentelė</vt:lpstr>
      <vt:lpstr>11 programa</vt:lpstr>
      <vt:lpstr>Lyginamasis variantas</vt:lpstr>
      <vt:lpstr>'11 programa'!Print_Area</vt:lpstr>
      <vt:lpstr>'Aiškinamoji lentelė'!Print_Area</vt:lpstr>
      <vt:lpstr>'Lyginamasis variantas'!Print_Area</vt:lpstr>
      <vt:lpstr>'11 programa'!Print_Titles</vt:lpstr>
      <vt:lpstr>'Aiškinamoji lentelė'!Print_Titles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Inga Mikalauskienė</cp:lastModifiedBy>
  <cp:lastPrinted>2021-11-02T20:01:43Z</cp:lastPrinted>
  <dcterms:created xsi:type="dcterms:W3CDTF">2015-11-25T08:18:21Z</dcterms:created>
  <dcterms:modified xsi:type="dcterms:W3CDTF">2021-11-02T20:01:49Z</dcterms:modified>
</cp:coreProperties>
</file>