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1-2023 SVP keitimas\2021-2023 SVP (lapkričio keitimas)\"/>
    </mc:Choice>
  </mc:AlternateContent>
  <bookViews>
    <workbookView xWindow="-120" yWindow="-120" windowWidth="24120" windowHeight="9720"/>
  </bookViews>
  <sheets>
    <sheet name="5 programa" sheetId="4" r:id="rId1"/>
    <sheet name="Lyginamasis variantas" sheetId="5" state="hidden" r:id="rId2"/>
    <sheet name="Aiškinamoji lentelė " sheetId="3" state="hidden" r:id="rId3"/>
  </sheets>
  <definedNames>
    <definedName name="_xlnm.Print_Area" localSheetId="0">'5 programa'!$A$1:$M$173</definedName>
    <definedName name="_xlnm.Print_Area" localSheetId="2">'Aiškinamoji lentelė '!$A$1:$Q$168</definedName>
    <definedName name="_xlnm.Print_Area" localSheetId="1">'Lyginamasis variantas'!$A$1:$W$176</definedName>
    <definedName name="_xlnm.Print_Titles" localSheetId="0">'5 programa'!$8:$10</definedName>
    <definedName name="_xlnm.Print_Titles" localSheetId="2">'Aiškinamoji lentelė '!$7:$9</definedName>
    <definedName name="_xlnm.Print_Titles" localSheetId="1">'Lyginamasis variantas'!$7:$9</definedName>
  </definedNames>
  <calcPr calcId="162913"/>
</workbook>
</file>

<file path=xl/calcChain.xml><?xml version="1.0" encoding="utf-8"?>
<calcChain xmlns="http://schemas.openxmlformats.org/spreadsheetml/2006/main">
  <c r="H116" i="5" l="1"/>
  <c r="I116" i="5" s="1"/>
  <c r="G135" i="4" l="1"/>
  <c r="G73" i="4"/>
  <c r="H140" i="5"/>
  <c r="H143" i="5"/>
  <c r="H109" i="5"/>
  <c r="H77" i="5"/>
  <c r="H86" i="5"/>
  <c r="G124" i="4" l="1"/>
  <c r="G110" i="4"/>
  <c r="H73" i="4"/>
  <c r="H36" i="4"/>
  <c r="G36" i="4"/>
  <c r="G17" i="4"/>
  <c r="H132" i="5"/>
  <c r="H129" i="5"/>
  <c r="H114" i="5"/>
  <c r="K77" i="5"/>
  <c r="K86" i="5"/>
  <c r="O37" i="5"/>
  <c r="K37" i="5"/>
  <c r="H37" i="5"/>
  <c r="O56" i="5"/>
  <c r="L56" i="5"/>
  <c r="I56" i="5"/>
  <c r="I20" i="5"/>
  <c r="H16" i="5"/>
  <c r="H121" i="5" l="1"/>
  <c r="H100" i="5"/>
  <c r="H108" i="5"/>
  <c r="G148" i="5" l="1"/>
  <c r="H148" i="5"/>
  <c r="G138" i="5"/>
  <c r="J109" i="5"/>
  <c r="G109" i="5"/>
  <c r="J77" i="5"/>
  <c r="G77" i="5"/>
  <c r="G47" i="5"/>
  <c r="G37" i="5"/>
  <c r="K109" i="5" l="1"/>
  <c r="H47" i="5"/>
  <c r="G133" i="4" l="1"/>
  <c r="H138" i="5"/>
  <c r="L109" i="5" l="1"/>
  <c r="H149" i="5" l="1"/>
  <c r="I149" i="5" s="1"/>
  <c r="I148" i="5"/>
  <c r="K146" i="5"/>
  <c r="L146" i="5" s="1"/>
  <c r="H147" i="5"/>
  <c r="I147" i="5" s="1"/>
  <c r="H145" i="5"/>
  <c r="I145" i="5" s="1"/>
  <c r="H144" i="5"/>
  <c r="I144" i="5" s="1"/>
  <c r="I143" i="5"/>
  <c r="N133" i="5"/>
  <c r="O133" i="5" s="1"/>
  <c r="N131" i="5"/>
  <c r="O131" i="5" s="1"/>
  <c r="N130" i="5"/>
  <c r="O130" i="5" s="1"/>
  <c r="K133" i="5"/>
  <c r="L133" i="5" s="1"/>
  <c r="K131" i="5"/>
  <c r="L131" i="5" s="1"/>
  <c r="K130" i="5"/>
  <c r="L130" i="5" s="1"/>
  <c r="H131" i="5"/>
  <c r="I131" i="5" s="1"/>
  <c r="H130" i="5"/>
  <c r="I130" i="5" s="1"/>
  <c r="G133" i="5"/>
  <c r="G128" i="5"/>
  <c r="M114" i="5"/>
  <c r="J114" i="5"/>
  <c r="N123" i="5"/>
  <c r="O123" i="5" s="1"/>
  <c r="N119" i="5"/>
  <c r="O119" i="5" s="1"/>
  <c r="N116" i="5"/>
  <c r="O116" i="5" s="1"/>
  <c r="K123" i="5"/>
  <c r="L123" i="5" s="1"/>
  <c r="K119" i="5"/>
  <c r="L119" i="5" s="1"/>
  <c r="J121" i="5"/>
  <c r="G121" i="5"/>
  <c r="G114" i="5"/>
  <c r="I104" i="5"/>
  <c r="I105" i="5"/>
  <c r="I106" i="5"/>
  <c r="I107" i="5"/>
  <c r="I109" i="5"/>
  <c r="I110" i="5"/>
  <c r="I111" i="5"/>
  <c r="I103" i="5"/>
  <c r="H112" i="5"/>
  <c r="G95" i="5"/>
  <c r="H96" i="5"/>
  <c r="I96" i="5" s="1"/>
  <c r="N90" i="5"/>
  <c r="O90" i="5" s="1"/>
  <c r="K90" i="5"/>
  <c r="L90" i="5" s="1"/>
  <c r="K88" i="5"/>
  <c r="L88" i="5" s="1"/>
  <c r="L86" i="5"/>
  <c r="H91" i="5"/>
  <c r="I91" i="5" s="1"/>
  <c r="H90" i="5"/>
  <c r="I90" i="5" s="1"/>
  <c r="H88" i="5"/>
  <c r="I88" i="5" s="1"/>
  <c r="I86" i="5"/>
  <c r="G98" i="5"/>
  <c r="J93" i="5"/>
  <c r="G78" i="5"/>
  <c r="N73" i="5"/>
  <c r="O73" i="5" s="1"/>
  <c r="N72" i="5"/>
  <c r="O72" i="5" s="1"/>
  <c r="N70" i="5"/>
  <c r="O70" i="5" s="1"/>
  <c r="N69" i="5"/>
  <c r="O69" i="5" s="1"/>
  <c r="N65" i="5"/>
  <c r="O65" i="5" s="1"/>
  <c r="N63" i="5"/>
  <c r="O63" i="5" s="1"/>
  <c r="K65" i="5"/>
  <c r="L65" i="5" s="1"/>
  <c r="K63" i="5"/>
  <c r="L63" i="5" s="1"/>
  <c r="H63" i="5"/>
  <c r="I63" i="5" s="1"/>
  <c r="G75" i="5"/>
  <c r="G62" i="5"/>
  <c r="N54" i="5"/>
  <c r="O54" i="5" s="1"/>
  <c r="N53" i="5"/>
  <c r="O53" i="5" s="1"/>
  <c r="K55" i="5"/>
  <c r="L55" i="5" s="1"/>
  <c r="H52" i="5"/>
  <c r="I52" i="5" s="1"/>
  <c r="N44" i="5"/>
  <c r="O44" i="5" s="1"/>
  <c r="N42" i="5"/>
  <c r="O42" i="5" s="1"/>
  <c r="N40" i="5"/>
  <c r="O40" i="5" s="1"/>
  <c r="K44" i="5"/>
  <c r="L44" i="5" s="1"/>
  <c r="K42" i="5"/>
  <c r="L42" i="5" s="1"/>
  <c r="K40" i="5"/>
  <c r="L40" i="5" s="1"/>
  <c r="H45" i="5"/>
  <c r="I45" i="5" s="1"/>
  <c r="H42" i="5"/>
  <c r="I42" i="5" s="1"/>
  <c r="H40" i="5"/>
  <c r="I40" i="5" s="1"/>
  <c r="M51" i="5"/>
  <c r="G51" i="5"/>
  <c r="M50" i="5"/>
  <c r="J50" i="5"/>
  <c r="G50" i="5"/>
  <c r="G48" i="5"/>
  <c r="J36" i="5"/>
  <c r="G36" i="5"/>
  <c r="N28" i="5"/>
  <c r="O28" i="5" s="1"/>
  <c r="K29" i="5"/>
  <c r="L29" i="5" s="1"/>
  <c r="K28" i="5"/>
  <c r="L28" i="5" s="1"/>
  <c r="K24" i="5"/>
  <c r="L24" i="5" s="1"/>
  <c r="K22" i="5"/>
  <c r="L22" i="5" s="1"/>
  <c r="N24" i="5"/>
  <c r="O24" i="5" s="1"/>
  <c r="N22" i="5"/>
  <c r="O22" i="5" s="1"/>
  <c r="N19" i="5"/>
  <c r="O19" i="5" s="1"/>
  <c r="K19" i="5"/>
  <c r="L19" i="5" s="1"/>
  <c r="H31" i="5"/>
  <c r="I31" i="5" s="1"/>
  <c r="H29" i="5"/>
  <c r="I29" i="5" s="1"/>
  <c r="H28" i="5"/>
  <c r="I28" i="5" s="1"/>
  <c r="H24" i="5"/>
  <c r="I24" i="5" s="1"/>
  <c r="H22" i="5"/>
  <c r="I22" i="5" s="1"/>
  <c r="H19" i="5"/>
  <c r="I19" i="5" s="1"/>
  <c r="J16" i="5"/>
  <c r="G16" i="5"/>
  <c r="H128" i="5" l="1"/>
  <c r="I128" i="5" s="1"/>
  <c r="I132" i="5"/>
  <c r="H133" i="5"/>
  <c r="I133" i="5" s="1"/>
  <c r="I16" i="4" l="1"/>
  <c r="H16" i="4"/>
  <c r="G16" i="4"/>
  <c r="N17" i="5" l="1"/>
  <c r="K17" i="5"/>
  <c r="N15" i="5"/>
  <c r="K15" i="5"/>
  <c r="H15" i="5"/>
  <c r="H17" i="5"/>
  <c r="H126" i="5" l="1"/>
  <c r="G126" i="5"/>
  <c r="G35" i="4" l="1"/>
  <c r="H36" i="5"/>
  <c r="H48" i="5"/>
  <c r="H50" i="5"/>
  <c r="H57" i="5" l="1"/>
  <c r="G74" i="4"/>
  <c r="G58" i="4"/>
  <c r="M57" i="5"/>
  <c r="G57" i="5"/>
  <c r="I53" i="4"/>
  <c r="G53" i="4"/>
  <c r="H17" i="4"/>
  <c r="H78" i="5" l="1"/>
  <c r="K93" i="5"/>
  <c r="L93" i="5" s="1"/>
  <c r="H95" i="5"/>
  <c r="I95" i="5" s="1"/>
  <c r="O16" i="5" l="1"/>
  <c r="K16" i="5"/>
  <c r="N36" i="5"/>
  <c r="N57" i="5" s="1"/>
  <c r="L37" i="5"/>
  <c r="I38" i="5"/>
  <c r="I37" i="5"/>
  <c r="K36" i="5"/>
  <c r="K57" i="5" s="1"/>
  <c r="H62" i="5"/>
  <c r="H75" i="5"/>
  <c r="I75" i="5" s="1"/>
  <c r="N51" i="5"/>
  <c r="O51" i="5" s="1"/>
  <c r="H51" i="5"/>
  <c r="N50" i="5"/>
  <c r="O50" i="5" s="1"/>
  <c r="K50" i="5"/>
  <c r="L50" i="5" s="1"/>
  <c r="L48" i="5"/>
  <c r="I50" i="5"/>
  <c r="I49" i="5"/>
  <c r="I48" i="5"/>
  <c r="I47" i="5"/>
  <c r="L45" i="5"/>
  <c r="O18" i="5"/>
  <c r="O17" i="5"/>
  <c r="L18" i="5"/>
  <c r="L17" i="5"/>
  <c r="I18" i="5"/>
  <c r="I17" i="5"/>
  <c r="H159" i="4" l="1"/>
  <c r="H158" i="4"/>
  <c r="H164" i="4"/>
  <c r="I163" i="4"/>
  <c r="I158" i="4"/>
  <c r="I110" i="4"/>
  <c r="H110" i="4"/>
  <c r="O15" i="5"/>
  <c r="O14" i="5"/>
  <c r="L16" i="5"/>
  <c r="L15" i="5"/>
  <c r="L14" i="5"/>
  <c r="I16" i="5"/>
  <c r="I15" i="5"/>
  <c r="I14" i="5"/>
  <c r="O39" i="5"/>
  <c r="O36" i="5"/>
  <c r="I36" i="5"/>
  <c r="I57" i="5" s="1"/>
  <c r="O61" i="5"/>
  <c r="O60" i="5"/>
  <c r="L61" i="5"/>
  <c r="I62" i="5"/>
  <c r="I61" i="5"/>
  <c r="L81" i="5"/>
  <c r="I79" i="5"/>
  <c r="I80" i="5"/>
  <c r="I81" i="5"/>
  <c r="I82" i="5"/>
  <c r="I83" i="5"/>
  <c r="I84" i="5"/>
  <c r="I85" i="5"/>
  <c r="O128" i="5"/>
  <c r="L128" i="5"/>
  <c r="I129" i="5"/>
  <c r="N127" i="5"/>
  <c r="N135" i="5" s="1"/>
  <c r="K127" i="5"/>
  <c r="K135" i="5" s="1"/>
  <c r="H127" i="5"/>
  <c r="H135" i="5" s="1"/>
  <c r="I141" i="5"/>
  <c r="I142" i="5"/>
  <c r="K138" i="5"/>
  <c r="H139" i="5"/>
  <c r="N78" i="5"/>
  <c r="K78" i="5"/>
  <c r="N114" i="5"/>
  <c r="O114" i="5" s="1"/>
  <c r="K114" i="5"/>
  <c r="L114" i="5" s="1"/>
  <c r="I114" i="5"/>
  <c r="I126" i="5" s="1"/>
  <c r="O121" i="5"/>
  <c r="K121" i="5"/>
  <c r="L121" i="5" s="1"/>
  <c r="I121" i="5"/>
  <c r="I100" i="5"/>
  <c r="H98" i="5"/>
  <c r="O57" i="5" l="1"/>
  <c r="G104" i="4"/>
  <c r="G94" i="4"/>
  <c r="G108" i="5"/>
  <c r="I108" i="5" s="1"/>
  <c r="I98" i="5"/>
  <c r="O164" i="5" l="1"/>
  <c r="L163" i="5"/>
  <c r="K170" i="5"/>
  <c r="K169" i="5"/>
  <c r="K164" i="5"/>
  <c r="K160" i="5"/>
  <c r="H163" i="5"/>
  <c r="O174" i="5"/>
  <c r="O173" i="5"/>
  <c r="O172" i="5"/>
  <c r="O170" i="5"/>
  <c r="O169" i="5"/>
  <c r="O168" i="5"/>
  <c r="O167" i="5"/>
  <c r="O166" i="5"/>
  <c r="O165" i="5"/>
  <c r="O163" i="5"/>
  <c r="O162" i="5"/>
  <c r="O160" i="5"/>
  <c r="N174" i="5"/>
  <c r="N173" i="5"/>
  <c r="N172" i="5"/>
  <c r="N170" i="5"/>
  <c r="N169" i="5"/>
  <c r="N168" i="5"/>
  <c r="N167" i="5"/>
  <c r="N166" i="5"/>
  <c r="N165" i="5"/>
  <c r="N164" i="5"/>
  <c r="N163" i="5"/>
  <c r="N162" i="5"/>
  <c r="N160" i="5"/>
  <c r="N161" i="5"/>
  <c r="M160" i="5"/>
  <c r="L174" i="5"/>
  <c r="L173" i="5"/>
  <c r="L172" i="5"/>
  <c r="L170" i="5"/>
  <c r="L169" i="5"/>
  <c r="L168" i="5"/>
  <c r="L167" i="5"/>
  <c r="L166" i="5"/>
  <c r="L165" i="5"/>
  <c r="L164" i="5"/>
  <c r="L162" i="5"/>
  <c r="K174" i="5"/>
  <c r="K173" i="5"/>
  <c r="K172" i="5"/>
  <c r="K168" i="5"/>
  <c r="K167" i="5"/>
  <c r="K166" i="5"/>
  <c r="K165" i="5"/>
  <c r="K163" i="5"/>
  <c r="K162" i="5"/>
  <c r="K161" i="5"/>
  <c r="I174" i="5"/>
  <c r="I173" i="5"/>
  <c r="I172" i="5"/>
  <c r="I170" i="5"/>
  <c r="I168" i="5"/>
  <c r="I167" i="5"/>
  <c r="I166" i="5"/>
  <c r="I165" i="5"/>
  <c r="I164" i="5"/>
  <c r="I163" i="5"/>
  <c r="I162" i="5"/>
  <c r="H174" i="5"/>
  <c r="H173" i="5"/>
  <c r="H172" i="5"/>
  <c r="H170" i="5"/>
  <c r="H169" i="5"/>
  <c r="H168" i="5"/>
  <c r="H167" i="5"/>
  <c r="H166" i="5"/>
  <c r="H165" i="5"/>
  <c r="H164" i="5"/>
  <c r="H162" i="5"/>
  <c r="H161" i="5"/>
  <c r="H160" i="5"/>
  <c r="O150" i="5" l="1"/>
  <c r="O151" i="5" s="1"/>
  <c r="O126" i="5"/>
  <c r="O76" i="5"/>
  <c r="O58" i="5"/>
  <c r="O33" i="5"/>
  <c r="O34" i="5" s="1"/>
  <c r="N150" i="5"/>
  <c r="N151" i="5" s="1"/>
  <c r="N126" i="5"/>
  <c r="N113" i="5"/>
  <c r="N76" i="5"/>
  <c r="N58" i="5"/>
  <c r="N33" i="5"/>
  <c r="N34" i="5" s="1"/>
  <c r="L126" i="5"/>
  <c r="L76" i="5"/>
  <c r="L33" i="5"/>
  <c r="L34" i="5" s="1"/>
  <c r="M33" i="5"/>
  <c r="M34" i="5" s="1"/>
  <c r="M58" i="5"/>
  <c r="M76" i="5"/>
  <c r="M78" i="5"/>
  <c r="M95" i="5"/>
  <c r="N95" i="5" s="1"/>
  <c r="O95" i="5" s="1"/>
  <c r="M126" i="5"/>
  <c r="M127" i="5"/>
  <c r="M150" i="5"/>
  <c r="M151" i="5" s="1"/>
  <c r="M162" i="5"/>
  <c r="M163" i="5"/>
  <c r="M164" i="5"/>
  <c r="M165" i="5"/>
  <c r="M166" i="5"/>
  <c r="M167" i="5"/>
  <c r="M168" i="5"/>
  <c r="M169" i="5"/>
  <c r="M170" i="5"/>
  <c r="M172" i="5"/>
  <c r="M173" i="5"/>
  <c r="M174" i="5"/>
  <c r="K150" i="5"/>
  <c r="K151" i="5" s="1"/>
  <c r="K126" i="5"/>
  <c r="K113" i="5"/>
  <c r="K76" i="5"/>
  <c r="K58" i="5"/>
  <c r="K33" i="5"/>
  <c r="K34" i="5" s="1"/>
  <c r="I76" i="5"/>
  <c r="I58" i="5"/>
  <c r="I33" i="5"/>
  <c r="I34" i="5" s="1"/>
  <c r="H150" i="5"/>
  <c r="H151" i="5" s="1"/>
  <c r="H113" i="5"/>
  <c r="H76" i="5"/>
  <c r="H58" i="5"/>
  <c r="H33" i="5"/>
  <c r="H34" i="5" s="1"/>
  <c r="J174" i="5"/>
  <c r="G174" i="5"/>
  <c r="J173" i="5"/>
  <c r="G173" i="5"/>
  <c r="J172" i="5"/>
  <c r="G172" i="5"/>
  <c r="J170" i="5"/>
  <c r="G170" i="5"/>
  <c r="J168" i="5"/>
  <c r="G168" i="5"/>
  <c r="J167" i="5"/>
  <c r="G167" i="5"/>
  <c r="J166" i="5"/>
  <c r="G166" i="5"/>
  <c r="J165" i="5"/>
  <c r="G165" i="5"/>
  <c r="J164" i="5"/>
  <c r="G164" i="5"/>
  <c r="J163" i="5"/>
  <c r="G163" i="5"/>
  <c r="J162" i="5"/>
  <c r="G162" i="5"/>
  <c r="J148" i="5"/>
  <c r="K148" i="5" s="1"/>
  <c r="L148" i="5" s="1"/>
  <c r="G146" i="5"/>
  <c r="H146" i="5" s="1"/>
  <c r="I146" i="5" s="1"/>
  <c r="G140" i="5"/>
  <c r="G139" i="5"/>
  <c r="J138" i="5"/>
  <c r="I138" i="5"/>
  <c r="J127" i="5"/>
  <c r="G127" i="5"/>
  <c r="G135" i="5" s="1"/>
  <c r="J126" i="5"/>
  <c r="J116" i="5"/>
  <c r="K116" i="5" s="1"/>
  <c r="L116" i="5" s="1"/>
  <c r="G112" i="5"/>
  <c r="I112" i="5" s="1"/>
  <c r="J95" i="5"/>
  <c r="K95" i="5" s="1"/>
  <c r="L95" i="5" s="1"/>
  <c r="G93" i="5"/>
  <c r="H93" i="5" s="1"/>
  <c r="I93" i="5" s="1"/>
  <c r="J78" i="5"/>
  <c r="L78" i="5" s="1"/>
  <c r="I77" i="5"/>
  <c r="J76" i="5"/>
  <c r="G76" i="5"/>
  <c r="J72" i="5"/>
  <c r="K72" i="5" s="1"/>
  <c r="L72" i="5" s="1"/>
  <c r="G72" i="5"/>
  <c r="H72" i="5" s="1"/>
  <c r="I72" i="5" s="1"/>
  <c r="G65" i="5"/>
  <c r="H65" i="5" s="1"/>
  <c r="I65" i="5" s="1"/>
  <c r="G58" i="5"/>
  <c r="J51" i="5"/>
  <c r="L51" i="5" s="1"/>
  <c r="I51" i="5"/>
  <c r="G44" i="5"/>
  <c r="H44" i="5" s="1"/>
  <c r="I44" i="5" s="1"/>
  <c r="J33" i="5"/>
  <c r="J34" i="5" s="1"/>
  <c r="G33" i="5"/>
  <c r="G161" i="5" l="1"/>
  <c r="I78" i="5"/>
  <c r="I127" i="5"/>
  <c r="I135" i="5" s="1"/>
  <c r="J135" i="5"/>
  <c r="L127" i="5"/>
  <c r="L135" i="5" s="1"/>
  <c r="M113" i="5"/>
  <c r="O78" i="5"/>
  <c r="J150" i="5"/>
  <c r="J151" i="5" s="1"/>
  <c r="L138" i="5"/>
  <c r="L150" i="5" s="1"/>
  <c r="L151" i="5" s="1"/>
  <c r="J57" i="5"/>
  <c r="J58" i="5" s="1"/>
  <c r="L36" i="5"/>
  <c r="G150" i="5"/>
  <c r="G151" i="5" s="1"/>
  <c r="I139" i="5"/>
  <c r="G169" i="5"/>
  <c r="I140" i="5"/>
  <c r="I169" i="5" s="1"/>
  <c r="I160" i="5"/>
  <c r="J160" i="5"/>
  <c r="J113" i="5"/>
  <c r="L77" i="5"/>
  <c r="M135" i="5"/>
  <c r="O127" i="5"/>
  <c r="O135" i="5" s="1"/>
  <c r="M161" i="5"/>
  <c r="M159" i="5" s="1"/>
  <c r="M158" i="5" s="1"/>
  <c r="G113" i="5"/>
  <c r="G136" i="5" s="1"/>
  <c r="M136" i="5"/>
  <c r="M152" i="5" s="1"/>
  <c r="M153" i="5" s="1"/>
  <c r="G34" i="5"/>
  <c r="H136" i="5"/>
  <c r="H152" i="5" s="1"/>
  <c r="N136" i="5"/>
  <c r="N152" i="5" s="1"/>
  <c r="N153" i="5" s="1"/>
  <c r="G171" i="5"/>
  <c r="J171" i="5"/>
  <c r="M171" i="5"/>
  <c r="K136" i="5"/>
  <c r="K152" i="5" s="1"/>
  <c r="K153" i="5" s="1"/>
  <c r="G160" i="5"/>
  <c r="J161" i="5"/>
  <c r="G134" i="4"/>
  <c r="H133" i="4"/>
  <c r="H155" i="4" s="1"/>
  <c r="I74" i="4"/>
  <c r="H74" i="4"/>
  <c r="I91" i="4"/>
  <c r="H91" i="4"/>
  <c r="G89" i="4"/>
  <c r="J159" i="5" l="1"/>
  <c r="I150" i="5"/>
  <c r="I151" i="5" s="1"/>
  <c r="I161" i="5"/>
  <c r="J136" i="5"/>
  <c r="J152" i="5" s="1"/>
  <c r="J153" i="5" s="1"/>
  <c r="G159" i="5"/>
  <c r="G158" i="5" s="1"/>
  <c r="G175" i="5" s="1"/>
  <c r="L160" i="5"/>
  <c r="L113" i="5"/>
  <c r="L136" i="5" s="1"/>
  <c r="L57" i="5"/>
  <c r="L58" i="5" s="1"/>
  <c r="L161" i="5"/>
  <c r="O161" i="5"/>
  <c r="O113" i="5"/>
  <c r="O136" i="5" s="1"/>
  <c r="O152" i="5" s="1"/>
  <c r="O153" i="5" s="1"/>
  <c r="I113" i="5"/>
  <c r="I136" i="5" s="1"/>
  <c r="I152" i="5" s="1"/>
  <c r="I153" i="5" s="1"/>
  <c r="G152" i="5"/>
  <c r="G153" i="5" s="1"/>
  <c r="J169" i="5" s="1"/>
  <c r="J158" i="5" s="1"/>
  <c r="J175" i="5" s="1"/>
  <c r="M175" i="5"/>
  <c r="H153" i="5"/>
  <c r="L83" i="3"/>
  <c r="K83" i="3"/>
  <c r="J81" i="3"/>
  <c r="L152" i="5" l="1"/>
  <c r="L153" i="5" s="1"/>
  <c r="K159" i="5"/>
  <c r="I171" i="5"/>
  <c r="H171" i="5"/>
  <c r="N159" i="5"/>
  <c r="N158" i="5" s="1"/>
  <c r="H159" i="5"/>
  <c r="H158" i="5" s="1"/>
  <c r="K171" i="5"/>
  <c r="N171" i="5"/>
  <c r="L51" i="3"/>
  <c r="H35" i="4"/>
  <c r="H53" i="4" s="1"/>
  <c r="H175" i="5" l="1"/>
  <c r="K158" i="5"/>
  <c r="K175" i="5" s="1"/>
  <c r="N175" i="5"/>
  <c r="L171" i="5"/>
  <c r="I159" i="5"/>
  <c r="I158" i="5" s="1"/>
  <c r="I175" i="5" s="1"/>
  <c r="O171" i="5"/>
  <c r="O159" i="5"/>
  <c r="O158" i="5" s="1"/>
  <c r="L159" i="5"/>
  <c r="L158" i="5" s="1"/>
  <c r="H68" i="4"/>
  <c r="L175" i="5" l="1"/>
  <c r="O175" i="5"/>
  <c r="G61" i="4"/>
  <c r="I145" i="4" l="1"/>
  <c r="H145" i="4"/>
  <c r="I122" i="4"/>
  <c r="I130" i="4" s="1"/>
  <c r="H122" i="4"/>
  <c r="H130" i="4" s="1"/>
  <c r="G122" i="4"/>
  <c r="G130" i="4" s="1"/>
  <c r="H121" i="4"/>
  <c r="I121" i="4"/>
  <c r="G121" i="4"/>
  <c r="H109" i="4"/>
  <c r="I109" i="4"/>
  <c r="G109" i="4"/>
  <c r="G108" i="4"/>
  <c r="H72" i="4"/>
  <c r="I72" i="4"/>
  <c r="G72" i="4"/>
  <c r="G145" i="4" l="1"/>
  <c r="H32" i="4"/>
  <c r="I32" i="4"/>
  <c r="G32" i="4"/>
  <c r="G155" i="4" l="1"/>
  <c r="I169" i="4" l="1"/>
  <c r="H169" i="4"/>
  <c r="G169" i="4"/>
  <c r="I168" i="4"/>
  <c r="H168" i="4"/>
  <c r="G168" i="4"/>
  <c r="I167" i="4"/>
  <c r="H167" i="4"/>
  <c r="G167" i="4"/>
  <c r="I165" i="4"/>
  <c r="H165" i="4"/>
  <c r="G165" i="4"/>
  <c r="I164" i="4"/>
  <c r="G164" i="4"/>
  <c r="H163" i="4"/>
  <c r="G163" i="4"/>
  <c r="I162" i="4"/>
  <c r="H162" i="4"/>
  <c r="G162" i="4"/>
  <c r="I161" i="4"/>
  <c r="H161" i="4"/>
  <c r="I160" i="4"/>
  <c r="H160" i="4"/>
  <c r="G160" i="4"/>
  <c r="I159" i="4"/>
  <c r="G159" i="4"/>
  <c r="G158" i="4"/>
  <c r="I157" i="4"/>
  <c r="H157" i="4"/>
  <c r="G157" i="4"/>
  <c r="I155" i="4"/>
  <c r="H143" i="4"/>
  <c r="I156" i="4"/>
  <c r="G141" i="4"/>
  <c r="H112" i="4"/>
  <c r="G161" i="4"/>
  <c r="G68" i="4"/>
  <c r="I54" i="4"/>
  <c r="H47" i="4"/>
  <c r="G47" i="4"/>
  <c r="G43" i="4"/>
  <c r="I33" i="4"/>
  <c r="H33" i="4"/>
  <c r="H166" i="4" l="1"/>
  <c r="H156" i="4"/>
  <c r="G146" i="4"/>
  <c r="G54" i="4"/>
  <c r="G166" i="4"/>
  <c r="I146" i="4"/>
  <c r="H146" i="4"/>
  <c r="I154" i="4"/>
  <c r="I153" i="4" s="1"/>
  <c r="I131" i="4"/>
  <c r="I166" i="4"/>
  <c r="H131" i="4"/>
  <c r="G156" i="4"/>
  <c r="G33" i="4"/>
  <c r="H54" i="4"/>
  <c r="J101" i="3"/>
  <c r="J100" i="3"/>
  <c r="J105" i="3" l="1"/>
  <c r="H154" i="4"/>
  <c r="G131" i="4"/>
  <c r="G147" i="4" s="1"/>
  <c r="G148" i="4" s="1"/>
  <c r="I170" i="4"/>
  <c r="I147" i="4"/>
  <c r="I148" i="4" s="1"/>
  <c r="G154" i="4"/>
  <c r="G153" i="4" s="1"/>
  <c r="G170" i="4" s="1"/>
  <c r="H147" i="4"/>
  <c r="H148" i="4" s="1"/>
  <c r="H153" i="4" l="1"/>
  <c r="H170" i="4" s="1"/>
  <c r="K140" i="3"/>
  <c r="K45" i="3" l="1"/>
  <c r="K51" i="3" s="1"/>
  <c r="I142" i="3" l="1"/>
  <c r="L142" i="3"/>
  <c r="K142" i="3"/>
  <c r="J137" i="3" l="1"/>
  <c r="J142" i="3" s="1"/>
  <c r="K108" i="3"/>
  <c r="K67" i="3"/>
  <c r="K153" i="3" s="1"/>
  <c r="J67" i="3"/>
  <c r="J57" i="3" l="1"/>
  <c r="J47" i="3"/>
  <c r="J45" i="3"/>
  <c r="J41" i="3"/>
  <c r="J51" i="3" s="1"/>
  <c r="J161" i="3" l="1"/>
  <c r="J33" i="3"/>
  <c r="J34" i="3" s="1"/>
  <c r="J71" i="3"/>
  <c r="J129" i="3"/>
  <c r="L71" i="3" l="1"/>
  <c r="K71" i="3"/>
  <c r="I51" i="3"/>
  <c r="L105" i="3" l="1"/>
  <c r="K105" i="3"/>
  <c r="L160" i="3" l="1"/>
  <c r="L161" i="3"/>
  <c r="L162" i="3"/>
  <c r="L164" i="3"/>
  <c r="L165" i="3"/>
  <c r="L166" i="3"/>
  <c r="L129" i="3"/>
  <c r="L152" i="3"/>
  <c r="L163" i="3" l="1"/>
  <c r="K120" i="3"/>
  <c r="L120" i="3"/>
  <c r="I120" i="3"/>
  <c r="J120" i="3"/>
  <c r="I159" i="3" l="1"/>
  <c r="J159" i="3"/>
  <c r="K159" i="3"/>
  <c r="L159" i="3"/>
  <c r="L156" i="3"/>
  <c r="K160" i="3"/>
  <c r="J160" i="3"/>
  <c r="J156" i="3"/>
  <c r="J152" i="3"/>
  <c r="I161" i="3"/>
  <c r="I160" i="3"/>
  <c r="I156" i="3"/>
  <c r="I59" i="3"/>
  <c r="I71" i="3" s="1"/>
  <c r="K166" i="3" l="1"/>
  <c r="J166" i="3"/>
  <c r="I166" i="3"/>
  <c r="K165" i="3"/>
  <c r="J165" i="3"/>
  <c r="I165" i="3"/>
  <c r="K164" i="3"/>
  <c r="J164" i="3"/>
  <c r="I164" i="3"/>
  <c r="K162" i="3"/>
  <c r="J162" i="3"/>
  <c r="I162" i="3"/>
  <c r="L158" i="3"/>
  <c r="K158" i="3"/>
  <c r="J158" i="3"/>
  <c r="L157" i="3"/>
  <c r="K157" i="3"/>
  <c r="J157" i="3"/>
  <c r="K156" i="3"/>
  <c r="L155" i="3"/>
  <c r="K155" i="3"/>
  <c r="J155" i="3"/>
  <c r="L154" i="3"/>
  <c r="K154" i="3"/>
  <c r="J154" i="3"/>
  <c r="L153" i="3"/>
  <c r="J153" i="3"/>
  <c r="K152" i="3"/>
  <c r="L143" i="3"/>
  <c r="K143" i="3"/>
  <c r="J143" i="3"/>
  <c r="I143" i="3"/>
  <c r="K129" i="3"/>
  <c r="I129" i="3"/>
  <c r="I95" i="3"/>
  <c r="I158" i="3" s="1"/>
  <c r="I93" i="3"/>
  <c r="I91" i="3"/>
  <c r="I155" i="3" s="1"/>
  <c r="I89" i="3"/>
  <c r="L52" i="3"/>
  <c r="K52" i="3"/>
  <c r="J52" i="3"/>
  <c r="I52" i="3"/>
  <c r="L33" i="3"/>
  <c r="L34" i="3" s="1"/>
  <c r="K33" i="3"/>
  <c r="I20" i="3"/>
  <c r="I153" i="3" s="1"/>
  <c r="I15" i="3"/>
  <c r="I154" i="3" s="1"/>
  <c r="I152" i="3" l="1"/>
  <c r="I105" i="3"/>
  <c r="I130" i="3" s="1"/>
  <c r="J163" i="3"/>
  <c r="L130" i="3"/>
  <c r="K130" i="3"/>
  <c r="J130" i="3"/>
  <c r="K163" i="3"/>
  <c r="K151" i="3"/>
  <c r="I163" i="3"/>
  <c r="L151" i="3"/>
  <c r="J151" i="3"/>
  <c r="I157" i="3"/>
  <c r="I151" i="3" s="1"/>
  <c r="I150" i="3" s="1"/>
  <c r="I167" i="3" s="1"/>
  <c r="I33" i="3"/>
  <c r="I34" i="3" s="1"/>
  <c r="K34" i="3"/>
  <c r="L144" i="3" l="1"/>
  <c r="L145" i="3" s="1"/>
  <c r="J144" i="3"/>
  <c r="J145" i="3" s="1"/>
  <c r="K144" i="3"/>
  <c r="K145" i="3" s="1"/>
  <c r="I144" i="3"/>
  <c r="K161" i="3" l="1"/>
  <c r="K150" i="3" s="1"/>
  <c r="K167" i="3" s="1"/>
  <c r="L150" i="3"/>
  <c r="L167" i="3" s="1"/>
  <c r="I145" i="3"/>
  <c r="J150" i="3" s="1"/>
  <c r="J167" i="3" s="1"/>
</calcChain>
</file>

<file path=xl/comments1.xml><?xml version="1.0" encoding="utf-8"?>
<comments xmlns="http://schemas.openxmlformats.org/spreadsheetml/2006/main">
  <authors>
    <author>Audra Cepiene</author>
    <author>Inga Mikalauskienė</author>
  </authors>
  <commentList>
    <comment ref="J25"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radiio žaidimai, viktorinos.</t>
        </r>
      </text>
    </comment>
    <comment ref="E28"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D39" authorId="0" shapeId="0">
      <text>
        <r>
          <rPr>
            <sz val="9"/>
            <color indexed="81"/>
            <rFont val="Tahoma"/>
            <family val="2"/>
            <charset val="186"/>
          </rPr>
          <t>Pagal taryboje patvirtintą aplinkos monitoringo programą 2017-2021 m.</t>
        </r>
      </text>
    </comment>
    <comment ref="E39"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E41"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E44" authorId="0" shapeId="0">
      <text>
        <r>
          <rPr>
            <b/>
            <sz val="9"/>
            <color indexed="81"/>
            <rFont val="Tahoma"/>
            <family val="2"/>
            <charset val="186"/>
          </rPr>
          <t xml:space="preserve">P1, 1.1. </t>
        </r>
        <r>
          <rPr>
            <sz val="9"/>
            <color indexed="81"/>
            <rFont val="Tahoma"/>
            <family val="2"/>
            <charset val="186"/>
          </rPr>
          <t>Aplinkos oro kokybės valdymo plano parengimas ir oro kokybės mieste užtikrinimo priemonių įgyvendinimas</t>
        </r>
      </text>
    </comment>
    <comment ref="K46" authorId="1" shapeId="0">
      <text>
        <r>
          <rPr>
            <sz val="9"/>
            <color indexed="81"/>
            <rFont val="Tahoma"/>
            <family val="2"/>
            <charset val="186"/>
          </rPr>
          <t>Vitės progimnazija;
l/d Bitutė</t>
        </r>
      </text>
    </comment>
    <comment ref="L46" authorId="1" shapeId="0">
      <text>
        <r>
          <rPr>
            <sz val="9"/>
            <color indexed="81"/>
            <rFont val="Tahoma"/>
            <family val="2"/>
            <charset val="186"/>
          </rPr>
          <t>Gyvenamoji teritorija Švyturio g.</t>
        </r>
      </text>
    </comment>
    <comment ref="M46" authorId="1" shapeId="0">
      <text>
        <r>
          <rPr>
            <sz val="9"/>
            <color indexed="81"/>
            <rFont val="Tahoma"/>
            <family val="2"/>
            <charset val="186"/>
          </rPr>
          <t>L/d Traukinukas</t>
        </r>
      </text>
    </comment>
    <comment ref="E49"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E59" authorId="0" shapeId="0">
      <text>
        <r>
          <rPr>
            <sz val="9"/>
            <color indexed="81"/>
            <rFont val="Tahoma"/>
            <family val="2"/>
            <charset val="186"/>
          </rPr>
          <t>P(KSP) 2.3.1.4.
Išvalyti užterštus ir rekultivuoti apleistus vandens telkinius, vykdyti jų stebėseną</t>
        </r>
      </text>
    </comment>
    <comment ref="E61" authorId="0" shapeId="0">
      <text>
        <r>
          <rPr>
            <sz val="9"/>
            <color indexed="81"/>
            <rFont val="Tahoma"/>
            <family val="2"/>
            <charset val="186"/>
          </rPr>
          <t xml:space="preserve">KEPS 4.5.1. Išvalyti Danės upę, pastatyti ir išplėtoti mažus uostelius. </t>
        </r>
      </text>
    </comment>
    <comment ref="E63" authorId="0" shapeId="0">
      <text>
        <r>
          <rPr>
            <sz val="9"/>
            <color indexed="81"/>
            <rFont val="Tahoma"/>
            <family val="2"/>
            <charset val="186"/>
          </rPr>
          <t xml:space="preserve">KEPS 4.5.1. Išvalyti Danės upę, pastatyti ir išplėtoti mažus uostelius. </t>
        </r>
      </text>
    </comment>
    <comment ref="D67"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E68" authorId="0" shapeId="0">
      <text>
        <r>
          <rPr>
            <sz val="9"/>
            <color indexed="81"/>
            <rFont val="Tahoma"/>
            <family val="2"/>
            <charset val="186"/>
          </rPr>
          <t>P(KSP) 2.3.1.4.
Išvalyti užterštus ir rekultivuoti apleistus vandens telkinius, vykdyti jų stebėseną</t>
        </r>
      </text>
    </comment>
    <comment ref="E82"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84" authorId="0" shapeId="0">
      <text>
        <r>
          <rPr>
            <sz val="9"/>
            <color indexed="81"/>
            <rFont val="Tahoma"/>
            <family val="2"/>
            <charset val="186"/>
          </rPr>
          <t xml:space="preserve">KEPS 3.1.13. Vystyti viešųjų erdvių gerinimo programas ir lokalius urbanistinės struktūros atgaivinimo projektus  </t>
        </r>
      </text>
    </comment>
    <comment ref="E85"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6"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E8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89" authorId="1"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E90"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92"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4" authorId="0" shapeId="0">
      <text>
        <r>
          <rPr>
            <sz val="9"/>
            <color indexed="81"/>
            <rFont val="Tahoma"/>
            <family val="2"/>
            <charset val="186"/>
          </rPr>
          <t xml:space="preserve">KEPS 3.1.13. Vystyti viešųjų erdvių gerinimo programas ir lokalius urbanistinės struktūros atgaivinimo projektus  </t>
        </r>
      </text>
    </comment>
    <comment ref="E95"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96"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7" authorId="0" shapeId="0">
      <text>
        <r>
          <rPr>
            <sz val="9"/>
            <color indexed="81"/>
            <rFont val="Tahoma"/>
            <family val="2"/>
            <charset val="186"/>
          </rPr>
          <t xml:space="preserve">KEPS 3.1.13. Vystyti viešųjų erdvių gerinimo programas ir lokalius urbanistinės struktūros atgaivinimo projektus  </t>
        </r>
      </text>
    </comment>
    <comment ref="E9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99"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100" authorId="0" shapeId="0">
      <text>
        <r>
          <rPr>
            <sz val="9"/>
            <color indexed="81"/>
            <rFont val="Tahoma"/>
            <family val="2"/>
            <charset val="186"/>
          </rPr>
          <t xml:space="preserve">KEPS 3.1.13. Vystyti viešųjų erdvių gerinimo programas ir lokalius urbanistinės struktūros atgaivinimo projektus  </t>
        </r>
      </text>
    </comment>
    <comment ref="E10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04"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J104" authorId="0" shapeId="0">
      <text>
        <r>
          <rPr>
            <sz val="9"/>
            <color indexed="81"/>
            <rFont val="Tahoma"/>
            <family val="2"/>
            <charset val="186"/>
          </rPr>
          <t>II-etapo teritorijos sutvarkymo darbai planuojami 2022 m.</t>
        </r>
      </text>
    </comment>
    <comment ref="J107" authorId="1" shapeId="0">
      <text>
        <r>
          <rPr>
            <sz val="9"/>
            <color indexed="81"/>
            <rFont val="Tahoma"/>
            <family val="2"/>
            <charset val="186"/>
          </rPr>
          <t xml:space="preserve">II etapo darbai nenupirkti, siūloma vėlinti
</t>
        </r>
      </text>
    </comment>
    <comment ref="E110"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E112"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D118" authorId="1"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E12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39"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E14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List>
</comments>
</file>

<file path=xl/comments2.xml><?xml version="1.0" encoding="utf-8"?>
<comments xmlns="http://schemas.openxmlformats.org/spreadsheetml/2006/main">
  <authors>
    <author>Audra Cepiene</author>
    <author>Saulina Paulauskiene</author>
    <author>Inga Mikalauskienė</author>
  </authors>
  <commentList>
    <comment ref="P26"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radiio žaidimai, viktorinos.</t>
        </r>
      </text>
    </comment>
    <comment ref="E29"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D40" authorId="0" shapeId="0">
      <text>
        <r>
          <rPr>
            <sz val="9"/>
            <color indexed="81"/>
            <rFont val="Tahoma"/>
            <family val="2"/>
            <charset val="186"/>
          </rPr>
          <t>Pagal taryboje patvirtintą aplinkos monitoringo programą 2017-2021 m.</t>
        </r>
      </text>
    </comment>
    <comment ref="E40"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E42"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E45" authorId="0" shapeId="0">
      <text>
        <r>
          <rPr>
            <b/>
            <sz val="9"/>
            <color indexed="81"/>
            <rFont val="Tahoma"/>
            <family val="2"/>
            <charset val="186"/>
          </rPr>
          <t xml:space="preserve">P1, 1.1. </t>
        </r>
        <r>
          <rPr>
            <sz val="9"/>
            <color indexed="81"/>
            <rFont val="Tahoma"/>
            <family val="2"/>
            <charset val="186"/>
          </rPr>
          <t>Aplinkos oro kokybės valdymo plano parengimas ir oro kokybės mieste užtikrinimo priemonių įgyvendinimas</t>
        </r>
      </text>
    </comment>
    <comment ref="Q47" authorId="1" shapeId="0">
      <text>
        <r>
          <rPr>
            <sz val="9"/>
            <color indexed="81"/>
            <rFont val="Tahoma"/>
            <family val="2"/>
            <charset val="186"/>
          </rPr>
          <t>Vitės progimnazija</t>
        </r>
      </text>
    </comment>
    <comment ref="Q48" authorId="1" shapeId="0">
      <text>
        <r>
          <rPr>
            <sz val="9"/>
            <color indexed="81"/>
            <rFont val="Tahoma"/>
            <family val="2"/>
            <charset val="186"/>
          </rPr>
          <t>l/d Bitutė</t>
        </r>
      </text>
    </comment>
    <comment ref="S48" authorId="1" shapeId="0">
      <text>
        <r>
          <rPr>
            <sz val="9"/>
            <color indexed="81"/>
            <rFont val="Tahoma"/>
            <family val="2"/>
            <charset val="186"/>
          </rPr>
          <t>gyvenamoji teritorija Švyturio gatvėje</t>
        </r>
      </text>
    </comment>
    <comment ref="U48" authorId="1" shapeId="0">
      <text>
        <r>
          <rPr>
            <sz val="9"/>
            <color indexed="81"/>
            <rFont val="Tahoma"/>
            <family val="2"/>
            <charset val="186"/>
          </rPr>
          <t xml:space="preserve"> l/d Traukinukas
</t>
        </r>
      </text>
    </comment>
    <comment ref="E53"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E63" authorId="0" shapeId="0">
      <text>
        <r>
          <rPr>
            <sz val="9"/>
            <color indexed="81"/>
            <rFont val="Tahoma"/>
            <family val="2"/>
            <charset val="186"/>
          </rPr>
          <t>P(KSP) 2.3.1.4.
Išvalyti užterštus ir rekultivuoti apleistus vandens telkinius, vykdyti jų stebėseną</t>
        </r>
      </text>
    </comment>
    <comment ref="E65" authorId="0" shapeId="0">
      <text>
        <r>
          <rPr>
            <sz val="9"/>
            <color indexed="81"/>
            <rFont val="Tahoma"/>
            <family val="2"/>
            <charset val="186"/>
          </rPr>
          <t xml:space="preserve">KEPS 4.5.1. Išvalyti Danės upę, pastatyti ir išplėtoti mažus uostelius. </t>
        </r>
      </text>
    </comment>
    <comment ref="E67" authorId="0" shapeId="0">
      <text>
        <r>
          <rPr>
            <sz val="9"/>
            <color indexed="81"/>
            <rFont val="Tahoma"/>
            <family val="2"/>
            <charset val="186"/>
          </rPr>
          <t xml:space="preserve">KEPS 4.5.1. Išvalyti Danės upę, pastatyti ir išplėtoti mažus uostelius. </t>
        </r>
      </text>
    </comment>
    <comment ref="D71"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E72" authorId="0" shapeId="0">
      <text>
        <r>
          <rPr>
            <sz val="9"/>
            <color indexed="81"/>
            <rFont val="Tahoma"/>
            <family val="2"/>
            <charset val="186"/>
          </rPr>
          <t>P(KSP) 2.3.1.4.
Išvalyti užterštus ir rekultivuoti apleistus vandens telkinius, vykdyti jų stebėseną</t>
        </r>
      </text>
    </comment>
    <comment ref="E86"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88" authorId="0" shapeId="0">
      <text>
        <r>
          <rPr>
            <sz val="9"/>
            <color indexed="81"/>
            <rFont val="Tahoma"/>
            <family val="2"/>
            <charset val="186"/>
          </rPr>
          <t xml:space="preserve">KEPS 3.1.13. Vystyti viešųjų erdvių gerinimo programas ir lokalius urbanistinės struktūros atgaivinimo projektus  </t>
        </r>
      </text>
    </comment>
    <comment ref="E8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90"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E91" authorId="2"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93" authorId="2"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E94" authorId="2"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E96"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8" authorId="0" shapeId="0">
      <text>
        <r>
          <rPr>
            <sz val="9"/>
            <color indexed="81"/>
            <rFont val="Tahoma"/>
            <family val="2"/>
            <charset val="186"/>
          </rPr>
          <t xml:space="preserve">KEPS 3.1.13. Vystyti viešųjų erdvių gerinimo programas ir lokalius urbanistinės struktūros atgaivinimo projektus  </t>
        </r>
      </text>
    </comment>
    <comment ref="E9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100"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101" authorId="0" shapeId="0">
      <text>
        <r>
          <rPr>
            <sz val="9"/>
            <color indexed="81"/>
            <rFont val="Tahoma"/>
            <family val="2"/>
            <charset val="186"/>
          </rPr>
          <t xml:space="preserve">KEPS 3.1.13. Vystyti viešųjų erdvių gerinimo programas ir lokalius urbanistinės struktūros atgaivinimo projektus  </t>
        </r>
      </text>
    </comment>
    <comment ref="E102"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103"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104" authorId="0" shapeId="0">
      <text>
        <r>
          <rPr>
            <sz val="9"/>
            <color indexed="81"/>
            <rFont val="Tahoma"/>
            <family val="2"/>
            <charset val="186"/>
          </rPr>
          <t xml:space="preserve">KEPS 3.1.13. Vystyti viešųjų erdvių gerinimo programas ir lokalius urbanistinės struktūros atgaivinimo projektus  </t>
        </r>
      </text>
    </comment>
    <comment ref="E10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08"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P108" authorId="0" shapeId="0">
      <text>
        <r>
          <rPr>
            <sz val="9"/>
            <color indexed="81"/>
            <rFont val="Tahoma"/>
            <family val="2"/>
            <charset val="186"/>
          </rPr>
          <t>II-etapo teritorijos sutvarkymo darbai planuojami 2022 m.</t>
        </r>
      </text>
    </comment>
    <comment ref="P111" authorId="2" shapeId="0">
      <text>
        <r>
          <rPr>
            <sz val="9"/>
            <color indexed="81"/>
            <rFont val="Tahoma"/>
            <family val="2"/>
            <charset val="186"/>
          </rPr>
          <t xml:space="preserve">II etapo darbai nenupirkti, siūloma vėlinti
</t>
        </r>
      </text>
    </comment>
    <comment ref="E114"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E116"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D123" authorId="2"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E130"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44"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E147" authorId="2"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List>
</comments>
</file>

<file path=xl/comments3.xml><?xml version="1.0" encoding="utf-8"?>
<comments xmlns="http://schemas.openxmlformats.org/spreadsheetml/2006/main">
  <authors>
    <author>Audra Cepiene</author>
    <author>Inga Mikalauskienė</author>
  </authors>
  <commentList>
    <comment ref="M24" authorId="0" shapeId="0">
      <text>
        <r>
          <rPr>
            <sz val="9"/>
            <color indexed="81"/>
            <rFont val="Tahoma"/>
            <family val="2"/>
            <charset val="186"/>
          </rPr>
          <t>Pagal pasirašytas sutartis vykdomos atliekų tvarkymo švietimo priemonės:
1) Plakatų kūrimas, leidyba, eksploatavimas; 2) Edukacinio ekologinio ugdymo pamokos mokiniams;
3) viešinimo paslaugos per žiniasklaidos atstovus;
4) tušinukų gamyba;
5) pirkinių maišelių gamyba;
6) radiio žaidimai, viktorinos.</t>
        </r>
      </text>
    </comment>
    <comment ref="F27"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E37" authorId="0" shapeId="0">
      <text>
        <r>
          <rPr>
            <sz val="9"/>
            <color indexed="81"/>
            <rFont val="Tahoma"/>
            <family val="2"/>
            <charset val="186"/>
          </rPr>
          <t>Pagal taryboje patvirtintą aplinkos monitoringo programą 2017-2021 m.</t>
        </r>
      </text>
    </comment>
    <comment ref="F37"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F39"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F42" authorId="0" shapeId="0">
      <text>
        <r>
          <rPr>
            <sz val="9"/>
            <color indexed="81"/>
            <rFont val="Tahoma"/>
            <family val="2"/>
            <charset val="186"/>
          </rPr>
          <t>P1, 1.1. Aplinkos oro kokybės valdymo plano parengimas ir oro kokybės mieste užtikrinimo priemonių įgyvendinimas</t>
        </r>
      </text>
    </comment>
    <comment ref="F48"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F55" authorId="0" shapeId="0">
      <text>
        <r>
          <rPr>
            <sz val="9"/>
            <color indexed="81"/>
            <rFont val="Tahoma"/>
            <family val="2"/>
            <charset val="186"/>
          </rPr>
          <t>P(KSP) 2.3.1.4.
Išvalyti užterštus ir rekultivuoti apleistus vandens telkinius, vykdyti jų stebėseną</t>
        </r>
      </text>
    </comment>
    <comment ref="F57" authorId="0" shapeId="0">
      <text>
        <r>
          <rPr>
            <sz val="9"/>
            <color indexed="81"/>
            <rFont val="Tahoma"/>
            <family val="2"/>
            <charset val="186"/>
          </rPr>
          <t xml:space="preserve">KEPS 4.5.1. Išvalyti Danės upę, pastatyti ir išplėtoti mažus uostelius. </t>
        </r>
      </text>
    </comment>
    <comment ref="F59" authorId="0" shapeId="0">
      <text>
        <r>
          <rPr>
            <sz val="9"/>
            <color indexed="81"/>
            <rFont val="Tahoma"/>
            <family val="2"/>
            <charset val="186"/>
          </rPr>
          <t xml:space="preserve">KEPS 4.5.1. Išvalyti Danės upę, pastatyti ir išplėtoti mažus uostelius. </t>
        </r>
      </text>
    </comment>
    <comment ref="N59" authorId="0" shapeId="0">
      <text>
        <r>
          <rPr>
            <sz val="9"/>
            <color indexed="81"/>
            <rFont val="Tahoma"/>
            <family val="2"/>
            <charset val="186"/>
          </rPr>
          <t>Rengiama sutartis dėl Danės upės senvagės išvalymo. Vykdytojas – Klaipėdos universiteto Botanikos sodas</t>
        </r>
      </text>
    </comment>
    <comment ref="N65" authorId="0" shapeId="0">
      <text>
        <r>
          <rPr>
            <b/>
            <sz val="9"/>
            <color indexed="81"/>
            <rFont val="Tahoma"/>
            <family val="2"/>
            <charset val="186"/>
          </rPr>
          <t>Žardės mažojo telkinio sutvarkymo darbai, 190 tūkst. eur</t>
        </r>
        <r>
          <rPr>
            <sz val="9"/>
            <color indexed="81"/>
            <rFont val="Tahoma"/>
            <family val="2"/>
            <charset val="186"/>
          </rPr>
          <t xml:space="preserve">
Pagal parengtą projektą vandens telkinį (mažasis Žardės tvenkinys),  esantį parke tarp Statybininkų prospekto ir Smiltelės gatvės   numatoma išvalyti – iškirsti menkaverčių krūmų sąžalynus,  suformuoti tvenkinio dugną, krantus ir sutvarkyti gerbūvį. Atnaujinti želdinius apie telkinį.
Šiuo metu vandens telkinys yra visas apžėlęs menkaverčiais krūmais, ten gyvena asocialūs asmenys, pastoviai šiukšlinamas. Kadangi jis yra prie pagrindinių parko dviračių/pėsčiųjų takų, būtina sutvarkyti dėl saugumo.
</t>
        </r>
      </text>
    </comment>
    <comment ref="E66"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F67" authorId="0" shapeId="0">
      <text>
        <r>
          <rPr>
            <sz val="9"/>
            <color indexed="81"/>
            <rFont val="Tahoma"/>
            <family val="2"/>
            <charset val="186"/>
          </rPr>
          <t>P(KSP) 2.3.1.4.
Išvalyti užterštus ir rekultivuoti apleistus vandens telkinius, vykdyti jų stebėseną</t>
        </r>
      </text>
    </comment>
    <comment ref="F73"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75" authorId="0" shapeId="0">
      <text>
        <r>
          <rPr>
            <sz val="9"/>
            <color indexed="81"/>
            <rFont val="Tahoma"/>
            <family val="2"/>
            <charset val="186"/>
          </rPr>
          <t xml:space="preserve">KEPS 3.1.13. Vystyti viešųjų erdvių gerinimo programas ir lokalius urbanistinės struktūros atgaivinimo projektus  </t>
        </r>
      </text>
    </comment>
    <comment ref="H75" authorId="0" shapeId="0">
      <text>
        <r>
          <rPr>
            <sz val="9"/>
            <color indexed="81"/>
            <rFont val="Tahoma"/>
            <family val="2"/>
            <charset val="186"/>
          </rPr>
          <t xml:space="preserve">Laivų krovos AB „Klaipėdos Smeltė“, pagal 2013-04-26 partnerystės sutartį Nr. J9-470 pervedė 2016 m. - 22 734 Eur. Pagal sutartį toliau kasmet pervedinės  po 22 tūkst eur (nuo 2017 iki 2025 m.) </t>
        </r>
      </text>
    </comment>
    <comment ref="F7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77"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F7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M79" authorId="0" shapeId="0">
      <text>
        <r>
          <rPr>
            <sz val="9"/>
            <color indexed="81"/>
            <rFont val="Tahoma"/>
            <family val="2"/>
            <charset val="186"/>
          </rPr>
          <t>Tvarkomos senos, pavienės tuopos prie daugiabučių gyvenamųjų namų, švietimo įstaigų teritorijose (vaikų lopšeliuose darželiuose, mokyklose)</t>
        </r>
      </text>
    </comment>
    <comment ref="F81" authorId="1"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F8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F84"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86" authorId="0" shapeId="0">
      <text>
        <r>
          <rPr>
            <sz val="9"/>
            <color indexed="81"/>
            <rFont val="Tahoma"/>
            <family val="2"/>
            <charset val="186"/>
          </rPr>
          <t xml:space="preserve">KEPS 3.1.13. Vystyti viešųjų erdvių gerinimo programas ir lokalius urbanistinės struktūros atgaivinimo projektus  </t>
        </r>
      </text>
    </comment>
    <comment ref="F87"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89"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90" authorId="0" shapeId="0">
      <text>
        <r>
          <rPr>
            <sz val="9"/>
            <color indexed="81"/>
            <rFont val="Tahoma"/>
            <family val="2"/>
            <charset val="186"/>
          </rPr>
          <t xml:space="preserve">KEPS 3.1.13. Vystyti viešųjų erdvių gerinimo programas ir lokalius urbanistinės struktūros atgaivinimo projektus  </t>
        </r>
      </text>
    </comment>
    <comment ref="F9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96"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M96" authorId="0" shapeId="0">
      <text>
        <r>
          <rPr>
            <sz val="9"/>
            <color indexed="81"/>
            <rFont val="Tahoma"/>
            <family val="2"/>
            <charset val="186"/>
          </rPr>
          <t>II-etapo teritorijos sutvarkymo darbai planuojami 2022 m.</t>
        </r>
      </text>
    </comment>
    <comment ref="M99" authorId="1" shapeId="0">
      <text>
        <r>
          <rPr>
            <sz val="9"/>
            <color indexed="81"/>
            <rFont val="Tahoma"/>
            <family val="2"/>
            <charset val="186"/>
          </rPr>
          <t xml:space="preserve">II etapo darbai nenupirkti, siūloma vėlinti
</t>
        </r>
      </text>
    </comment>
    <comment ref="F102"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103" authorId="0" shapeId="0">
      <text>
        <r>
          <rPr>
            <b/>
            <sz val="9"/>
            <color indexed="81"/>
            <rFont val="Tahoma"/>
            <family val="2"/>
            <charset val="186"/>
          </rPr>
          <t>P(KSP) 2.3.1.1.</t>
        </r>
        <r>
          <rPr>
            <sz val="9"/>
            <color indexed="81"/>
            <rFont val="Tahoma"/>
            <family val="2"/>
            <charset val="186"/>
          </rPr>
          <t xml:space="preserve">
Planuoti ir įrengti apsauginius ir rekreacinius želdynus</t>
        </r>
      </text>
    </comment>
    <comment ref="F106" authorId="0" shapeId="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F108"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17" authorId="1" shapeId="0">
      <text>
        <r>
          <rPr>
            <sz val="9"/>
            <color indexed="81"/>
            <rFont val="Tahoma"/>
            <family val="2"/>
            <charset val="186"/>
          </rPr>
          <t xml:space="preserve">Senas pavadinimas - Pėsčiųjų ir dviračių tilto tarp Tauralaukio ir Žolynų kvartalo įrengimas. Siekiant plėtoti darnaus judumo principus ir pagerinti  susisiekimą su naujai statoma mokykla  miesto planavimo dokumentuose numatytas dviračių ir pėsčiųjų tiltas per Danę. Pirmame etape planuojamas architektūrinis konkursas. </t>
        </r>
      </text>
    </comment>
    <comment ref="F122"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133"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N137" authorId="0" shapeId="0">
      <text>
        <r>
          <rPr>
            <sz val="9"/>
            <color indexed="81"/>
            <rFont val="Tahoma"/>
            <family val="2"/>
            <charset val="186"/>
          </rPr>
          <t xml:space="preserve">KMST 2019-02-21 sprendimu Nr. T2-42 savivaldybės prisidėjimas 7,5 proc. </t>
        </r>
      </text>
    </comment>
    <comment ref="F13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List>
</comments>
</file>

<file path=xl/sharedStrings.xml><?xml version="1.0" encoding="utf-8"?>
<sst xmlns="http://schemas.openxmlformats.org/spreadsheetml/2006/main" count="1172" uniqueCount="276">
  <si>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</si>
  <si>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</si>
  <si>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</si>
  <si>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</si>
  <si>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</si>
  <si>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</si>
  <si>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</si>
  <si>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Priemonės požymis</t>
  </si>
  <si>
    <t>Finansavimo šaltinis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</si>
  <si>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</si>
  <si>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</si>
  <si>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</si>
  <si>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</si>
  <si>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</si>
  <si>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</si>
  <si>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05</t>
  </si>
  <si>
    <t>Komunalinių atliekų surinkimas ir tvarkymas</t>
  </si>
  <si>
    <t>SB(VR)</t>
  </si>
  <si>
    <t>SB(VRL)</t>
  </si>
  <si>
    <t>Komunalinių atliekų surinkimas ir tvarkymas Lėbartų kapinėse</t>
  </si>
  <si>
    <t>Iš viso:</t>
  </si>
  <si>
    <t>02</t>
  </si>
  <si>
    <t>Atliekų, kurių turėtojo nustatyti neįmanoma arba kuris nebeegzistuoja, tvarkymas:</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</si>
  <si>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</si>
  <si>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</si>
  <si>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</si>
  <si>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</si>
  <si>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</si>
  <si>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</si>
  <si>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</si>
  <si>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</si>
  <si>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</si>
  <si>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SB</t>
  </si>
  <si>
    <t>Iš viso uždaviniui:</t>
  </si>
  <si>
    <t xml:space="preserve">Vykdyti gamtinės aplinkos stebėsenos ir gyventojų ekologinio švietimo priemones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</si>
  <si>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</si>
  <si>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</si>
  <si>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</si>
  <si>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</si>
  <si>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</si>
  <si>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Helofitų (nendrių, švendrių) šalinimas iš vandens telkinių</t>
  </si>
  <si>
    <t>Miesto želdynų ir želdinių tvarkymas ir kūrimas:</t>
  </si>
  <si>
    <t>Naujų ir esamų želdynų tvarkymas ir kūrimas</t>
  </si>
  <si>
    <t>Pajūrio juostos priežiūra ir apsauga:</t>
  </si>
  <si>
    <t>SB(VB)</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</si>
  <si>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</si>
  <si>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</si>
  <si>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</si>
  <si>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</si>
  <si>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</si>
  <si>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</si>
  <si>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</si>
  <si>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</si>
  <si>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</si>
  <si>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</si>
  <si>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</si>
  <si>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</si>
  <si>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</si>
  <si>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</si>
  <si>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</si>
  <si>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tūkst. Eur</t>
  </si>
  <si>
    <t xml:space="preserve">Sąjūdžio parko reprezentacinės dalies ir prieigų sutvarkymas </t>
  </si>
  <si>
    <t>Miesto vandens telkinių priežiūra:</t>
  </si>
  <si>
    <t>Medinių laiptų ir takų, vedančių per apsauginį kopagūbrį, remontas</t>
  </si>
  <si>
    <t>Gamtinės aplinkos stebėsenos ir ekologinio švietimo vykdymas:</t>
  </si>
  <si>
    <t>Įsigyta valymo mašinų, vnt.</t>
  </si>
  <si>
    <t>Pakeista Bendrojo plano (kraštovaizdžio dalies) sprendinių, proc.</t>
  </si>
  <si>
    <t>Priimta į sąvartyną atliekų, tūkst. t</t>
  </si>
  <si>
    <t>Valoma vandens telkinių, vnt.</t>
  </si>
  <si>
    <t>Parengtas techninis projektas, vnt.</t>
  </si>
  <si>
    <t>Kt</t>
  </si>
  <si>
    <t>Dviračių ir pėsčiųjų tako nuo Paryžiaus Komunos g. iki Jono kalnelio tiltelio įrengimas</t>
  </si>
  <si>
    <t>Mažinti aplinkos taršą vykdant infrastruktūros plėtros priemones</t>
  </si>
  <si>
    <t>Sakurų parko įrengimas teritorijoje tarp Žvejų rūmų, Taikos pr., Naikupės g. ir įvažiuojamojo kelio į Žvejų rūmus</t>
  </si>
  <si>
    <t>SB(L)</t>
  </si>
  <si>
    <t>SB(ES)</t>
  </si>
  <si>
    <t>Sutvirtinta kopagūbrio, pinant tvoreles iš žabų, m.</t>
  </si>
  <si>
    <t>2020-ieji metai</t>
  </si>
  <si>
    <t>Atlikta parko (1,1 ha) įrengimo darbų. Užbaigtumas, proc.</t>
  </si>
  <si>
    <t>Detalus (instrumentinis) medžio būklės vertinimas</t>
  </si>
  <si>
    <t>Ištirtų medžių kiekis, vnt.</t>
  </si>
  <si>
    <t>SB(ŽPL)</t>
  </si>
  <si>
    <t>Pėsčiųjų ir dviračių takų Minijos g. nuo Baltijos pr., Pilies g., Naujojoje Uosto g. įrengimas</t>
  </si>
  <si>
    <t>Dviračių ir pėsčiųjų takų  plėtra:</t>
  </si>
  <si>
    <t xml:space="preserve">Oro taršos kietosiomis dalelėmis mažinimas, atnaujinant gatvių priežiūros ir valymo technologijas </t>
  </si>
  <si>
    <t xml:space="preserve">Ąžuolyno giraitės sutvarkymas, gerinant gamtinę aplinką ir skatinant aktyvų laisvalaikį ir lankytojų srautus  </t>
  </si>
  <si>
    <t xml:space="preserve">Atlikta viešosios erdvės (86 027 m²)  sutvarkymo darbų. Užbaigtumas, proc. </t>
  </si>
  <si>
    <t>06</t>
  </si>
  <si>
    <t>Nutiesta dviračių tako (1,539 km). Užbaigtumas, proc.</t>
  </si>
  <si>
    <t>Pakeista medinių takų ir laiptų, tūkst. kv. m</t>
  </si>
  <si>
    <t>Planas</t>
  </si>
  <si>
    <t>Įrengta pusiau požeminių konteinerių aikštelių, vnt.</t>
  </si>
  <si>
    <t>Įrengta požeminių konteinerių aikštelių, vnt.</t>
  </si>
  <si>
    <t>Komunalinių atliekų tvarkymo infrastruktūros plėtra Klaipėdos miesto, Skuodo ir Kretingos rajonų bei Neringos savivaldybėse</t>
  </si>
  <si>
    <t>SB(ESL)</t>
  </si>
  <si>
    <t>Įrengta informacinių stendų prie atliekų surinkimo konteinerių aikštelių, vnt.</t>
  </si>
  <si>
    <t>Sutvarkyta želdinių prie dviračių takų, vnt.</t>
  </si>
  <si>
    <t>Iškirsta tuopų ir keičiama naujais želdiniais, vnt.</t>
  </si>
  <si>
    <r>
      <t xml:space="preserve">Savivaldybės biudžeto apyvartos lėšos ES finansinės paramos programų laikinam lėšų stygiui dengti </t>
    </r>
    <r>
      <rPr>
        <b/>
        <sz val="10"/>
        <rFont val="Times New Roman"/>
        <family val="1"/>
        <charset val="186"/>
      </rPr>
      <t>SB(ESA)</t>
    </r>
  </si>
  <si>
    <t>2,6</t>
  </si>
  <si>
    <t>Išvežta statybinių, biologiškai skaidžių šiukšlių, t</t>
  </si>
  <si>
    <t>Surinkta pavojingų atliekų, t</t>
  </si>
  <si>
    <t>Įgyvendinta atliekų tvarkymo švietimo priemonių, vnt.</t>
  </si>
  <si>
    <t xml:space="preserve">Vandens telkinių dugno valymas ir aplinkos apželdinimas </t>
  </si>
  <si>
    <t>Parengta ataskaita, vnt.</t>
  </si>
  <si>
    <t>Parengtas aplinkos oro kokybės valdymo priemonių planas, vnt.</t>
  </si>
  <si>
    <t>1</t>
  </si>
  <si>
    <t>Klaipėdos miesto bendrojo plano kraštovaizdžio dalies keitimas ir Melnragės parko įrengimas</t>
  </si>
  <si>
    <t>Malūno parko teritorijos sutvarkymas, gerinant gamtinę aplinką ir skatinant lankytojų srautus (I etapas)</t>
  </si>
  <si>
    <t>Smeltalės upės valymo poveikio aplinkai vertinimo atrankos rengimas</t>
  </si>
  <si>
    <r>
      <t xml:space="preserve">Savivaldybės tikslinės lėšos, skirtos aplinkos apsaugai </t>
    </r>
    <r>
      <rPr>
        <b/>
        <sz val="10"/>
        <rFont val="Times New Roman"/>
        <family val="1"/>
        <charset val="186"/>
      </rPr>
      <t>SB(AA)</t>
    </r>
  </si>
  <si>
    <t xml:space="preserve">Atlikta I etapo teritorijos sutvarkymo darbų. Užbaigtumas, proc. </t>
  </si>
  <si>
    <t>Projekto „Aplinkos pritaikymo ir aplinkosauginių priemonių įgyvendinimas Baltijos jūros paplūdimių zonoje“ įgyvendinimas</t>
  </si>
  <si>
    <t>Atnaujinta želdinių mieste, vnt.</t>
  </si>
  <si>
    <t>4</t>
  </si>
  <si>
    <t>60</t>
  </si>
  <si>
    <t>4,4</t>
  </si>
  <si>
    <t>Atlikta Danės upės senvagės sutvarkymo darbų. Užbaigtumas, proc.</t>
  </si>
  <si>
    <t>Atlikta Kretingos g. telkinio sutvarkymo darbų (2020 m. parengtas aprašas). Užbaigtumas, proc.</t>
  </si>
  <si>
    <t>Sutvirtinta kopagūbrio šakų klojiniais, tūkst. kv. m.</t>
  </si>
  <si>
    <t>Parengta krantotvarkos programa, vnt.</t>
  </si>
  <si>
    <t xml:space="preserve">Atlikta rangos darbų. Užbaigtumas, proc. </t>
  </si>
  <si>
    <t>Aplinkos taršos infrastruktūros priemonių įgyvendinimas:</t>
  </si>
  <si>
    <t>P1</t>
  </si>
  <si>
    <t>PI</t>
  </si>
  <si>
    <t xml:space="preserve">Atlikti parko įrengimo darbai. Užbaigtumas, proc. </t>
  </si>
  <si>
    <t>P6</t>
  </si>
  <si>
    <t>1,4</t>
  </si>
  <si>
    <t>Sutvarkytas Žardės mažasis telkinys, vnt.</t>
  </si>
  <si>
    <t>Parengtas Danės upės valymo darbų projektas (2023 m. darbų pradžia), vnt.</t>
  </si>
  <si>
    <t xml:space="preserve"> Projektų skyrius</t>
  </si>
  <si>
    <t xml:space="preserve"> Miesto tvarkymo skyrius </t>
  </si>
  <si>
    <t xml:space="preserve">Miesto tvarkymo skyrius </t>
  </si>
  <si>
    <t xml:space="preserve">Miesto tvarkymo skyrius 
</t>
  </si>
  <si>
    <t xml:space="preserve">Statybos ir infrastruktūros plėtros skyrius
</t>
  </si>
  <si>
    <t>Statybos ir infrastruktūros plėtros skyrius</t>
  </si>
  <si>
    <t>Ištirta teritorijų, kur rasta dirvožemio tarša Cr (chromu), vnt.</t>
  </si>
  <si>
    <t>Užterštos teritorijos šiaurinėje miesto dalyje ekogeologinių tyrimų atlikimas ir tvarkymo plano įgyvendinimas</t>
  </si>
  <si>
    <t>SB(VBL)</t>
  </si>
  <si>
    <r>
      <t xml:space="preserve">Valstybės biudžeto specialiosios tikslinės dotacijos likučių lėšos </t>
    </r>
    <r>
      <rPr>
        <b/>
        <sz val="10"/>
        <rFont val="Times New Roman"/>
        <family val="1"/>
        <charset val="186"/>
      </rPr>
      <t>SB(VBL)</t>
    </r>
  </si>
  <si>
    <t>P</t>
  </si>
  <si>
    <t>P, P1</t>
  </si>
  <si>
    <t>Išvalyti helofitai iš Žardės ir Draugystės  vandens telkinių bei Danės krantinės ploto, ha</t>
  </si>
  <si>
    <t>Triukšmo mažinimo priemonių geležinkeliuose įrengimas Klaipėdos miesto savivaldybėje (projektą įgyvendina AB „Lietuvos geležinkeliai“)</t>
  </si>
  <si>
    <t xml:space="preserve">Atlikta parko sutvarkymo darbų (BMX aikštelės prieigų sutvarkymas). Užbaigtumas, proc. </t>
  </si>
  <si>
    <t>Aplinkosaugos skyrius</t>
  </si>
  <si>
    <t>Miesto tvarkymo skyrius</t>
  </si>
  <si>
    <t>Vykdytojas</t>
  </si>
  <si>
    <t>Vyr. patarėja                 I. Kubilienė</t>
  </si>
  <si>
    <t>Vyr. patarėja             I. Kubilienė</t>
  </si>
  <si>
    <t>1000</t>
  </si>
  <si>
    <t>07</t>
  </si>
  <si>
    <t>Antrinių žaliavų surinkimo konteinerių įsigyjimas</t>
  </si>
  <si>
    <t>Parengtas planas, vnt.</t>
  </si>
  <si>
    <t>Įsigyta konteinerių, vnt.</t>
  </si>
  <si>
    <t>Klaipėdos miesto savivaldybės atliekų prevencijos ir tvarkymo 2021–2027 m. plano parengimas</t>
  </si>
  <si>
    <t>I,    P6</t>
  </si>
  <si>
    <t>2020 m. asignavimų planas*</t>
  </si>
  <si>
    <t>2021 m. asignavimų projektas</t>
  </si>
  <si>
    <t>2022 m. asignavimų projektas</t>
  </si>
  <si>
    <t>2023 m. asignavimų projektas</t>
  </si>
  <si>
    <t>Produkto kriterijus</t>
  </si>
  <si>
    <r>
      <t xml:space="preserve">2020-2023 M. KLAIPĖDOS MIESTO SAVIVALDYBĖS </t>
    </r>
    <r>
      <rPr>
        <b/>
        <sz val="11"/>
        <rFont val="Times New Roman"/>
        <family val="1"/>
        <charset val="186"/>
      </rPr>
      <t xml:space="preserve">        </t>
    </r>
  </si>
  <si>
    <t>2021-ieji metai</t>
  </si>
  <si>
    <t>2022-ieji metai</t>
  </si>
  <si>
    <t>2023-ieji metai</t>
  </si>
  <si>
    <t>Apsauginės paskirties želdynų ir želdinių įrengimo labiausiai taršos veikiamose teritorijose veiksmų plano  2020-2023 m. įgyvendinimas, proc.</t>
  </si>
  <si>
    <t>2020 m.  asignavimų planas*</t>
  </si>
  <si>
    <t>3,5</t>
  </si>
  <si>
    <t>Parengta užterštų teritorijų tvarkymo planų, vnt.</t>
  </si>
  <si>
    <t>Klaipėdos miesto savivaldybės aplinkos monitoringo 2022–2026 m. programos parengimas</t>
  </si>
  <si>
    <t>Atlikta inventorizacija. Užbaigtumas, proc.</t>
  </si>
  <si>
    <t>Parengta programa, vnt.</t>
  </si>
  <si>
    <t>Smeltalės upės valymo darbai</t>
  </si>
  <si>
    <t xml:space="preserve">Dviračių ir pėsčiųjų tako Danės upės slėnio teritorijoje nuo Klaipėdos g. tilto iki miesto ribos įrengimas </t>
  </si>
  <si>
    <t>Dviračių ir pėsčiųjų takų bei jungčių Smiltynėje iki Naujosios perkėlos įrengimas</t>
  </si>
  <si>
    <t>Atlikta techninio projekto korektūra, vnt.</t>
  </si>
  <si>
    <t xml:space="preserve">Atlikta įrengimo darbų. Užbaigtumas, proc. </t>
  </si>
  <si>
    <t>1,1</t>
  </si>
  <si>
    <t>4,5</t>
  </si>
  <si>
    <t>Sutvarkyta teritorijų, vnt.</t>
  </si>
  <si>
    <t>Šikšnosparnių inkilų pagaminimas ir iškėlimas</t>
  </si>
  <si>
    <t>Želdynų ir želdinių inventorizavimas ir  jų geoduomenų bazės tikslinimas ir papildymas</t>
  </si>
  <si>
    <t>Pakabinta inkilų šikšnosparniams, vnt.</t>
  </si>
  <si>
    <t>5,5</t>
  </si>
  <si>
    <t>Atlikti Danės upės valymo darbai. Užbaigtumas, proc.</t>
  </si>
  <si>
    <t>Projektų skyrius</t>
  </si>
  <si>
    <t xml:space="preserve">Atlikta II etapo teritorijos sutvarkymo darbų. Užbaigtumas, proc. </t>
  </si>
  <si>
    <t>Nutiesta dviračių tako. Užbaigtumas, proc.</t>
  </si>
  <si>
    <t>Dviračių ir pėsčiųjų tilto per Danės upę, jungiančio naująją mokyklą šiaurinėje miesto dalyje su Tauralaukio kvartalu,  statyba</t>
  </si>
  <si>
    <t>Architektūrinio konkurso organizavimas, vnt.</t>
  </si>
  <si>
    <t>Parengtas techninis darbų projektas, vnt.</t>
  </si>
  <si>
    <t>Poveikio aplinkai vertinimas, vnt.</t>
  </si>
  <si>
    <t>100</t>
  </si>
  <si>
    <t>Urbanistikos ir architektūros skyrius</t>
  </si>
  <si>
    <t>Architektūrinių konkursų (su prizais ) organizavimas, vnt.</t>
  </si>
  <si>
    <t>Detaliojo plano keitimas, vnt.</t>
  </si>
  <si>
    <t>Techninio darbo projekto parengimas, vnt.</t>
  </si>
  <si>
    <t xml:space="preserve">* Pagal Klaipėdos miesto savivaldybės tarybos 2020-10-29 sprendimą T2-231
</t>
  </si>
  <si>
    <t>08</t>
  </si>
  <si>
    <t xml:space="preserve">Automatinių oro matavimo stotelių tinklo sukūrimas </t>
  </si>
  <si>
    <t>ES</t>
  </si>
  <si>
    <t>Įsigyta organinių junginių kiekio stebėjimo stotelės, vnt.</t>
  </si>
  <si>
    <t>Įsigyta kietųjų dalelių kiekio stebėjimo stotelių, vnt.</t>
  </si>
  <si>
    <t>Danės upės valymo poveikio aplinkai vertinimo atrankos rengimas</t>
  </si>
  <si>
    <t>Įgyvendinta aplinkosauginių švietimo priemonių siekiant gauti mėlynąją vėliavą paplūdimiams, oro kokybės gerinimo ir kt. klausimais,  vnt.</t>
  </si>
  <si>
    <t>Lietaus nuotekų tinklų įrengimas Turistų gatvėje</t>
  </si>
  <si>
    <t xml:space="preserve">Atlikta upės valymo darbų. Užbaigtumas, proc. </t>
  </si>
  <si>
    <r>
      <t xml:space="preserve">Europos Sąjungos finansinės paramos lėšos, kurios įtrauktos į Savivaldybės biudžetą </t>
    </r>
    <r>
      <rPr>
        <b/>
        <sz val="10"/>
        <rFont val="Times New Roman"/>
        <family val="1"/>
        <charset val="186"/>
      </rPr>
      <t>SB(ES)</t>
    </r>
  </si>
  <si>
    <r>
      <t xml:space="preserve">Vietinių rinkliavų likučio lėšos </t>
    </r>
    <r>
      <rPr>
        <b/>
        <sz val="10"/>
        <rFont val="Times New Roman"/>
        <family val="1"/>
        <charset val="186"/>
      </rPr>
      <t>SB(VRL)</t>
    </r>
  </si>
  <si>
    <r>
      <t xml:space="preserve">Programų lėšų likučių lėšos </t>
    </r>
    <r>
      <rPr>
        <b/>
        <sz val="10"/>
        <rFont val="Times New Roman"/>
        <family val="1"/>
        <charset val="186"/>
      </rPr>
      <t>SB(L)</t>
    </r>
  </si>
  <si>
    <r>
      <t xml:space="preserve">Europos Sąjungos finansinės paramos lėšų likučio metų pradžioje lėšos </t>
    </r>
    <r>
      <rPr>
        <b/>
        <sz val="10"/>
        <rFont val="Times New Roman"/>
        <family val="1"/>
        <charset val="186"/>
      </rPr>
      <t>SB(ESL)</t>
    </r>
  </si>
  <si>
    <t>30</t>
  </si>
  <si>
    <t>LRVB</t>
  </si>
  <si>
    <t>09</t>
  </si>
  <si>
    <t>Girulių miško vertingųjų savybių nustatymo tyrimo atlikimas</t>
  </si>
  <si>
    <t xml:space="preserve">Klaipėdos miesto savivaldybės aplinkos apsaugos programos (Nr. 05) aprašymo     </t>
  </si>
  <si>
    <t>priedas</t>
  </si>
  <si>
    <t>SB(VR)'</t>
  </si>
  <si>
    <t>SB(VRL)'</t>
  </si>
  <si>
    <t>SB(AA)'</t>
  </si>
  <si>
    <t>SB(AAL)'</t>
  </si>
  <si>
    <t>ES'</t>
  </si>
  <si>
    <t>SB'</t>
  </si>
  <si>
    <t>Kt'</t>
  </si>
  <si>
    <t>SB(ES)'</t>
  </si>
  <si>
    <t>SB(L)'</t>
  </si>
  <si>
    <t>SB(VB)'</t>
  </si>
  <si>
    <t>SB(VBL)'</t>
  </si>
  <si>
    <t>SB(ESL)'</t>
  </si>
  <si>
    <t>LRVB'</t>
  </si>
  <si>
    <r>
      <t xml:space="preserve">2021–2023 M. KLAIPĖDOS MIESTO SAVIVALDYBĖS </t>
    </r>
    <r>
      <rPr>
        <b/>
        <sz val="11"/>
        <rFont val="Times New Roman"/>
        <family val="1"/>
        <charset val="186"/>
      </rPr>
      <t xml:space="preserve">        </t>
    </r>
  </si>
  <si>
    <t>Klaipėdos miesto savivaldybės atliekų prevencijos ir tvarkymo 2021–2027 metų plano parengimas</t>
  </si>
  <si>
    <t>Įgyvendinta aplinkosauginių švietimo priemonių siekiant gauti mėlynąją vėliavą paplūdimiams, oro kokybės gerinimo ir kt. klausimais, vnt.</t>
  </si>
  <si>
    <t>Klaipėdos miesto savivaldybės aplinkos monitoringo 2022–2026 metų programos parengimas</t>
  </si>
  <si>
    <t>Pašalinti helofitai iš Žardės ir Draugystės  vandens telkinių bei Danės krantinės ploto, ha</t>
  </si>
  <si>
    <t>Sutvirtinta kopagūbrio šakų klojiniais, tūkst. kv. m</t>
  </si>
  <si>
    <r>
      <t xml:space="preserve">Europos Sąjungos finansinės paramos lėšos, kurios įtrauktos į savivaldybės biudžetą </t>
    </r>
    <r>
      <rPr>
        <b/>
        <sz val="10"/>
        <rFont val="Times New Roman"/>
        <family val="1"/>
        <charset val="186"/>
      </rPr>
      <t>SB(ES)</t>
    </r>
  </si>
  <si>
    <t>Želdynų projektavimas</t>
  </si>
  <si>
    <t>Aiškinamojo rašto 3 priedas</t>
  </si>
  <si>
    <t>P4</t>
  </si>
  <si>
    <t>2021-ųjų metų asignavimų planas</t>
  </si>
  <si>
    <t>2022-ųjų metų asignavimų planas</t>
  </si>
  <si>
    <t>2023-ųjų metų asignavimų planas</t>
  </si>
  <si>
    <t>planas</t>
  </si>
  <si>
    <t>Produkto kriterijaus</t>
  </si>
  <si>
    <t>Siūlomas keisti 2021-ųjų metų asignavimų planas</t>
  </si>
  <si>
    <t>Skirtumas</t>
  </si>
  <si>
    <t>Siūlomas keisti 2022-ųjų metų asignavimų planas</t>
  </si>
  <si>
    <t>Siūlomas keisti 2023-ųjų metų asignavimų planas</t>
  </si>
  <si>
    <t>Siūlomas keisti</t>
  </si>
  <si>
    <t>Keitimo priežastis</t>
  </si>
  <si>
    <t>Lyginamasis variantas</t>
  </si>
  <si>
    <t>Pasodinta medžių, vnt.</t>
  </si>
  <si>
    <t>Pasodinta krūmų, vnt.</t>
  </si>
  <si>
    <t>Apsauginės paskirties želdynų ir želdinių įrengimo labiausiai taršos veikiamose teritorijose veiksmų plano 2021 m. įgyvendinimas, proc.</t>
  </si>
  <si>
    <t>Melnragės parko rytinės dalies įrengimas</t>
  </si>
  <si>
    <t xml:space="preserve">Atlikti parko rytinės dalies  įrengimo darbai. Užbaigtumas, proc. </t>
  </si>
  <si>
    <t>Remiantis „Miško parko“ koncepcija parengtas techninis projektas, vnt.</t>
  </si>
  <si>
    <t>Užterštų teritorijų ekogeologinių tyrimų atlikimas ir tvarkymo planų įgyvendinimas</t>
  </si>
  <si>
    <t xml:space="preserve">Projekto „Miško parkas“  pėsčiųjų ir dviračių takų  įrengimas Smiltynėje </t>
  </si>
  <si>
    <t>57,1</t>
  </si>
  <si>
    <t>Pėsčiųjų ir dviračių takų ties Minijos g., Pilies g., Baltijos pr., Šilutės pl., Varpų g., Dubysos g., Liubeko g. kapitalinis remontas, siekiant didinti rišlumą</t>
  </si>
  <si>
    <t xml:space="preserve">Pėsčiųjų ir dviračių takų ties Minijos g., Pilies g., Baltijos pr., Šilutės pl., Varpų g., Dubysos g., Liubeko g. kapitalinis remontas, siekiant didinti rišlumą </t>
  </si>
  <si>
    <t xml:space="preserve">Remiantis „Miško parko“ koncepcija parengtas techninis projektas, vnt. </t>
  </si>
  <si>
    <t>Techninio projekto atnaujinimas, vnt.</t>
  </si>
  <si>
    <r>
      <t xml:space="preserve">Techninio </t>
    </r>
    <r>
      <rPr>
        <sz val="10"/>
        <rFont val="Times New Roman"/>
        <family val="1"/>
        <charset val="186"/>
      </rPr>
      <t>projekto atnaujinimas, vnt.</t>
    </r>
  </si>
  <si>
    <t>Želdynų ir želdinių apsaugos, priežiūros ir tvarkymo komisijos narių veiklos užtikrinimas</t>
  </si>
  <si>
    <t>Komisijos narių skaičius</t>
  </si>
  <si>
    <r>
      <rPr>
        <b/>
        <sz val="10"/>
        <rFont val="Times New Roman"/>
        <family val="1"/>
        <charset val="186"/>
      </rPr>
      <t>Didinama</t>
    </r>
    <r>
      <rPr>
        <sz val="10"/>
        <rFont val="Times New Roman"/>
        <family val="1"/>
        <charset val="186"/>
      </rPr>
      <t xml:space="preserve"> finansavimo apimtis </t>
    </r>
    <r>
      <rPr>
        <b/>
        <sz val="10"/>
        <rFont val="Times New Roman"/>
        <family val="1"/>
        <charset val="186"/>
      </rPr>
      <t>13,9 tūkst. Eur</t>
    </r>
    <r>
      <rPr>
        <sz val="10"/>
        <rFont val="Times New Roman"/>
        <family val="1"/>
        <charset val="186"/>
      </rPr>
      <t xml:space="preserve"> (SB(VR)) Lėbartų kapinių atliekų išvežimui, nes planuojama išvežti daugiau tonų atliekų.</t>
    </r>
  </si>
  <si>
    <r>
      <rPr>
        <b/>
        <sz val="10"/>
        <rFont val="Times New Roman"/>
        <family val="1"/>
        <charset val="186"/>
      </rPr>
      <t xml:space="preserve">Didinama </t>
    </r>
    <r>
      <rPr>
        <sz val="10"/>
        <rFont val="Times New Roman"/>
        <family val="1"/>
        <charset val="186"/>
      </rPr>
      <t xml:space="preserve">finansavimo apimtis </t>
    </r>
    <r>
      <rPr>
        <b/>
        <sz val="10"/>
        <rFont val="Times New Roman"/>
        <family val="1"/>
        <charset val="186"/>
      </rPr>
      <t>28,5 tūkst. Eur</t>
    </r>
    <r>
      <rPr>
        <sz val="10"/>
        <rFont val="Times New Roman"/>
        <family val="1"/>
        <charset val="186"/>
      </rPr>
      <t xml:space="preserve"> SB(VB), nes Aplinkos apsaugos ministerija už 2020 m. atliktus darbus lėšas pervedė tik šių metų viduryje. Ataskaita ministerijai buvo pateikta 2020 m. gruodžio mėnesio pradžioje.</t>
    </r>
  </si>
  <si>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 xml:space="preserve">2021 m. 190,9 tūkst. Eur </t>
    </r>
    <r>
      <rPr>
        <sz val="10"/>
        <rFont val="Times New Roman"/>
        <family val="1"/>
        <charset val="186"/>
      </rPr>
      <t xml:space="preserve">(SB), nes darbai bus pradėti tik 2021-10-18, sutartis buvo sustabdyta dėl projekto korekcijos ir ekspertizės pirkimų, todėl šiemet bus atlikta mažiau darbų nei planuota. </t>
    </r>
    <r>
      <rPr>
        <b/>
        <sz val="10"/>
        <rFont val="Times New Roman"/>
        <family val="1"/>
        <charset val="186"/>
      </rPr>
      <t>Didinama</t>
    </r>
    <r>
      <rPr>
        <sz val="10"/>
        <rFont val="Times New Roman"/>
        <family val="1"/>
        <charset val="186"/>
      </rPr>
      <t xml:space="preserve"> finansavimo apimtis 2022 m. </t>
    </r>
    <r>
      <rPr>
        <b/>
        <sz val="10"/>
        <rFont val="Times New Roman"/>
        <family val="1"/>
        <charset val="186"/>
      </rPr>
      <t xml:space="preserve">332,2 tūkst. Eur </t>
    </r>
    <r>
      <rPr>
        <sz val="10"/>
        <rFont val="Times New Roman"/>
        <family val="1"/>
        <charset val="186"/>
      </rPr>
      <t>(SB), nes lėšų darbams atlikti reikės daugiau dėl atsiradusių papildomų neplanuotų darbų poreikio bei dalies darbų perkėlimo iš 2021 m.</t>
    </r>
  </si>
  <si>
    <r>
      <rPr>
        <b/>
        <sz val="10"/>
        <rFont val="Times New Roman"/>
        <family val="1"/>
        <charset val="186"/>
      </rPr>
      <t>Mažinama</t>
    </r>
    <r>
      <rPr>
        <sz val="10"/>
        <rFont val="Times New Roman"/>
        <family val="1"/>
        <charset val="186"/>
      </rPr>
      <t xml:space="preserve"> finansavimo apimtis </t>
    </r>
    <r>
      <rPr>
        <b/>
        <sz val="10"/>
        <rFont val="Times New Roman"/>
        <family val="1"/>
        <charset val="186"/>
      </rPr>
      <t>7,8 tūkst. Eur</t>
    </r>
    <r>
      <rPr>
        <sz val="10"/>
        <rFont val="Times New Roman"/>
        <family val="1"/>
        <charset val="186"/>
      </rPr>
      <t xml:space="preserve"> (SB), nes pasirašomas papildomas susitarimas prie 2020-02-04 rangos sutarties Nr. J9-517 dėl nevykdomų papildomų darbų.</t>
    </r>
  </si>
  <si>
    <t>Įtraukiama nauja priemonė ir skiriamas  finansavimas, nes pagal pasikeitusius įstatymus nuo 2021 m. lapkričio mėnesio reikia numatyti lėšas komisijos narių atlygiui už darbą komisijoje.</t>
  </si>
  <si>
    <t>Parengti techniniai projektai, vnt.</t>
  </si>
  <si>
    <r>
      <rPr>
        <b/>
        <sz val="10"/>
        <rFont val="Times New Roman"/>
        <family val="1"/>
        <charset val="186"/>
      </rPr>
      <t>Didinama</t>
    </r>
    <r>
      <rPr>
        <sz val="10"/>
        <rFont val="Times New Roman"/>
        <family val="1"/>
        <charset val="186"/>
      </rPr>
      <t xml:space="preserve"> finansavimo apimtis </t>
    </r>
    <r>
      <rPr>
        <b/>
        <sz val="10"/>
        <rFont val="Times New Roman"/>
        <family val="1"/>
        <charset val="186"/>
      </rPr>
      <t xml:space="preserve">7,8 tūkst. Eur </t>
    </r>
    <r>
      <rPr>
        <sz val="10"/>
        <rFont val="Times New Roman"/>
        <family val="1"/>
        <charset val="186"/>
      </rPr>
      <t xml:space="preserve">(SB) – atsiskaitymui už projektavimo darbus pagal projektavimo sutartis.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</si>
</sst>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General"/>
  </numFmts>
  <fonts count="28" x14ac:knownFonts="1">
    <font>
      <sz val="11"/>
      <color theme="1"/>
      <name val="Calibri"/>
      <family val="2"/>
      <charset val="186"/>
      <scheme val="minor"/>
    </font>
    <font>
      <sz val="10"/>
      <name val="Times New Roman"/>
      <family val="1"/>
      <charset val="186"/>
    </font>
    <font>
      <b/>
      <sz val="10"/>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name val="Calibri"/>
      <family val="2"/>
      <charset val="186"/>
      <scheme val="minor"/>
    </font>
    <font>
      <i/>
      <sz val="10"/>
      <name val="Times New Roman"/>
      <family val="1"/>
      <charset val="186"/>
    </font>
    <font>
      <sz val="12"/>
      <name val="Times New Roman"/>
      <family val="1"/>
      <charset val="186"/>
    </font>
    <font>
      <b/>
      <sz val="12"/>
      <name val="Times New Roman"/>
      <family val="1"/>
      <charset val="186"/>
    </font>
    <font>
      <sz val="11"/>
      <color rgb="FF000000"/>
      <name val="Calibri"/>
      <family val="2"/>
      <charset val="186"/>
    </font>
    <font>
      <sz val="11"/>
      <name val="Times New Roman"/>
      <family val="1"/>
      <charset val="186"/>
    </font>
    <font>
      <b/>
      <sz val="9"/>
      <name val="Times New Roman"/>
      <family val="1"/>
      <charset val="186"/>
    </font>
    <font>
      <b/>
      <sz val="10"/>
      <name val="Calibri"/>
      <family val="2"/>
      <charset val="186"/>
      <scheme val="minor"/>
    </font>
    <font>
      <b/>
      <sz val="11"/>
      <name val="Times New Roman"/>
      <family val="1"/>
      <charset val="186"/>
    </font>
    <font>
      <strike/>
      <sz val="10"/>
      <name val="Times New Roman"/>
      <family val="1"/>
      <charset val="186"/>
    </font>
    <font>
      <b/>
      <sz val="9"/>
      <name val="Calibri"/>
      <family val="2"/>
      <charset val="186"/>
      <scheme val="minor"/>
    </font>
    <font>
      <sz val="10"/>
      <color theme="1"/>
      <name val="Times New Roman"/>
      <family val="1"/>
      <charset val="186"/>
    </font>
    <font>
      <sz val="10"/>
      <color theme="0"/>
      <name val="Times New Roman"/>
      <family val="1"/>
      <charset val="186"/>
    </font>
    <font>
      <sz val="10"/>
      <color rgb="FFFF0000"/>
      <name val="Times New Roman"/>
      <family val="1"/>
      <charset val="186"/>
    </font>
    <font>
      <sz val="10"/>
      <color rgb="FF00B050"/>
      <name val="Times New Roman"/>
      <family val="1"/>
      <charset val="186"/>
    </font>
    <font>
      <b/>
      <sz val="10"/>
      <color rgb="FFFF0000"/>
      <name val="Calibri"/>
      <family val="2"/>
      <charset val="186"/>
      <scheme val="minor"/>
    </font>
    <font>
      <sz val="10"/>
      <color rgb="FF0070C0"/>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
      <patternFill patternType="solid">
        <fgColor rgb="FFFFFFFF"/>
        <bgColor indexed="64"/>
      </patternFill>
    </fill>
  </fills>
  <borders count="1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right/>
      <top/>
      <bottom style="hair">
        <color indexed="64"/>
      </bottom>
      <diagonal/>
    </border>
    <border>
      <left style="medium">
        <color indexed="64"/>
      </left>
      <right style="thin">
        <color indexed="64"/>
      </right>
      <top style="hair">
        <color indexed="64"/>
      </top>
      <bottom/>
      <diagonal/>
    </border>
    <border>
      <left/>
      <right style="thin">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s>
  <cellStyleXfs count="3">
    <xf numFmtId="0" fontId="0" fillId="0" borderId="0"/>
    <xf numFmtId="0" fontId="3" fillId="0" borderId="0"/>
    <xf numFmtId="165" fontId="15" fillId="0" borderId="0" applyBorder="0" applyProtection="0"/>
  </cellStyleXfs>
  <cellXfs count="1654">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3" fillId="0" borderId="0" xfId="0" applyNumberFormat="1" applyFont="1" applyBorder="1"/>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59" xfId="0" applyNumberFormat="1" applyFont="1" applyFill="1" applyBorder="1" applyAlignment="1">
      <alignment horizontal="center" vertical="top"/>
    </xf>
    <xf numFmtId="3" fontId="2" fillId="5" borderId="60" xfId="0" applyNumberFormat="1" applyFont="1" applyFill="1" applyBorder="1" applyAlignment="1">
      <alignment horizontal="center" vertical="top"/>
    </xf>
    <xf numFmtId="3" fontId="2" fillId="6" borderId="48" xfId="0" applyNumberFormat="1" applyFont="1" applyFill="1" applyBorder="1" applyAlignment="1">
      <alignment vertical="top" wrapText="1"/>
    </xf>
    <xf numFmtId="0" fontId="1" fillId="0" borderId="0" xfId="0" applyFont="1" applyBorder="1" applyAlignment="1">
      <alignment vertical="top"/>
    </xf>
    <xf numFmtId="3" fontId="2" fillId="4" borderId="64"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2" fillId="0" borderId="49" xfId="0" applyNumberFormat="1" applyFont="1" applyBorder="1" applyAlignment="1">
      <alignment horizontal="center" vertical="top"/>
    </xf>
    <xf numFmtId="3" fontId="2" fillId="0" borderId="49"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8" xfId="0" applyNumberFormat="1" applyFont="1" applyFill="1" applyBorder="1" applyAlignment="1">
      <alignment horizontal="center" vertical="top" wrapText="1"/>
    </xf>
    <xf numFmtId="3" fontId="2" fillId="6" borderId="48" xfId="0" applyNumberFormat="1" applyFont="1" applyFill="1" applyBorder="1" applyAlignment="1">
      <alignment horizontal="left" vertical="top" wrapText="1"/>
    </xf>
    <xf numFmtId="3" fontId="2" fillId="3" borderId="59"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3" fontId="4" fillId="0" borderId="36"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2" fillId="3" borderId="34" xfId="0" applyNumberFormat="1" applyFont="1" applyFill="1" applyBorder="1" applyAlignment="1">
      <alignment horizontal="center" vertical="top" wrapText="1"/>
    </xf>
    <xf numFmtId="164" fontId="2" fillId="8" borderId="45" xfId="0" applyNumberFormat="1" applyFont="1" applyFill="1" applyBorder="1" applyAlignment="1">
      <alignment horizontal="center" vertical="top" wrapText="1"/>
    </xf>
    <xf numFmtId="3" fontId="1" fillId="6" borderId="40" xfId="0" applyNumberFormat="1" applyFont="1" applyFill="1" applyBorder="1" applyAlignment="1">
      <alignment vertical="top" wrapText="1"/>
    </xf>
    <xf numFmtId="164" fontId="2" fillId="8" borderId="34" xfId="0" applyNumberFormat="1" applyFont="1" applyFill="1" applyBorder="1" applyAlignment="1">
      <alignment horizontal="center" vertical="top" wrapText="1"/>
    </xf>
    <xf numFmtId="164" fontId="1" fillId="0" borderId="34" xfId="0" applyNumberFormat="1" applyFont="1" applyBorder="1" applyAlignment="1">
      <alignment horizontal="center" vertical="top" wrapText="1"/>
    </xf>
    <xf numFmtId="164" fontId="1" fillId="8" borderId="34" xfId="0" applyNumberFormat="1" applyFont="1" applyFill="1" applyBorder="1" applyAlignment="1">
      <alignment horizontal="center" vertical="top" wrapText="1"/>
    </xf>
    <xf numFmtId="164" fontId="1" fillId="6" borderId="58"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0" fontId="1" fillId="0" borderId="30" xfId="0" applyFont="1" applyBorder="1" applyAlignment="1">
      <alignment horizontal="center" vertical="center" textRotation="90"/>
    </xf>
    <xf numFmtId="164" fontId="1" fillId="6" borderId="16" xfId="0" applyNumberFormat="1" applyFont="1" applyFill="1" applyBorder="1" applyAlignment="1">
      <alignment horizontal="center" vertical="top" wrapText="1"/>
    </xf>
    <xf numFmtId="3" fontId="7"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wrapText="1"/>
    </xf>
    <xf numFmtId="3" fontId="2" fillId="6" borderId="56" xfId="0" applyNumberFormat="1" applyFont="1" applyFill="1" applyBorder="1" applyAlignment="1">
      <alignment horizontal="center" vertical="top" wrapText="1"/>
    </xf>
    <xf numFmtId="49" fontId="2" fillId="6" borderId="40" xfId="0" applyNumberFormat="1" applyFont="1" applyFill="1" applyBorder="1" applyAlignment="1">
      <alignment horizontal="center" vertical="top"/>
    </xf>
    <xf numFmtId="3" fontId="2" fillId="6" borderId="4" xfId="0" applyNumberFormat="1" applyFont="1" applyFill="1" applyBorder="1" applyAlignment="1">
      <alignment vertical="top" wrapText="1"/>
    </xf>
    <xf numFmtId="49" fontId="2" fillId="6" borderId="49" xfId="0" applyNumberFormat="1" applyFont="1" applyFill="1" applyBorder="1" applyAlignment="1">
      <alignment horizontal="center" vertical="top"/>
    </xf>
    <xf numFmtId="49" fontId="2" fillId="4" borderId="23"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0" fontId="1" fillId="7" borderId="0" xfId="0" applyFont="1" applyFill="1" applyAlignment="1">
      <alignment vertical="top"/>
    </xf>
    <xf numFmtId="0" fontId="1" fillId="0" borderId="0" xfId="0" applyFont="1" applyFill="1" applyAlignment="1">
      <alignment vertical="top"/>
    </xf>
    <xf numFmtId="3" fontId="1" fillId="6" borderId="66" xfId="0" applyNumberFormat="1" applyFont="1" applyFill="1" applyBorder="1" applyAlignment="1">
      <alignment vertical="top" wrapText="1"/>
    </xf>
    <xf numFmtId="3" fontId="1" fillId="0" borderId="0" xfId="0" applyNumberFormat="1" applyFont="1" applyAlignment="1">
      <alignment horizontal="center" vertical="top"/>
    </xf>
    <xf numFmtId="49" fontId="2" fillId="8" borderId="25" xfId="0" applyNumberFormat="1" applyFont="1" applyFill="1" applyBorder="1" applyAlignment="1">
      <alignment horizontal="center" vertical="top"/>
    </xf>
    <xf numFmtId="3" fontId="2" fillId="8" borderId="25" xfId="0" applyNumberFormat="1" applyFont="1" applyFill="1" applyBorder="1" applyAlignment="1">
      <alignment horizontal="center" vertical="top"/>
    </xf>
    <xf numFmtId="49" fontId="2" fillId="6" borderId="18"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2" fillId="8" borderId="12" xfId="0" applyNumberFormat="1" applyFont="1" applyFill="1" applyBorder="1" applyAlignment="1">
      <alignment vertical="top"/>
    </xf>
    <xf numFmtId="3" fontId="2" fillId="8" borderId="3" xfId="0" applyNumberFormat="1" applyFont="1" applyFill="1" applyBorder="1" applyAlignment="1">
      <alignment horizontal="center" vertical="top" wrapText="1"/>
    </xf>
    <xf numFmtId="49" fontId="1" fillId="6" borderId="56" xfId="0" applyNumberFormat="1" applyFont="1" applyFill="1" applyBorder="1" applyAlignment="1">
      <alignment horizontal="center" vertical="top"/>
    </xf>
    <xf numFmtId="164" fontId="2" fillId="4" borderId="11"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1" fillId="0" borderId="0" xfId="0" applyNumberFormat="1" applyFont="1" applyBorder="1" applyAlignment="1">
      <alignment vertical="top"/>
    </xf>
    <xf numFmtId="164" fontId="2" fillId="8" borderId="12" xfId="0" applyNumberFormat="1" applyFont="1" applyFill="1" applyBorder="1" applyAlignment="1">
      <alignment horizontal="center" vertical="top"/>
    </xf>
    <xf numFmtId="3" fontId="7" fillId="6" borderId="67" xfId="0" applyNumberFormat="1" applyFont="1" applyFill="1" applyBorder="1" applyAlignment="1">
      <alignment horizontal="center" vertical="top"/>
    </xf>
    <xf numFmtId="0" fontId="1" fillId="0" borderId="0" xfId="0" applyFont="1" applyAlignment="1">
      <alignment vertical="top"/>
    </xf>
    <xf numFmtId="164" fontId="2" fillId="6" borderId="13" xfId="0" applyNumberFormat="1" applyFont="1" applyFill="1" applyBorder="1" applyAlignment="1">
      <alignment horizontal="center" vertical="top"/>
    </xf>
    <xf numFmtId="49" fontId="2" fillId="6" borderId="56"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3" fontId="1" fillId="0" borderId="0" xfId="0" applyNumberFormat="1" applyFont="1" applyBorder="1" applyAlignment="1">
      <alignment vertical="top"/>
    </xf>
    <xf numFmtId="3" fontId="1" fillId="6" borderId="41" xfId="0" applyNumberFormat="1" applyFont="1" applyFill="1" applyBorder="1" applyAlignment="1">
      <alignment vertical="top" wrapText="1"/>
    </xf>
    <xf numFmtId="49" fontId="1" fillId="6" borderId="13" xfId="0" applyNumberFormat="1" applyFont="1" applyFill="1" applyBorder="1" applyAlignment="1">
      <alignment horizontal="center" vertical="top"/>
    </xf>
    <xf numFmtId="3" fontId="2" fillId="8" borderId="28"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 fillId="6" borderId="14" xfId="1" applyNumberFormat="1" applyFont="1" applyFill="1" applyBorder="1" applyAlignment="1">
      <alignment horizontal="center" vertical="top"/>
    </xf>
    <xf numFmtId="164" fontId="11" fillId="0" borderId="0" xfId="0" applyNumberFormat="1" applyFont="1"/>
    <xf numFmtId="0" fontId="11" fillId="0" borderId="0" xfId="0" applyFont="1"/>
    <xf numFmtId="0" fontId="1" fillId="6" borderId="67"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50" xfId="0"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6" borderId="34" xfId="0" applyNumberFormat="1" applyFont="1" applyFill="1" applyBorder="1" applyAlignment="1">
      <alignment horizontal="center" vertical="top"/>
    </xf>
    <xf numFmtId="3" fontId="1" fillId="0" borderId="67" xfId="0" applyNumberFormat="1" applyFont="1" applyFill="1" applyBorder="1" applyAlignment="1">
      <alignment horizontal="center" vertical="top"/>
    </xf>
    <xf numFmtId="3" fontId="1" fillId="0" borderId="50" xfId="0" applyNumberFormat="1" applyFont="1" applyBorder="1" applyAlignment="1">
      <alignment horizontal="center" vertical="top"/>
    </xf>
    <xf numFmtId="3" fontId="1" fillId="0" borderId="47" xfId="0" applyNumberFormat="1" applyFont="1" applyFill="1" applyBorder="1" applyAlignment="1">
      <alignment horizontal="center" vertical="top"/>
    </xf>
    <xf numFmtId="3" fontId="2" fillId="0" borderId="47" xfId="0" applyNumberFormat="1" applyFont="1" applyFill="1" applyBorder="1" applyAlignment="1">
      <alignment horizontal="center" vertical="top"/>
    </xf>
    <xf numFmtId="164" fontId="2" fillId="3" borderId="47"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xf>
    <xf numFmtId="3" fontId="2" fillId="6" borderId="36" xfId="0" applyNumberFormat="1" applyFont="1" applyFill="1" applyBorder="1" applyAlignment="1">
      <alignment horizontal="center" vertical="top" wrapText="1"/>
    </xf>
    <xf numFmtId="164" fontId="1" fillId="0" borderId="0" xfId="0" applyNumberFormat="1" applyFont="1" applyFill="1" applyAlignment="1">
      <alignment vertical="top"/>
    </xf>
    <xf numFmtId="3" fontId="1" fillId="6" borderId="56" xfId="0" applyNumberFormat="1" applyFont="1" applyFill="1" applyBorder="1" applyAlignment="1">
      <alignment vertical="top" wrapText="1"/>
    </xf>
    <xf numFmtId="3" fontId="2" fillId="6" borderId="7"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1" fillId="0" borderId="0" xfId="0" applyNumberFormat="1" applyFont="1" applyFill="1" applyAlignment="1">
      <alignment horizontal="center" vertical="top"/>
    </xf>
    <xf numFmtId="3" fontId="5" fillId="6" borderId="12" xfId="0" applyNumberFormat="1" applyFont="1" applyFill="1" applyBorder="1" applyAlignment="1">
      <alignment vertical="top" wrapText="1"/>
    </xf>
    <xf numFmtId="3" fontId="2" fillId="6" borderId="3"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wrapText="1"/>
    </xf>
    <xf numFmtId="3" fontId="1" fillId="0" borderId="67" xfId="0" applyNumberFormat="1" applyFont="1" applyBorder="1" applyAlignment="1">
      <alignment horizontal="center" vertical="top" wrapText="1"/>
    </xf>
    <xf numFmtId="3" fontId="1" fillId="6" borderId="78" xfId="0" applyNumberFormat="1" applyFont="1" applyFill="1" applyBorder="1" applyAlignment="1">
      <alignment horizontal="center" vertical="top" wrapText="1"/>
    </xf>
    <xf numFmtId="3" fontId="7" fillId="6" borderId="50" xfId="0" applyNumberFormat="1" applyFont="1" applyFill="1" applyBorder="1" applyAlignment="1">
      <alignment horizontal="center" vertical="top"/>
    </xf>
    <xf numFmtId="3" fontId="2" fillId="6" borderId="50"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1" fillId="0" borderId="49" xfId="0" applyNumberFormat="1" applyFont="1" applyFill="1" applyBorder="1" applyAlignment="1">
      <alignment horizontal="center" vertical="top" textRotation="90" wrapText="1"/>
    </xf>
    <xf numFmtId="3" fontId="1" fillId="6" borderId="18" xfId="0" applyNumberFormat="1" applyFont="1" applyFill="1" applyBorder="1" applyAlignment="1">
      <alignment horizontal="center" vertical="top" textRotation="90" wrapText="1"/>
    </xf>
    <xf numFmtId="3" fontId="2" fillId="6" borderId="49" xfId="0" applyNumberFormat="1" applyFont="1" applyFill="1" applyBorder="1" applyAlignment="1">
      <alignment horizontal="center" vertical="top"/>
    </xf>
    <xf numFmtId="164" fontId="1" fillId="6" borderId="13" xfId="0" applyNumberFormat="1" applyFont="1" applyFill="1" applyBorder="1" applyAlignment="1">
      <alignment horizontal="center" vertical="center" textRotation="90" wrapText="1"/>
    </xf>
    <xf numFmtId="3" fontId="2" fillId="0" borderId="49" xfId="0" applyNumberFormat="1" applyFont="1" applyFill="1" applyBorder="1" applyAlignment="1">
      <alignment horizontal="center" vertical="top" wrapText="1"/>
    </xf>
    <xf numFmtId="0" fontId="11" fillId="6" borderId="42" xfId="0" applyFont="1" applyFill="1" applyBorder="1" applyAlignment="1">
      <alignment horizontal="center" vertical="center" wrapText="1"/>
    </xf>
    <xf numFmtId="3" fontId="1" fillId="6" borderId="46" xfId="0" applyNumberFormat="1" applyFont="1" applyFill="1" applyBorder="1" applyAlignment="1">
      <alignment horizontal="center" vertical="top" wrapText="1"/>
    </xf>
    <xf numFmtId="3" fontId="11" fillId="6" borderId="56" xfId="0" applyNumberFormat="1" applyFont="1" applyFill="1" applyBorder="1" applyAlignment="1">
      <alignment horizontal="center" vertical="center" textRotation="90" wrapText="1"/>
    </xf>
    <xf numFmtId="3" fontId="1" fillId="6" borderId="67" xfId="1"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0" fontId="2" fillId="6" borderId="13" xfId="0" applyFont="1" applyFill="1" applyBorder="1" applyAlignment="1">
      <alignment horizontal="center" vertical="center" wrapText="1"/>
    </xf>
    <xf numFmtId="3" fontId="17" fillId="6" borderId="40" xfId="0" applyNumberFormat="1" applyFont="1" applyFill="1" applyBorder="1" applyAlignment="1">
      <alignment horizontal="center" vertical="top" wrapText="1"/>
    </xf>
    <xf numFmtId="3" fontId="2" fillId="4" borderId="14" xfId="0" applyNumberFormat="1" applyFont="1" applyFill="1" applyBorder="1" applyAlignment="1">
      <alignment vertical="top"/>
    </xf>
    <xf numFmtId="3" fontId="2" fillId="8" borderId="55" xfId="0" applyNumberFormat="1" applyFont="1" applyFill="1" applyBorder="1" applyAlignment="1">
      <alignment vertical="top"/>
    </xf>
    <xf numFmtId="3" fontId="1" fillId="6" borderId="66"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2" fillId="4" borderId="2" xfId="0" applyNumberFormat="1" applyFont="1" applyFill="1" applyBorder="1" applyAlignment="1">
      <alignment horizontal="center" vertical="top"/>
    </xf>
    <xf numFmtId="3" fontId="1" fillId="6" borderId="54"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3" fontId="1" fillId="6" borderId="73" xfId="0" applyNumberFormat="1" applyFont="1" applyFill="1" applyBorder="1" applyAlignment="1">
      <alignment horizontal="center" vertical="center" wrapText="1"/>
    </xf>
    <xf numFmtId="3" fontId="1" fillId="6" borderId="15" xfId="0" applyNumberFormat="1" applyFont="1" applyFill="1" applyBorder="1" applyAlignment="1">
      <alignment horizontal="center" vertical="center" wrapText="1"/>
    </xf>
    <xf numFmtId="3" fontId="1" fillId="6" borderId="22" xfId="0" applyNumberFormat="1" applyFont="1" applyFill="1" applyBorder="1" applyAlignment="1">
      <alignment horizontal="center" vertical="top" wrapText="1"/>
    </xf>
    <xf numFmtId="3" fontId="1" fillId="6" borderId="73"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xf>
    <xf numFmtId="3" fontId="1" fillId="6" borderId="6" xfId="0" applyNumberFormat="1" applyFont="1" applyFill="1" applyBorder="1" applyAlignment="1">
      <alignment horizontal="left" vertical="top" wrapText="1"/>
    </xf>
    <xf numFmtId="3" fontId="1" fillId="6" borderId="57" xfId="0" applyNumberFormat="1" applyFont="1" applyFill="1" applyBorder="1" applyAlignment="1">
      <alignment horizontal="left" vertical="top" wrapText="1"/>
    </xf>
    <xf numFmtId="3" fontId="1" fillId="6" borderId="15" xfId="0" applyNumberFormat="1" applyFont="1" applyFill="1" applyBorder="1" applyAlignment="1">
      <alignment horizontal="center" vertical="top" wrapText="1"/>
    </xf>
    <xf numFmtId="0" fontId="1" fillId="6" borderId="81" xfId="0" applyFont="1" applyFill="1" applyBorder="1" applyAlignment="1">
      <alignment horizontal="center" vertical="top" wrapText="1"/>
    </xf>
    <xf numFmtId="0" fontId="1" fillId="6" borderId="57" xfId="0" applyFont="1" applyFill="1" applyBorder="1" applyAlignment="1">
      <alignment horizontal="center" vertical="top" wrapText="1"/>
    </xf>
    <xf numFmtId="0" fontId="1" fillId="0" borderId="0" xfId="0" applyNumberFormat="1" applyFont="1" applyAlignment="1">
      <alignment vertical="top"/>
    </xf>
    <xf numFmtId="0" fontId="1" fillId="0" borderId="0" xfId="0" applyFont="1" applyAlignment="1">
      <alignment horizontal="center" vertical="top"/>
    </xf>
    <xf numFmtId="0" fontId="16" fillId="0" borderId="0" xfId="0" applyFont="1" applyAlignment="1">
      <alignment horizontal="center" vertical="top" wrapText="1"/>
    </xf>
    <xf numFmtId="3" fontId="11" fillId="6" borderId="37" xfId="0" applyNumberFormat="1" applyFont="1" applyFill="1" applyBorder="1" applyAlignment="1">
      <alignment horizontal="center" vertical="top" wrapText="1"/>
    </xf>
    <xf numFmtId="0" fontId="11" fillId="6" borderId="37"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11" fillId="0" borderId="0" xfId="0" applyFont="1" applyAlignment="1">
      <alignment horizontal="center"/>
    </xf>
    <xf numFmtId="3" fontId="2" fillId="6" borderId="13" xfId="0" applyNumberFormat="1" applyFont="1" applyFill="1" applyBorder="1" applyAlignment="1">
      <alignment horizontal="center" vertical="center" wrapText="1"/>
    </xf>
    <xf numFmtId="3" fontId="1" fillId="6" borderId="49" xfId="0" applyNumberFormat="1" applyFont="1" applyFill="1" applyBorder="1" applyAlignment="1">
      <alignment horizontal="center" vertical="center" wrapText="1"/>
    </xf>
    <xf numFmtId="3" fontId="1" fillId="6" borderId="10" xfId="0" applyNumberFormat="1" applyFont="1" applyFill="1" applyBorder="1" applyAlignment="1">
      <alignment horizontal="center" vertical="center"/>
    </xf>
    <xf numFmtId="3" fontId="1" fillId="6" borderId="46"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NumberFormat="1" applyFont="1" applyFill="1" applyAlignment="1">
      <alignment vertical="top"/>
    </xf>
    <xf numFmtId="0" fontId="1" fillId="0" borderId="0" xfId="0" applyFont="1" applyFill="1" applyAlignment="1">
      <alignment horizontal="center" vertical="top"/>
    </xf>
    <xf numFmtId="164" fontId="1" fillId="6" borderId="16"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56" xfId="0" applyNumberFormat="1" applyFont="1" applyFill="1" applyBorder="1" applyAlignment="1">
      <alignment horizontal="center" vertical="top" wrapText="1"/>
    </xf>
    <xf numFmtId="49" fontId="2" fillId="6" borderId="13" xfId="0" applyNumberFormat="1" applyFont="1" applyFill="1" applyBorder="1" applyAlignment="1">
      <alignment vertical="top"/>
    </xf>
    <xf numFmtId="3" fontId="1" fillId="0" borderId="42" xfId="0" applyNumberFormat="1" applyFont="1" applyBorder="1" applyAlignment="1">
      <alignment horizontal="center" wrapText="1"/>
    </xf>
    <xf numFmtId="49" fontId="2" fillId="6" borderId="38" xfId="0" applyNumberFormat="1" applyFont="1" applyFill="1" applyBorder="1" applyAlignment="1">
      <alignment vertical="top"/>
    </xf>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49" fontId="2" fillId="8" borderId="13" xfId="0" applyNumberFormat="1" applyFont="1" applyFill="1" applyBorder="1" applyAlignment="1">
      <alignment vertical="top"/>
    </xf>
    <xf numFmtId="49" fontId="2" fillId="8" borderId="12" xfId="0" applyNumberFormat="1" applyFont="1" applyFill="1" applyBorder="1" applyAlignment="1">
      <alignment vertical="top"/>
    </xf>
    <xf numFmtId="3" fontId="2" fillId="6" borderId="38" xfId="0" applyNumberFormat="1" applyFont="1" applyFill="1" applyBorder="1" applyAlignment="1">
      <alignment horizontal="left" vertical="top" wrapText="1"/>
    </xf>
    <xf numFmtId="3" fontId="5" fillId="0" borderId="20" xfId="0" applyNumberFormat="1" applyFont="1" applyBorder="1" applyAlignment="1">
      <alignment horizontal="center" vertical="top" wrapText="1"/>
    </xf>
    <xf numFmtId="3" fontId="1" fillId="6" borderId="78" xfId="0" applyNumberFormat="1" applyFont="1" applyFill="1" applyBorder="1" applyAlignment="1">
      <alignment horizontal="center" vertical="top"/>
    </xf>
    <xf numFmtId="3" fontId="1" fillId="6" borderId="84" xfId="0" applyNumberFormat="1" applyFont="1" applyFill="1" applyBorder="1" applyAlignment="1">
      <alignment horizontal="center" vertical="top"/>
    </xf>
    <xf numFmtId="3" fontId="5" fillId="6" borderId="36" xfId="0" applyNumberFormat="1" applyFont="1" applyFill="1" applyBorder="1" applyAlignment="1">
      <alignment vertical="top" wrapText="1"/>
    </xf>
    <xf numFmtId="3" fontId="1" fillId="6" borderId="14" xfId="0" applyNumberFormat="1" applyFont="1" applyFill="1" applyBorder="1" applyAlignment="1">
      <alignment vertical="top" wrapText="1"/>
    </xf>
    <xf numFmtId="0" fontId="16" fillId="0" borderId="0" xfId="0" applyFont="1" applyFill="1" applyBorder="1" applyAlignment="1">
      <alignment horizontal="left" vertical="top" wrapText="1"/>
    </xf>
    <xf numFmtId="0" fontId="16" fillId="6" borderId="0" xfId="0" applyFont="1" applyFill="1" applyAlignment="1">
      <alignment vertical="top" wrapText="1"/>
    </xf>
    <xf numFmtId="3" fontId="1" fillId="6" borderId="51" xfId="0" applyNumberFormat="1" applyFont="1" applyFill="1" applyBorder="1" applyAlignment="1">
      <alignment horizontal="left" vertical="top" wrapText="1"/>
    </xf>
    <xf numFmtId="164" fontId="1" fillId="6" borderId="31"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164" fontId="2" fillId="6" borderId="9" xfId="0" applyNumberFormat="1" applyFont="1" applyFill="1" applyBorder="1" applyAlignment="1">
      <alignment horizontal="center" vertical="top"/>
    </xf>
    <xf numFmtId="0" fontId="11" fillId="0" borderId="0" xfId="0" applyFont="1" applyFill="1" applyBorder="1" applyAlignment="1">
      <alignment horizontal="left" vertical="top" wrapText="1"/>
    </xf>
    <xf numFmtId="3" fontId="1" fillId="0" borderId="1" xfId="0" applyNumberFormat="1" applyFont="1" applyBorder="1" applyAlignment="1">
      <alignment horizontal="center" vertical="top"/>
    </xf>
    <xf numFmtId="3" fontId="1" fillId="6" borderId="79" xfId="0" applyNumberFormat="1" applyFont="1" applyFill="1" applyBorder="1" applyAlignment="1">
      <alignment horizontal="left" vertical="top" wrapText="1"/>
    </xf>
    <xf numFmtId="3" fontId="1" fillId="6" borderId="79" xfId="0" applyNumberFormat="1" applyFont="1" applyFill="1" applyBorder="1" applyAlignment="1">
      <alignment vertical="top" wrapText="1"/>
    </xf>
    <xf numFmtId="3" fontId="1" fillId="7" borderId="14" xfId="0" applyNumberFormat="1" applyFont="1" applyFill="1" applyBorder="1" applyAlignment="1">
      <alignment horizontal="left" vertical="top" wrapText="1"/>
    </xf>
    <xf numFmtId="0" fontId="1" fillId="6" borderId="41" xfId="0" applyFont="1" applyFill="1" applyBorder="1" applyAlignment="1">
      <alignment horizontal="left" vertical="top" wrapText="1"/>
    </xf>
    <xf numFmtId="3" fontId="1" fillId="6" borderId="57"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1" fillId="6" borderId="34" xfId="0" applyFont="1" applyFill="1" applyBorder="1" applyAlignment="1">
      <alignment vertical="top" wrapText="1"/>
    </xf>
    <xf numFmtId="3" fontId="1" fillId="6" borderId="67" xfId="0" applyNumberFormat="1" applyFont="1" applyFill="1" applyBorder="1" applyAlignment="1">
      <alignment vertical="top" wrapText="1"/>
    </xf>
    <xf numFmtId="3" fontId="1" fillId="6" borderId="47" xfId="0" applyNumberFormat="1" applyFont="1" applyFill="1" applyBorder="1" applyAlignment="1">
      <alignment vertical="top" wrapText="1"/>
    </xf>
    <xf numFmtId="0" fontId="1" fillId="0" borderId="72" xfId="0" applyFont="1" applyBorder="1" applyAlignment="1">
      <alignment horizontal="center" vertical="center" textRotation="90"/>
    </xf>
    <xf numFmtId="3" fontId="1" fillId="6" borderId="58"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58" xfId="0" applyNumberFormat="1" applyFont="1" applyFill="1" applyBorder="1" applyAlignment="1">
      <alignment horizontal="center" vertical="top"/>
    </xf>
    <xf numFmtId="164" fontId="1" fillId="0" borderId="69" xfId="0" applyNumberFormat="1" applyFont="1" applyFill="1" applyBorder="1" applyAlignment="1">
      <alignment horizontal="center" vertical="top"/>
    </xf>
    <xf numFmtId="164" fontId="1" fillId="6" borderId="91" xfId="0" applyNumberFormat="1" applyFont="1" applyFill="1" applyBorder="1" applyAlignment="1">
      <alignment horizontal="center" vertical="top"/>
    </xf>
    <xf numFmtId="164" fontId="1" fillId="6" borderId="92" xfId="0" applyNumberFormat="1" applyFont="1" applyFill="1" applyBorder="1" applyAlignment="1">
      <alignment horizontal="center" vertical="top"/>
    </xf>
    <xf numFmtId="164" fontId="7" fillId="6" borderId="69" xfId="0" applyNumberFormat="1" applyFont="1" applyFill="1" applyBorder="1" applyAlignment="1">
      <alignment horizontal="center" vertical="top"/>
    </xf>
    <xf numFmtId="164" fontId="7" fillId="6" borderId="58" xfId="0" applyNumberFormat="1" applyFont="1" applyFill="1" applyBorder="1" applyAlignment="1">
      <alignment horizontal="center" vertical="top"/>
    </xf>
    <xf numFmtId="3" fontId="1" fillId="6" borderId="32"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1" fillId="6" borderId="93" xfId="0" applyNumberFormat="1" applyFont="1" applyFill="1" applyBorder="1" applyAlignment="1">
      <alignment horizontal="center" vertical="top"/>
    </xf>
    <xf numFmtId="164" fontId="1" fillId="6" borderId="86" xfId="0" applyNumberFormat="1" applyFont="1" applyFill="1" applyBorder="1" applyAlignment="1">
      <alignment horizontal="center" vertical="top"/>
    </xf>
    <xf numFmtId="164" fontId="7" fillId="6" borderId="17" xfId="0" applyNumberFormat="1" applyFont="1" applyFill="1" applyBorder="1" applyAlignment="1">
      <alignment horizontal="center" vertical="top"/>
    </xf>
    <xf numFmtId="164" fontId="7" fillId="6" borderId="35" xfId="0" applyNumberFormat="1" applyFont="1" applyFill="1" applyBorder="1" applyAlignment="1">
      <alignment horizontal="center" vertical="top"/>
    </xf>
    <xf numFmtId="164" fontId="2" fillId="8" borderId="23" xfId="0" applyNumberFormat="1" applyFont="1" applyFill="1" applyBorder="1" applyAlignment="1">
      <alignment horizontal="center" vertical="top"/>
    </xf>
    <xf numFmtId="3" fontId="1" fillId="6" borderId="33"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0" borderId="36" xfId="0" applyNumberFormat="1" applyFont="1" applyFill="1" applyBorder="1" applyAlignment="1">
      <alignment horizontal="center" vertical="top"/>
    </xf>
    <xf numFmtId="164" fontId="1" fillId="0" borderId="38"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1" fillId="6" borderId="82" xfId="0" applyNumberFormat="1" applyFont="1" applyFill="1" applyBorder="1" applyAlignment="1">
      <alignment horizontal="center" vertical="top"/>
    </xf>
    <xf numFmtId="164" fontId="1" fillId="6" borderId="83" xfId="0" applyNumberFormat="1" applyFont="1" applyFill="1" applyBorder="1" applyAlignment="1">
      <alignment horizontal="center" vertical="top"/>
    </xf>
    <xf numFmtId="164" fontId="7" fillId="6" borderId="36" xfId="0" applyNumberFormat="1" applyFont="1" applyFill="1" applyBorder="1" applyAlignment="1">
      <alignment horizontal="center" vertical="top"/>
    </xf>
    <xf numFmtId="164" fontId="2" fillId="8" borderId="24" xfId="0" applyNumberFormat="1" applyFont="1" applyFill="1" applyBorder="1" applyAlignment="1">
      <alignment horizontal="center" vertical="top"/>
    </xf>
    <xf numFmtId="3" fontId="1" fillId="6" borderId="19" xfId="0" applyNumberFormat="1" applyFont="1" applyFill="1" applyBorder="1" applyAlignment="1">
      <alignment horizontal="center" vertical="top"/>
    </xf>
    <xf numFmtId="164" fontId="1" fillId="0" borderId="51" xfId="0" applyNumberFormat="1" applyFont="1" applyFill="1" applyBorder="1" applyAlignment="1">
      <alignment horizontal="center" vertical="top"/>
    </xf>
    <xf numFmtId="164" fontId="1" fillId="0" borderId="68" xfId="0" applyNumberFormat="1" applyFont="1" applyFill="1" applyBorder="1" applyAlignment="1">
      <alignment horizontal="center" vertical="top"/>
    </xf>
    <xf numFmtId="164" fontId="1" fillId="6" borderId="55" xfId="0" applyNumberFormat="1" applyFont="1" applyFill="1" applyBorder="1" applyAlignment="1">
      <alignment horizontal="center" vertical="top"/>
    </xf>
    <xf numFmtId="164" fontId="1" fillId="6" borderId="95" xfId="0" applyNumberFormat="1" applyFont="1" applyFill="1" applyBorder="1" applyAlignment="1">
      <alignment horizontal="center" vertical="top"/>
    </xf>
    <xf numFmtId="164" fontId="1" fillId="6" borderId="96" xfId="0" applyNumberFormat="1" applyFont="1" applyFill="1" applyBorder="1" applyAlignment="1">
      <alignment horizontal="center" vertical="top"/>
    </xf>
    <xf numFmtId="164" fontId="7" fillId="6" borderId="51" xfId="0" applyNumberFormat="1" applyFont="1" applyFill="1" applyBorder="1" applyAlignment="1">
      <alignment horizontal="center" vertical="top"/>
    </xf>
    <xf numFmtId="164" fontId="2" fillId="8" borderId="87" xfId="0" applyNumberFormat="1" applyFont="1" applyFill="1" applyBorder="1" applyAlignment="1">
      <alignment horizontal="center" vertical="top"/>
    </xf>
    <xf numFmtId="3" fontId="1" fillId="7" borderId="22" xfId="0" applyNumberFormat="1" applyFont="1" applyFill="1" applyBorder="1" applyAlignment="1">
      <alignment horizontal="center" vertical="top"/>
    </xf>
    <xf numFmtId="49" fontId="1" fillId="7" borderId="73" xfId="0" applyNumberFormat="1" applyFont="1" applyFill="1" applyBorder="1" applyAlignment="1">
      <alignment horizontal="center" vertical="top"/>
    </xf>
    <xf numFmtId="49" fontId="1" fillId="7" borderId="15" xfId="0" applyNumberFormat="1" applyFont="1" applyFill="1" applyBorder="1" applyAlignment="1">
      <alignment horizontal="center" vertical="top"/>
    </xf>
    <xf numFmtId="3" fontId="1" fillId="6" borderId="73" xfId="0" applyNumberFormat="1" applyFont="1" applyFill="1" applyBorder="1" applyAlignment="1">
      <alignment horizontal="center" vertical="top"/>
    </xf>
    <xf numFmtId="49" fontId="1" fillId="6" borderId="80" xfId="0" applyNumberFormat="1" applyFont="1" applyFill="1" applyBorder="1" applyAlignment="1">
      <alignment horizontal="center" vertical="top" wrapText="1"/>
    </xf>
    <xf numFmtId="49" fontId="1" fillId="6" borderId="15" xfId="0" applyNumberFormat="1" applyFont="1" applyFill="1" applyBorder="1" applyAlignment="1">
      <alignment horizontal="center" vertical="top"/>
    </xf>
    <xf numFmtId="49" fontId="1" fillId="6" borderId="57" xfId="0" applyNumberFormat="1" applyFont="1" applyFill="1" applyBorder="1" applyAlignment="1">
      <alignment horizontal="center" vertical="top"/>
    </xf>
    <xf numFmtId="3" fontId="1" fillId="0" borderId="15"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3" fontId="1" fillId="6" borderId="57" xfId="0" applyNumberFormat="1" applyFont="1" applyFill="1" applyBorder="1" applyAlignment="1">
      <alignment horizontal="center" vertical="top"/>
    </xf>
    <xf numFmtId="49" fontId="1" fillId="6" borderId="73"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1" fillId="6" borderId="35" xfId="0" applyNumberFormat="1" applyFont="1" applyFill="1" applyBorder="1" applyAlignment="1">
      <alignment horizontal="center" vertical="top"/>
    </xf>
    <xf numFmtId="3" fontId="1" fillId="7" borderId="33" xfId="0" applyNumberFormat="1" applyFont="1" applyFill="1" applyBorder="1" applyAlignment="1">
      <alignment horizontal="center" vertical="top"/>
    </xf>
    <xf numFmtId="49" fontId="1" fillId="7" borderId="38" xfId="0" applyNumberFormat="1" applyFont="1" applyFill="1" applyBorder="1" applyAlignment="1">
      <alignment horizontal="center" vertical="top"/>
    </xf>
    <xf numFmtId="49" fontId="1" fillId="7" borderId="12"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49" fontId="1" fillId="6" borderId="97" xfId="0" applyNumberFormat="1" applyFont="1" applyFill="1" applyBorder="1" applyAlignment="1">
      <alignment horizontal="center" vertical="top" wrapText="1"/>
    </xf>
    <xf numFmtId="3" fontId="1" fillId="6" borderId="97"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3" fontId="1" fillId="7" borderId="12"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49" fontId="1" fillId="6" borderId="38" xfId="0" applyNumberFormat="1" applyFont="1" applyFill="1" applyBorder="1" applyAlignment="1">
      <alignment horizontal="center" vertical="top"/>
    </xf>
    <xf numFmtId="3" fontId="2" fillId="5" borderId="36" xfId="0" applyNumberFormat="1" applyFont="1" applyFill="1" applyBorder="1" applyAlignment="1">
      <alignment horizontal="center" vertical="top"/>
    </xf>
    <xf numFmtId="3" fontId="2" fillId="4" borderId="35" xfId="0" applyNumberFormat="1" applyFont="1" applyFill="1" applyBorder="1" applyAlignment="1">
      <alignment horizontal="center" vertical="top"/>
    </xf>
    <xf numFmtId="3" fontId="2" fillId="4" borderId="33" xfId="0" applyNumberFormat="1" applyFont="1" applyFill="1" applyBorder="1" applyAlignment="1">
      <alignment horizontal="center" vertical="top" wrapText="1"/>
    </xf>
    <xf numFmtId="3" fontId="1" fillId="5" borderId="89" xfId="0" applyNumberFormat="1" applyFont="1" applyFill="1" applyBorder="1" applyAlignment="1">
      <alignment horizontal="center" vertical="top" wrapText="1"/>
    </xf>
    <xf numFmtId="3" fontId="1" fillId="5" borderId="60"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xf>
    <xf numFmtId="164" fontId="1" fillId="6" borderId="21" xfId="0" applyNumberFormat="1" applyFont="1" applyFill="1" applyBorder="1" applyAlignment="1">
      <alignment horizontal="center" vertical="top"/>
    </xf>
    <xf numFmtId="164" fontId="1" fillId="6" borderId="99" xfId="0" applyNumberFormat="1" applyFont="1" applyFill="1" applyBorder="1" applyAlignment="1">
      <alignment horizontal="center" vertical="top"/>
    </xf>
    <xf numFmtId="164" fontId="1" fillId="6" borderId="32" xfId="0"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1" fillId="6" borderId="33" xfId="0" applyNumberFormat="1" applyFont="1" applyFill="1" applyBorder="1" applyAlignment="1">
      <alignment horizontal="center" vertical="top"/>
    </xf>
    <xf numFmtId="3" fontId="1" fillId="0" borderId="100" xfId="0" applyNumberFormat="1" applyFont="1" applyFill="1" applyBorder="1" applyAlignment="1">
      <alignment horizontal="center" vertical="top" wrapText="1"/>
    </xf>
    <xf numFmtId="3" fontId="1" fillId="6" borderId="51" xfId="0" applyNumberFormat="1" applyFont="1" applyFill="1" applyBorder="1" applyAlignment="1">
      <alignment horizontal="center" vertical="top" wrapText="1"/>
    </xf>
    <xf numFmtId="3" fontId="1" fillId="6" borderId="68" xfId="0" applyNumberFormat="1" applyFont="1" applyFill="1" applyBorder="1" applyAlignment="1">
      <alignment horizontal="center" vertical="center" wrapText="1"/>
    </xf>
    <xf numFmtId="3" fontId="1" fillId="6" borderId="19"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center" wrapText="1"/>
    </xf>
    <xf numFmtId="3" fontId="1" fillId="6" borderId="33" xfId="0" applyNumberFormat="1" applyFont="1" applyFill="1" applyBorder="1" applyAlignment="1">
      <alignment horizontal="center" vertical="top" wrapText="1"/>
    </xf>
    <xf numFmtId="164" fontId="2" fillId="8" borderId="30" xfId="0" applyNumberFormat="1" applyFont="1" applyFill="1" applyBorder="1" applyAlignment="1">
      <alignment horizontal="center" vertical="top"/>
    </xf>
    <xf numFmtId="164" fontId="2" fillId="5" borderId="64" xfId="0" applyNumberFormat="1" applyFont="1" applyFill="1" applyBorder="1" applyAlignment="1">
      <alignment horizontal="center" vertical="center"/>
    </xf>
    <xf numFmtId="164" fontId="2" fillId="5" borderId="89" xfId="0" applyNumberFormat="1" applyFont="1" applyFill="1" applyBorder="1" applyAlignment="1">
      <alignment horizontal="center" vertical="center"/>
    </xf>
    <xf numFmtId="164" fontId="2" fillId="8" borderId="101" xfId="0" applyNumberFormat="1" applyFont="1" applyFill="1" applyBorder="1" applyAlignment="1">
      <alignment horizontal="center" vertical="top"/>
    </xf>
    <xf numFmtId="164" fontId="2" fillId="5" borderId="65" xfId="0" applyNumberFormat="1" applyFont="1" applyFill="1" applyBorder="1" applyAlignment="1">
      <alignment horizontal="center" vertical="center"/>
    </xf>
    <xf numFmtId="3" fontId="1" fillId="6" borderId="16" xfId="0" applyNumberFormat="1" applyFont="1" applyFill="1" applyBorder="1" applyAlignment="1">
      <alignment vertical="top" wrapText="1"/>
    </xf>
    <xf numFmtId="3" fontId="1" fillId="6" borderId="55" xfId="0" applyNumberFormat="1" applyFont="1" applyFill="1" applyBorder="1" applyAlignment="1">
      <alignment horizontal="center" vertical="top" wrapText="1"/>
    </xf>
    <xf numFmtId="3" fontId="2" fillId="6" borderId="27" xfId="0" applyNumberFormat="1" applyFont="1" applyFill="1" applyBorder="1" applyAlignment="1">
      <alignment horizontal="right" vertical="top"/>
    </xf>
    <xf numFmtId="3" fontId="11" fillId="6" borderId="26" xfId="0" applyNumberFormat="1" applyFont="1" applyFill="1" applyBorder="1" applyAlignment="1">
      <alignment vertical="top" wrapText="1"/>
    </xf>
    <xf numFmtId="49" fontId="1" fillId="6" borderId="90" xfId="0" applyNumberFormat="1" applyFont="1" applyFill="1" applyBorder="1" applyAlignment="1">
      <alignment horizontal="center" vertical="top" textRotation="91" wrapText="1"/>
    </xf>
    <xf numFmtId="49" fontId="1" fillId="6" borderId="72" xfId="0" applyNumberFormat="1" applyFont="1" applyFill="1" applyBorder="1" applyAlignment="1">
      <alignment horizontal="center" vertical="top" textRotation="91" wrapText="1"/>
    </xf>
    <xf numFmtId="49" fontId="1" fillId="6" borderId="53" xfId="0" applyNumberFormat="1" applyFont="1" applyFill="1" applyBorder="1" applyAlignment="1">
      <alignment horizontal="center" vertical="top" textRotation="91" wrapText="1"/>
    </xf>
    <xf numFmtId="164" fontId="2" fillId="8" borderId="72" xfId="0" applyNumberFormat="1" applyFont="1" applyFill="1" applyBorder="1" applyAlignment="1">
      <alignment horizontal="center" vertical="top"/>
    </xf>
    <xf numFmtId="164" fontId="2" fillId="5" borderId="60" xfId="0" applyNumberFormat="1" applyFont="1" applyFill="1" applyBorder="1" applyAlignment="1">
      <alignment horizontal="center" vertical="center"/>
    </xf>
    <xf numFmtId="164" fontId="2" fillId="5" borderId="98" xfId="0" applyNumberFormat="1" applyFont="1" applyFill="1" applyBorder="1" applyAlignment="1">
      <alignment horizontal="center" vertical="center"/>
    </xf>
    <xf numFmtId="3" fontId="2" fillId="6" borderId="101" xfId="0" applyNumberFormat="1" applyFont="1" applyFill="1" applyBorder="1" applyAlignment="1">
      <alignment horizontal="center" vertical="top"/>
    </xf>
    <xf numFmtId="0" fontId="11" fillId="6" borderId="101" xfId="0" applyFont="1" applyFill="1" applyBorder="1" applyAlignment="1"/>
    <xf numFmtId="0" fontId="11" fillId="6" borderId="101" xfId="0" applyFont="1" applyFill="1" applyBorder="1" applyAlignment="1">
      <alignment horizontal="center"/>
    </xf>
    <xf numFmtId="3" fontId="2" fillId="6" borderId="30" xfId="0" applyNumberFormat="1" applyFont="1" applyFill="1" applyBorder="1" applyAlignment="1">
      <alignment horizontal="right" vertical="top"/>
    </xf>
    <xf numFmtId="49" fontId="1" fillId="6" borderId="24" xfId="0" applyNumberFormat="1" applyFont="1" applyFill="1" applyBorder="1" applyAlignment="1">
      <alignment horizontal="center" vertical="top" textRotation="91" wrapText="1"/>
    </xf>
    <xf numFmtId="49" fontId="1" fillId="6" borderId="27" xfId="0" applyNumberFormat="1" applyFont="1" applyFill="1" applyBorder="1" applyAlignment="1">
      <alignment horizontal="center" vertical="top" textRotation="91" wrapText="1"/>
    </xf>
    <xf numFmtId="3" fontId="12" fillId="6" borderId="101" xfId="0" applyNumberFormat="1" applyFont="1" applyFill="1" applyBorder="1" applyAlignment="1">
      <alignment vertical="top" wrapText="1"/>
    </xf>
    <xf numFmtId="3" fontId="11" fillId="6" borderId="30" xfId="0" applyNumberFormat="1" applyFont="1" applyFill="1" applyBorder="1" applyAlignment="1">
      <alignment horizontal="center" vertical="top" wrapText="1"/>
    </xf>
    <xf numFmtId="3" fontId="1" fillId="6" borderId="72" xfId="0" applyNumberFormat="1" applyFont="1" applyFill="1" applyBorder="1" applyAlignment="1">
      <alignment horizontal="center" vertical="top" textRotation="90" wrapText="1"/>
    </xf>
    <xf numFmtId="3" fontId="2" fillId="8" borderId="38" xfId="0" applyNumberFormat="1" applyFont="1" applyFill="1" applyBorder="1" applyAlignment="1">
      <alignment horizontal="center" vertical="top"/>
    </xf>
    <xf numFmtId="3" fontId="1" fillId="0" borderId="6" xfId="0" applyNumberFormat="1" applyFont="1" applyFill="1" applyBorder="1" applyAlignment="1">
      <alignment vertical="top" wrapText="1"/>
    </xf>
    <xf numFmtId="49" fontId="1" fillId="6" borderId="73" xfId="0" applyNumberFormat="1" applyFont="1" applyFill="1" applyBorder="1" applyAlignment="1">
      <alignment horizontal="center" vertical="top" wrapText="1"/>
    </xf>
    <xf numFmtId="49" fontId="1" fillId="6" borderId="57" xfId="0" applyNumberFormat="1" applyFont="1" applyFill="1" applyBorder="1" applyAlignment="1">
      <alignment horizontal="center" vertical="top" wrapText="1"/>
    </xf>
    <xf numFmtId="3" fontId="1" fillId="6" borderId="102" xfId="0" applyNumberFormat="1" applyFont="1" applyFill="1" applyBorder="1" applyAlignment="1">
      <alignment horizontal="center" vertical="top"/>
    </xf>
    <xf numFmtId="3" fontId="1" fillId="6" borderId="103"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3" fontId="1" fillId="0" borderId="48" xfId="0" applyNumberFormat="1" applyFont="1" applyFill="1" applyBorder="1" applyAlignment="1">
      <alignment vertical="top" wrapText="1"/>
    </xf>
    <xf numFmtId="49" fontId="1" fillId="6" borderId="38"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3" fontId="1" fillId="6" borderId="82" xfId="0" applyNumberFormat="1" applyFont="1" applyFill="1" applyBorder="1" applyAlignment="1">
      <alignment horizontal="center" vertical="top"/>
    </xf>
    <xf numFmtId="3" fontId="1" fillId="6" borderId="83" xfId="0" applyNumberFormat="1" applyFont="1" applyFill="1" applyBorder="1" applyAlignment="1">
      <alignment horizontal="center" vertical="top"/>
    </xf>
    <xf numFmtId="3" fontId="1" fillId="6" borderId="105"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49" fontId="1" fillId="6" borderId="87" xfId="0" applyNumberFormat="1" applyFont="1" applyFill="1" applyBorder="1" applyAlignment="1">
      <alignment horizontal="center" vertical="top" textRotation="91" wrapText="1"/>
    </xf>
    <xf numFmtId="3" fontId="2" fillId="6" borderId="72" xfId="0" applyNumberFormat="1" applyFont="1" applyFill="1" applyBorder="1" applyAlignment="1">
      <alignment horizontal="center" vertical="top"/>
    </xf>
    <xf numFmtId="164" fontId="1" fillId="6" borderId="69" xfId="1" applyNumberFormat="1" applyFont="1" applyFill="1" applyBorder="1" applyAlignment="1">
      <alignment horizontal="center" vertical="top"/>
    </xf>
    <xf numFmtId="164" fontId="1" fillId="6" borderId="17" xfId="1" applyNumberFormat="1" applyFont="1" applyFill="1" applyBorder="1" applyAlignment="1">
      <alignment horizontal="center" vertical="top"/>
    </xf>
    <xf numFmtId="164" fontId="1" fillId="6" borderId="38" xfId="1" applyNumberFormat="1" applyFont="1" applyFill="1" applyBorder="1" applyAlignment="1">
      <alignment horizontal="center" vertical="top"/>
    </xf>
    <xf numFmtId="164" fontId="1" fillId="6" borderId="100" xfId="0" applyNumberFormat="1" applyFont="1" applyFill="1" applyBorder="1" applyAlignment="1">
      <alignment horizontal="center" vertical="top"/>
    </xf>
    <xf numFmtId="164" fontId="1" fillId="6" borderId="68" xfId="1" applyNumberFormat="1" applyFont="1" applyFill="1" applyBorder="1" applyAlignment="1">
      <alignment horizontal="center" vertical="top"/>
    </xf>
    <xf numFmtId="164" fontId="1" fillId="6" borderId="56" xfId="0" applyNumberFormat="1" applyFont="1" applyFill="1" applyBorder="1" applyAlignment="1">
      <alignment horizontal="center" vertical="top"/>
    </xf>
    <xf numFmtId="49" fontId="2" fillId="6" borderId="52" xfId="0" applyNumberFormat="1" applyFont="1" applyFill="1" applyBorder="1" applyAlignment="1">
      <alignment horizontal="left" vertical="top" wrapText="1"/>
    </xf>
    <xf numFmtId="3" fontId="7" fillId="6" borderId="101" xfId="0" applyNumberFormat="1" applyFont="1" applyFill="1" applyBorder="1" applyAlignment="1">
      <alignment horizontal="left" vertical="top" wrapText="1"/>
    </xf>
    <xf numFmtId="49" fontId="2" fillId="6" borderId="55" xfId="0" applyNumberFormat="1" applyFont="1" applyFill="1" applyBorder="1" applyAlignment="1">
      <alignment horizontal="left" vertical="top" wrapText="1"/>
    </xf>
    <xf numFmtId="49" fontId="2" fillId="6" borderId="55" xfId="0" applyNumberFormat="1" applyFont="1" applyFill="1" applyBorder="1" applyAlignment="1">
      <alignment horizontal="center" vertical="top"/>
    </xf>
    <xf numFmtId="49" fontId="2" fillId="6" borderId="68" xfId="0" applyNumberFormat="1" applyFont="1" applyFill="1" applyBorder="1" applyAlignment="1">
      <alignment horizontal="center" vertical="top"/>
    </xf>
    <xf numFmtId="49" fontId="2" fillId="6" borderId="51" xfId="0" applyNumberFormat="1" applyFont="1" applyFill="1" applyBorder="1" applyAlignment="1">
      <alignment horizontal="center" vertical="top"/>
    </xf>
    <xf numFmtId="3" fontId="1" fillId="6" borderId="101" xfId="0" applyNumberFormat="1" applyFont="1" applyFill="1" applyBorder="1" applyAlignment="1">
      <alignment horizontal="center" vertical="center" textRotation="90" wrapText="1"/>
    </xf>
    <xf numFmtId="3" fontId="3" fillId="6" borderId="30" xfId="0" applyNumberFormat="1" applyFont="1" applyFill="1" applyBorder="1" applyAlignment="1">
      <alignment horizontal="center" vertical="top" wrapText="1"/>
    </xf>
    <xf numFmtId="3" fontId="1" fillId="6" borderId="106" xfId="0" applyNumberFormat="1" applyFont="1" applyFill="1" applyBorder="1" applyAlignment="1">
      <alignment horizontal="left" vertical="top" wrapText="1"/>
    </xf>
    <xf numFmtId="164" fontId="2" fillId="6" borderId="106" xfId="0" applyNumberFormat="1" applyFont="1" applyFill="1" applyBorder="1" applyAlignment="1">
      <alignment horizontal="center" vertical="top"/>
    </xf>
    <xf numFmtId="164" fontId="2" fillId="6" borderId="51" xfId="0" applyNumberFormat="1" applyFont="1" applyFill="1" applyBorder="1" applyAlignment="1">
      <alignment horizontal="center" vertical="top"/>
    </xf>
    <xf numFmtId="164" fontId="2" fillId="8" borderId="27" xfId="0" applyNumberFormat="1" applyFont="1" applyFill="1" applyBorder="1" applyAlignment="1">
      <alignment horizontal="center" vertical="top"/>
    </xf>
    <xf numFmtId="164" fontId="2" fillId="8" borderId="94" xfId="0" applyNumberFormat="1" applyFont="1" applyFill="1" applyBorder="1" applyAlignment="1">
      <alignment horizontal="center" vertical="top"/>
    </xf>
    <xf numFmtId="164" fontId="2" fillId="6" borderId="41"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1" fillId="6" borderId="40"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2" fillId="6" borderId="3" xfId="0" applyNumberFormat="1" applyFont="1" applyFill="1" applyBorder="1" applyAlignment="1">
      <alignment horizontal="center" vertical="top"/>
    </xf>
    <xf numFmtId="164" fontId="2" fillId="6" borderId="36" xfId="0" applyNumberFormat="1" applyFont="1" applyFill="1" applyBorder="1" applyAlignment="1">
      <alignment horizontal="center" vertical="top"/>
    </xf>
    <xf numFmtId="164" fontId="2" fillId="6" borderId="99" xfId="0" applyNumberFormat="1" applyFont="1" applyFill="1" applyBorder="1" applyAlignment="1">
      <alignment horizontal="center" vertical="top"/>
    </xf>
    <xf numFmtId="3" fontId="1" fillId="6" borderId="3" xfId="0" applyNumberFormat="1" applyFont="1" applyFill="1" applyBorder="1" applyAlignment="1">
      <alignment horizontal="left" vertical="top" wrapText="1"/>
    </xf>
    <xf numFmtId="3" fontId="1" fillId="0" borderId="10" xfId="0" applyNumberFormat="1" applyFont="1" applyFill="1" applyBorder="1" applyAlignment="1">
      <alignment horizontal="center" vertical="top"/>
    </xf>
    <xf numFmtId="3" fontId="1" fillId="0" borderId="15" xfId="0" applyNumberFormat="1" applyFont="1" applyBorder="1" applyAlignment="1">
      <alignment horizontal="center" vertical="top"/>
    </xf>
    <xf numFmtId="0" fontId="1" fillId="10" borderId="73" xfId="0" applyFont="1" applyFill="1" applyBorder="1" applyAlignment="1">
      <alignment horizontal="center" vertical="top"/>
    </xf>
    <xf numFmtId="0" fontId="1" fillId="10" borderId="80" xfId="0" applyFont="1" applyFill="1" applyBorder="1" applyAlignment="1">
      <alignment horizontal="center" vertical="top"/>
    </xf>
    <xf numFmtId="0" fontId="1" fillId="6" borderId="57" xfId="0" applyFont="1" applyFill="1" applyBorder="1" applyAlignment="1">
      <alignment horizontal="center" vertical="top"/>
    </xf>
    <xf numFmtId="0" fontId="1" fillId="6" borderId="107" xfId="0" applyFont="1" applyFill="1" applyBorder="1" applyAlignment="1">
      <alignment horizontal="center" vertical="top" wrapText="1"/>
    </xf>
    <xf numFmtId="0" fontId="1" fillId="6" borderId="15" xfId="0" applyFont="1" applyFill="1" applyBorder="1" applyAlignment="1">
      <alignment horizontal="center" vertical="top" wrapText="1"/>
    </xf>
    <xf numFmtId="3" fontId="1" fillId="0" borderId="15" xfId="0" applyNumberFormat="1" applyFont="1" applyBorder="1" applyAlignment="1">
      <alignment vertical="top"/>
    </xf>
    <xf numFmtId="3" fontId="1" fillId="0" borderId="48" xfId="0" applyNumberFormat="1" applyFont="1" applyFill="1" applyBorder="1" applyAlignment="1">
      <alignment horizontal="center" vertical="top"/>
    </xf>
    <xf numFmtId="3" fontId="1" fillId="0" borderId="12" xfId="0" applyNumberFormat="1" applyFont="1" applyBorder="1" applyAlignment="1">
      <alignment horizontal="center" vertical="top"/>
    </xf>
    <xf numFmtId="0" fontId="1" fillId="10" borderId="38" xfId="0" applyFont="1" applyFill="1" applyBorder="1" applyAlignment="1">
      <alignment horizontal="center" vertical="top"/>
    </xf>
    <xf numFmtId="0" fontId="1" fillId="10" borderId="97" xfId="0" applyFont="1" applyFill="1" applyBorder="1" applyAlignment="1">
      <alignment horizontal="center" vertical="top"/>
    </xf>
    <xf numFmtId="0" fontId="1" fillId="6" borderId="36" xfId="0" applyFont="1" applyFill="1" applyBorder="1" applyAlignment="1">
      <alignment horizontal="center" vertical="top"/>
    </xf>
    <xf numFmtId="0" fontId="1" fillId="6" borderId="108" xfId="0" applyFont="1" applyFill="1" applyBorder="1" applyAlignment="1">
      <alignment horizontal="center" vertical="top" wrapText="1"/>
    </xf>
    <xf numFmtId="0" fontId="1" fillId="6" borderId="12" xfId="0" applyFont="1" applyFill="1" applyBorder="1" applyAlignment="1">
      <alignment horizontal="center" vertical="top" wrapText="1"/>
    </xf>
    <xf numFmtId="3" fontId="1" fillId="0" borderId="12" xfId="0" applyNumberFormat="1" applyFont="1" applyBorder="1" applyAlignment="1">
      <alignment vertical="top"/>
    </xf>
    <xf numFmtId="49" fontId="1" fillId="6" borderId="94" xfId="0" applyNumberFormat="1" applyFont="1" applyFill="1" applyBorder="1" applyAlignment="1">
      <alignment horizontal="center" vertical="top" textRotation="91" wrapText="1"/>
    </xf>
    <xf numFmtId="3" fontId="1" fillId="0" borderId="100" xfId="0" applyNumberFormat="1" applyFont="1" applyFill="1" applyBorder="1" applyAlignment="1">
      <alignment horizontal="center" vertical="top"/>
    </xf>
    <xf numFmtId="49" fontId="1" fillId="6" borderId="68" xfId="0" applyNumberFormat="1" applyFont="1" applyFill="1" applyBorder="1" applyAlignment="1">
      <alignment horizontal="center" vertical="top" wrapText="1"/>
    </xf>
    <xf numFmtId="3" fontId="1" fillId="0" borderId="100" xfId="0" applyNumberFormat="1" applyFont="1" applyFill="1" applyBorder="1" applyAlignment="1">
      <alignment vertical="top" wrapText="1"/>
    </xf>
    <xf numFmtId="0" fontId="1" fillId="6" borderId="88" xfId="0" applyFont="1" applyFill="1" applyBorder="1" applyAlignment="1">
      <alignment horizontal="left" vertical="top" wrapText="1"/>
    </xf>
    <xf numFmtId="0" fontId="1" fillId="6" borderId="85" xfId="0" applyFont="1" applyFill="1" applyBorder="1" applyAlignment="1">
      <alignment horizontal="left" vertical="top" wrapText="1"/>
    </xf>
    <xf numFmtId="3" fontId="1" fillId="0" borderId="47" xfId="0" applyNumberFormat="1" applyFont="1" applyFill="1" applyBorder="1" applyAlignment="1">
      <alignment horizontal="left" wrapText="1"/>
    </xf>
    <xf numFmtId="3" fontId="1" fillId="0" borderId="47" xfId="0" applyNumberFormat="1" applyFont="1" applyFill="1" applyBorder="1" applyAlignment="1">
      <alignment vertical="top" wrapText="1"/>
    </xf>
    <xf numFmtId="3" fontId="1" fillId="6" borderId="51" xfId="0" applyNumberFormat="1" applyFont="1" applyFill="1" applyBorder="1" applyAlignment="1">
      <alignment horizontal="center" vertical="top"/>
    </xf>
    <xf numFmtId="0" fontId="12" fillId="6" borderId="50" xfId="1" applyFont="1" applyFill="1" applyBorder="1" applyAlignment="1">
      <alignment vertical="top" wrapText="1"/>
    </xf>
    <xf numFmtId="3" fontId="1" fillId="0" borderId="16" xfId="0" applyNumberFormat="1" applyFont="1" applyBorder="1" applyAlignment="1">
      <alignment vertical="top"/>
    </xf>
    <xf numFmtId="0" fontId="1" fillId="6" borderId="39" xfId="1" applyFont="1" applyFill="1" applyBorder="1" applyAlignment="1">
      <alignment vertical="top" wrapText="1"/>
    </xf>
    <xf numFmtId="164" fontId="2" fillId="6" borderId="54" xfId="0" applyNumberFormat="1" applyFont="1" applyFill="1" applyBorder="1" applyAlignment="1">
      <alignment horizontal="center" vertical="top"/>
    </xf>
    <xf numFmtId="164" fontId="2" fillId="6" borderId="37" xfId="0" applyNumberFormat="1" applyFont="1" applyFill="1" applyBorder="1" applyAlignment="1">
      <alignment horizontal="center" vertical="top"/>
    </xf>
    <xf numFmtId="0" fontId="1" fillId="6" borderId="102" xfId="0" applyFont="1" applyFill="1" applyBorder="1" applyAlignment="1">
      <alignment horizontal="center" vertical="top" wrapText="1"/>
    </xf>
    <xf numFmtId="0" fontId="1" fillId="6" borderId="73" xfId="0" applyFont="1" applyFill="1" applyBorder="1" applyAlignment="1">
      <alignment horizontal="center" vertical="top" wrapText="1"/>
    </xf>
    <xf numFmtId="164" fontId="1" fillId="6" borderId="15" xfId="0" applyNumberFormat="1" applyFont="1" applyFill="1" applyBorder="1" applyAlignment="1">
      <alignment horizontal="center" vertical="top" wrapText="1"/>
    </xf>
    <xf numFmtId="164" fontId="1" fillId="6" borderId="57" xfId="0" applyNumberFormat="1" applyFont="1" applyFill="1" applyBorder="1" applyAlignment="1">
      <alignment horizontal="center" vertical="top" wrapText="1"/>
    </xf>
    <xf numFmtId="3" fontId="1" fillId="0" borderId="10" xfId="0" applyNumberFormat="1" applyFont="1" applyFill="1" applyBorder="1" applyAlignment="1">
      <alignment horizontal="left" vertical="top" wrapText="1"/>
    </xf>
    <xf numFmtId="3" fontId="1" fillId="0" borderId="47" xfId="0" applyNumberFormat="1" applyFont="1" applyFill="1" applyBorder="1" applyAlignment="1">
      <alignment horizontal="left" vertical="top" wrapText="1"/>
    </xf>
    <xf numFmtId="3" fontId="1" fillId="6" borderId="7" xfId="0" applyNumberFormat="1" applyFont="1" applyFill="1" applyBorder="1" applyAlignment="1">
      <alignment horizontal="left" vertical="top" wrapText="1"/>
    </xf>
    <xf numFmtId="164" fontId="2" fillId="6" borderId="100" xfId="0" applyNumberFormat="1" applyFont="1" applyFill="1" applyBorder="1" applyAlignment="1">
      <alignment horizontal="center" vertical="top"/>
    </xf>
    <xf numFmtId="164" fontId="2" fillId="6" borderId="48" xfId="0" applyNumberFormat="1" applyFont="1" applyFill="1" applyBorder="1" applyAlignment="1">
      <alignment horizontal="center" vertical="top"/>
    </xf>
    <xf numFmtId="3" fontId="1" fillId="0" borderId="100" xfId="0" applyNumberFormat="1" applyFont="1" applyFill="1" applyBorder="1" applyAlignment="1">
      <alignment horizontal="left" vertical="top" wrapText="1"/>
    </xf>
    <xf numFmtId="3" fontId="1" fillId="0" borderId="48" xfId="0" applyNumberFormat="1" applyFont="1" applyFill="1" applyBorder="1" applyAlignment="1">
      <alignment horizontal="left" vertical="top" wrapText="1"/>
    </xf>
    <xf numFmtId="164" fontId="1" fillId="6" borderId="12"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0" fontId="1" fillId="6" borderId="38" xfId="0" applyFont="1" applyFill="1" applyBorder="1" applyAlignment="1">
      <alignment horizontal="center" vertical="top" wrapText="1"/>
    </xf>
    <xf numFmtId="0" fontId="1" fillId="6" borderId="82" xfId="0" applyFont="1" applyFill="1" applyBorder="1" applyAlignment="1">
      <alignment horizontal="center" vertical="top" wrapText="1"/>
    </xf>
    <xf numFmtId="0" fontId="1" fillId="6" borderId="83"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0" borderId="41" xfId="0" applyFont="1" applyBorder="1" applyAlignment="1">
      <alignment vertical="top" wrapText="1"/>
    </xf>
    <xf numFmtId="49" fontId="1" fillId="6" borderId="23" xfId="0" applyNumberFormat="1" applyFont="1" applyFill="1" applyBorder="1" applyAlignment="1">
      <alignment horizontal="center" vertical="top" textRotation="91" wrapText="1"/>
    </xf>
    <xf numFmtId="49" fontId="1" fillId="7" borderId="57" xfId="0" applyNumberFormat="1" applyFont="1" applyFill="1" applyBorder="1" applyAlignment="1">
      <alignment horizontal="center" vertical="top" wrapText="1"/>
    </xf>
    <xf numFmtId="49" fontId="1" fillId="7" borderId="15" xfId="0" applyNumberFormat="1" applyFont="1" applyFill="1" applyBorder="1" applyAlignment="1">
      <alignment horizontal="center" vertical="top" wrapText="1"/>
    </xf>
    <xf numFmtId="3" fontId="1" fillId="6" borderId="15" xfId="0" applyNumberFormat="1" applyFont="1" applyFill="1" applyBorder="1" applyAlignment="1">
      <alignment vertical="top" wrapText="1"/>
    </xf>
    <xf numFmtId="165" fontId="1" fillId="9" borderId="57" xfId="2" applyFont="1" applyFill="1" applyBorder="1" applyAlignment="1">
      <alignment horizontal="left" vertical="top" wrapText="1"/>
    </xf>
    <xf numFmtId="164" fontId="1" fillId="6" borderId="15" xfId="0" applyNumberFormat="1" applyFont="1" applyFill="1" applyBorder="1" applyAlignment="1">
      <alignment horizontal="center" vertical="top"/>
    </xf>
    <xf numFmtId="164" fontId="1" fillId="6" borderId="57" xfId="0" applyNumberFormat="1" applyFont="1" applyFill="1" applyBorder="1" applyAlignment="1">
      <alignment horizontal="center" vertical="top"/>
    </xf>
    <xf numFmtId="164" fontId="2" fillId="3" borderId="62" xfId="0" applyNumberFormat="1" applyFont="1" applyFill="1" applyBorder="1" applyAlignment="1">
      <alignment horizontal="center" vertical="top"/>
    </xf>
    <xf numFmtId="164" fontId="2" fillId="4" borderId="61" xfId="0" applyNumberFormat="1" applyFont="1" applyFill="1" applyBorder="1" applyAlignment="1">
      <alignment vertical="top"/>
    </xf>
    <xf numFmtId="164" fontId="2" fillId="4" borderId="62" xfId="0" applyNumberFormat="1" applyFont="1" applyFill="1" applyBorder="1" applyAlignment="1">
      <alignment vertical="top"/>
    </xf>
    <xf numFmtId="164" fontId="2" fillId="3" borderId="61" xfId="0" applyNumberFormat="1" applyFont="1" applyFill="1" applyBorder="1" applyAlignment="1">
      <alignment vertical="top"/>
    </xf>
    <xf numFmtId="164" fontId="2" fillId="3" borderId="62" xfId="0" applyNumberFormat="1" applyFont="1" applyFill="1" applyBorder="1" applyAlignment="1">
      <alignment vertical="top"/>
    </xf>
    <xf numFmtId="164" fontId="2" fillId="5" borderId="27" xfId="0" applyNumberFormat="1" applyFont="1" applyFill="1" applyBorder="1" applyAlignment="1">
      <alignment horizontal="center" vertical="top"/>
    </xf>
    <xf numFmtId="164" fontId="2" fillId="4" borderId="62" xfId="0" applyNumberFormat="1" applyFont="1" applyFill="1" applyBorder="1" applyAlignment="1">
      <alignment horizontal="center" vertical="top"/>
    </xf>
    <xf numFmtId="164" fontId="2" fillId="5" borderId="23" xfId="0" applyNumberFormat="1" applyFont="1" applyFill="1" applyBorder="1" applyAlignment="1">
      <alignment horizontal="center" vertical="top"/>
    </xf>
    <xf numFmtId="164" fontId="2" fillId="4" borderId="59" xfId="0" applyNumberFormat="1" applyFont="1" applyFill="1" applyBorder="1" applyAlignment="1">
      <alignment horizontal="center" vertical="top"/>
    </xf>
    <xf numFmtId="164" fontId="2" fillId="3" borderId="59" xfId="0"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4" borderId="60" xfId="0" applyNumberFormat="1" applyFont="1" applyFill="1" applyBorder="1" applyAlignment="1">
      <alignment horizontal="center" vertical="top"/>
    </xf>
    <xf numFmtId="164" fontId="2" fillId="3" borderId="60" xfId="0" applyNumberFormat="1" applyFont="1" applyFill="1" applyBorder="1" applyAlignment="1">
      <alignment horizontal="center" vertical="top"/>
    </xf>
    <xf numFmtId="164" fontId="2" fillId="5" borderId="61" xfId="0" applyNumberFormat="1" applyFont="1" applyFill="1" applyBorder="1" applyAlignment="1">
      <alignment horizontal="center" vertical="center"/>
    </xf>
    <xf numFmtId="49" fontId="1" fillId="7" borderId="12" xfId="0" applyNumberFormat="1" applyFont="1" applyFill="1" applyBorder="1" applyAlignment="1">
      <alignment horizontal="center" vertical="top" wrapText="1"/>
    </xf>
    <xf numFmtId="49" fontId="1" fillId="7" borderId="36" xfId="0" applyNumberFormat="1" applyFont="1" applyFill="1" applyBorder="1" applyAlignment="1">
      <alignment horizontal="center" vertical="top" wrapText="1"/>
    </xf>
    <xf numFmtId="49" fontId="1" fillId="7" borderId="40" xfId="0" applyNumberFormat="1" applyFont="1" applyFill="1" applyBorder="1" applyAlignment="1">
      <alignment horizontal="center" vertical="top"/>
    </xf>
    <xf numFmtId="3" fontId="1" fillId="0" borderId="67" xfId="0" applyNumberFormat="1" applyFont="1" applyBorder="1" applyAlignment="1">
      <alignment horizontal="center" vertical="top"/>
    </xf>
    <xf numFmtId="164" fontId="1" fillId="0" borderId="35"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49" fontId="1" fillId="6" borderId="111" xfId="0" applyNumberFormat="1" applyFont="1" applyFill="1" applyBorder="1" applyAlignment="1">
      <alignment horizontal="center" vertical="top"/>
    </xf>
    <xf numFmtId="49" fontId="1" fillId="6" borderId="82" xfId="0" applyNumberFormat="1" applyFont="1" applyFill="1" applyBorder="1" applyAlignment="1">
      <alignment horizontal="center" vertical="top"/>
    </xf>
    <xf numFmtId="3" fontId="1" fillId="6" borderId="39" xfId="0" applyNumberFormat="1" applyFont="1" applyFill="1" applyBorder="1" applyAlignment="1">
      <alignment vertical="top" wrapText="1"/>
    </xf>
    <xf numFmtId="3" fontId="1" fillId="6" borderId="108" xfId="0" applyNumberFormat="1" applyFont="1" applyFill="1" applyBorder="1" applyAlignment="1">
      <alignment horizontal="center" vertical="top" wrapText="1"/>
    </xf>
    <xf numFmtId="3" fontId="1" fillId="6" borderId="74" xfId="0" applyNumberFormat="1" applyFont="1" applyFill="1" applyBorder="1" applyAlignment="1">
      <alignment horizontal="center" vertical="top" wrapText="1"/>
    </xf>
    <xf numFmtId="3" fontId="1" fillId="6" borderId="85" xfId="0" applyNumberFormat="1" applyFont="1" applyFill="1" applyBorder="1" applyAlignment="1">
      <alignment vertical="top" wrapText="1"/>
    </xf>
    <xf numFmtId="3" fontId="1" fillId="6" borderId="97"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wrapText="1"/>
    </xf>
    <xf numFmtId="3" fontId="2" fillId="8" borderId="13"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0" fontId="18" fillId="6" borderId="18" xfId="0" applyFont="1" applyFill="1" applyBorder="1" applyAlignment="1">
      <alignment horizontal="center" vertical="top" wrapText="1"/>
    </xf>
    <xf numFmtId="164" fontId="1" fillId="6" borderId="18" xfId="0" applyNumberFormat="1" applyFont="1" applyFill="1" applyBorder="1" applyAlignment="1">
      <alignment horizontal="center" vertical="top"/>
    </xf>
    <xf numFmtId="3" fontId="1" fillId="6" borderId="31" xfId="0" applyNumberFormat="1" applyFont="1" applyFill="1" applyBorder="1" applyAlignment="1">
      <alignment vertical="top" wrapText="1"/>
    </xf>
    <xf numFmtId="3" fontId="1" fillId="6" borderId="32" xfId="0" applyNumberFormat="1" applyFont="1" applyFill="1" applyBorder="1" applyAlignment="1">
      <alignment horizontal="center" vertical="top" wrapText="1"/>
    </xf>
    <xf numFmtId="0" fontId="1" fillId="0" borderId="33" xfId="0" applyFont="1" applyFill="1" applyBorder="1" applyAlignment="1">
      <alignment vertical="top" wrapText="1"/>
    </xf>
    <xf numFmtId="49" fontId="2" fillId="6" borderId="33" xfId="0" applyNumberFormat="1" applyFont="1" applyFill="1" applyBorder="1" applyAlignment="1">
      <alignment horizontal="center" vertical="top" wrapText="1"/>
    </xf>
    <xf numFmtId="3" fontId="11" fillId="6" borderId="38" xfId="0" applyNumberFormat="1" applyFont="1" applyFill="1" applyBorder="1" applyAlignment="1">
      <alignment horizontal="center" vertical="center" textRotation="90" wrapText="1"/>
    </xf>
    <xf numFmtId="3" fontId="1" fillId="6" borderId="34" xfId="0" applyNumberFormat="1" applyFont="1" applyFill="1" applyBorder="1" applyAlignment="1">
      <alignment horizontal="center" vertical="top" wrapText="1"/>
    </xf>
    <xf numFmtId="3" fontId="1" fillId="6" borderId="22" xfId="0" applyNumberFormat="1" applyFont="1" applyFill="1" applyBorder="1" applyAlignment="1">
      <alignment horizontal="center" vertical="top"/>
    </xf>
    <xf numFmtId="3" fontId="2" fillId="8" borderId="13" xfId="0" applyNumberFormat="1" applyFont="1" applyFill="1" applyBorder="1" applyAlignment="1">
      <alignment horizontal="center" vertical="top" wrapText="1"/>
    </xf>
    <xf numFmtId="164" fontId="1" fillId="6" borderId="19" xfId="0" applyNumberFormat="1" applyFont="1" applyFill="1" applyBorder="1" applyAlignment="1">
      <alignment horizontal="center" vertical="top"/>
    </xf>
    <xf numFmtId="3" fontId="1" fillId="6" borderId="18" xfId="0" applyNumberFormat="1" applyFont="1" applyFill="1" applyBorder="1" applyAlignment="1">
      <alignment horizontal="left" vertical="top" wrapText="1"/>
    </xf>
    <xf numFmtId="49" fontId="2" fillId="6" borderId="33" xfId="0" applyNumberFormat="1" applyFont="1" applyFill="1" applyBorder="1" applyAlignment="1">
      <alignment horizontal="center" vertical="top"/>
    </xf>
    <xf numFmtId="3" fontId="1" fillId="6" borderId="43" xfId="0" applyNumberFormat="1" applyFont="1" applyFill="1" applyBorder="1" applyAlignment="1">
      <alignment horizontal="center" vertical="top" wrapText="1"/>
    </xf>
    <xf numFmtId="3" fontId="1" fillId="6" borderId="110" xfId="0" applyNumberFormat="1" applyFont="1" applyFill="1" applyBorder="1" applyAlignment="1">
      <alignment horizontal="center" vertical="top" wrapText="1"/>
    </xf>
    <xf numFmtId="3" fontId="1" fillId="6" borderId="22" xfId="0" applyNumberFormat="1" applyFont="1" applyFill="1" applyBorder="1" applyAlignment="1">
      <alignment horizontal="left" vertical="top" wrapText="1"/>
    </xf>
    <xf numFmtId="164" fontId="1" fillId="6" borderId="43" xfId="0" applyNumberFormat="1" applyFont="1" applyFill="1" applyBorder="1" applyAlignment="1">
      <alignment horizontal="center" vertical="top"/>
    </xf>
    <xf numFmtId="3" fontId="1" fillId="6" borderId="39" xfId="0" applyNumberFormat="1" applyFont="1" applyFill="1" applyBorder="1" applyAlignment="1">
      <alignment vertical="top"/>
    </xf>
    <xf numFmtId="3" fontId="1" fillId="6" borderId="108" xfId="0" applyNumberFormat="1" applyFont="1" applyFill="1" applyBorder="1" applyAlignment="1">
      <alignment horizontal="center" vertical="top"/>
    </xf>
    <xf numFmtId="3" fontId="1" fillId="6" borderId="107" xfId="0" applyNumberFormat="1" applyFont="1" applyFill="1" applyBorder="1" applyAlignment="1">
      <alignment horizontal="center" vertical="top"/>
    </xf>
    <xf numFmtId="0" fontId="17" fillId="0" borderId="47" xfId="0" applyFont="1" applyBorder="1" applyAlignment="1">
      <alignment horizontal="center" vertical="center" wrapText="1"/>
    </xf>
    <xf numFmtId="49" fontId="1" fillId="7" borderId="66" xfId="0" applyNumberFormat="1" applyFont="1" applyFill="1" applyBorder="1" applyAlignment="1">
      <alignment horizontal="center" vertical="top"/>
    </xf>
    <xf numFmtId="49" fontId="1" fillId="6" borderId="76" xfId="0" applyNumberFormat="1" applyFont="1" applyFill="1" applyBorder="1" applyAlignment="1">
      <alignment horizontal="center" vertical="top" wrapText="1"/>
    </xf>
    <xf numFmtId="3" fontId="1" fillId="6" borderId="76" xfId="0" applyNumberFormat="1" applyFont="1" applyFill="1" applyBorder="1" applyAlignment="1">
      <alignment horizontal="center" vertical="top"/>
    </xf>
    <xf numFmtId="49" fontId="1" fillId="6" borderId="14" xfId="0" applyNumberFormat="1" applyFont="1" applyFill="1" applyBorder="1" applyAlignment="1">
      <alignment horizontal="center" vertical="top"/>
    </xf>
    <xf numFmtId="3" fontId="1" fillId="7" borderId="11" xfId="0" applyNumberFormat="1" applyFont="1" applyFill="1" applyBorder="1" applyAlignment="1">
      <alignment horizontal="center" vertical="top" wrapText="1"/>
    </xf>
    <xf numFmtId="49" fontId="1" fillId="6" borderId="17" xfId="0" applyNumberFormat="1" applyFont="1" applyFill="1" applyBorder="1" applyAlignment="1">
      <alignment horizontal="center" vertical="top"/>
    </xf>
    <xf numFmtId="3" fontId="1" fillId="6" borderId="68" xfId="0" applyNumberFormat="1" applyFont="1" applyFill="1" applyBorder="1" applyAlignment="1">
      <alignment horizontal="center" vertical="top" wrapText="1"/>
    </xf>
    <xf numFmtId="3" fontId="1" fillId="6" borderId="55" xfId="0" applyNumberFormat="1" applyFont="1" applyFill="1" applyBorder="1" applyAlignment="1">
      <alignment horizontal="center" vertical="center" wrapText="1"/>
    </xf>
    <xf numFmtId="164" fontId="1" fillId="6" borderId="108" xfId="0" applyNumberFormat="1" applyFont="1" applyFill="1" applyBorder="1" applyAlignment="1">
      <alignment horizontal="center" vertical="top"/>
    </xf>
    <xf numFmtId="3" fontId="1" fillId="6" borderId="39" xfId="0" applyNumberFormat="1" applyFont="1" applyFill="1" applyBorder="1" applyAlignment="1">
      <alignment horizontal="center" vertical="top"/>
    </xf>
    <xf numFmtId="164" fontId="1" fillId="6" borderId="74" xfId="0" applyNumberFormat="1" applyFont="1" applyFill="1" applyBorder="1" applyAlignment="1">
      <alignment horizontal="center" vertical="top"/>
    </xf>
    <xf numFmtId="3" fontId="1" fillId="6" borderId="85" xfId="0" applyNumberFormat="1" applyFont="1" applyFill="1" applyBorder="1" applyAlignment="1">
      <alignment horizontal="center" vertical="top"/>
    </xf>
    <xf numFmtId="164" fontId="1" fillId="6" borderId="113" xfId="0" applyNumberFormat="1" applyFont="1" applyFill="1" applyBorder="1" applyAlignment="1">
      <alignment horizontal="center" vertical="top"/>
    </xf>
    <xf numFmtId="164" fontId="1" fillId="6" borderId="97" xfId="0" applyNumberFormat="1" applyFont="1" applyFill="1" applyBorder="1" applyAlignment="1">
      <alignment horizontal="center" vertical="top"/>
    </xf>
    <xf numFmtId="164" fontId="1" fillId="6" borderId="105" xfId="0" applyNumberFormat="1" applyFont="1" applyFill="1" applyBorder="1" applyAlignment="1">
      <alignment horizontal="center" vertical="top"/>
    </xf>
    <xf numFmtId="164" fontId="1" fillId="6" borderId="114" xfId="0" applyNumberFormat="1" applyFont="1" applyFill="1" applyBorder="1" applyAlignment="1">
      <alignment horizontal="center" vertical="top"/>
    </xf>
    <xf numFmtId="3" fontId="11" fillId="6" borderId="71" xfId="0" applyNumberFormat="1" applyFont="1" applyFill="1" applyBorder="1" applyAlignment="1">
      <alignment horizontal="center" vertical="top" wrapText="1"/>
    </xf>
    <xf numFmtId="164" fontId="1" fillId="6" borderId="112" xfId="0" applyNumberFormat="1" applyFont="1" applyFill="1" applyBorder="1" applyAlignment="1">
      <alignment horizontal="center" vertical="top"/>
    </xf>
    <xf numFmtId="3" fontId="1" fillId="6" borderId="88" xfId="0" applyNumberFormat="1" applyFont="1" applyFill="1" applyBorder="1" applyAlignment="1">
      <alignment horizontal="center" vertical="top"/>
    </xf>
    <xf numFmtId="3" fontId="1" fillId="6" borderId="11" xfId="0" applyNumberFormat="1" applyFont="1" applyFill="1" applyBorder="1" applyAlignment="1">
      <alignment horizontal="center" vertical="top" wrapText="1"/>
    </xf>
    <xf numFmtId="0" fontId="18" fillId="6" borderId="33" xfId="0" applyFont="1" applyFill="1" applyBorder="1" applyAlignment="1">
      <alignment horizontal="center" vertical="top" wrapText="1"/>
    </xf>
    <xf numFmtId="3" fontId="12" fillId="6" borderId="45" xfId="0" applyNumberFormat="1" applyFont="1" applyFill="1" applyBorder="1" applyAlignment="1">
      <alignment horizontal="left" wrapText="1"/>
    </xf>
    <xf numFmtId="49" fontId="1" fillId="6" borderId="30" xfId="0" applyNumberFormat="1" applyFont="1" applyFill="1" applyBorder="1" applyAlignment="1">
      <alignment horizontal="center" vertical="top" textRotation="91" wrapText="1"/>
    </xf>
    <xf numFmtId="164" fontId="1" fillId="6" borderId="20" xfId="0" applyNumberFormat="1" applyFont="1" applyFill="1" applyBorder="1" applyAlignment="1">
      <alignment horizontal="center" vertical="top"/>
    </xf>
    <xf numFmtId="3" fontId="1" fillId="6" borderId="104" xfId="0" applyNumberFormat="1" applyFont="1" applyFill="1" applyBorder="1" applyAlignment="1">
      <alignment horizontal="center" vertical="top"/>
    </xf>
    <xf numFmtId="3" fontId="1" fillId="6" borderId="39" xfId="0" applyNumberFormat="1" applyFont="1" applyFill="1" applyBorder="1" applyAlignment="1">
      <alignment horizontal="center" vertical="top" wrapText="1"/>
    </xf>
    <xf numFmtId="164" fontId="1" fillId="6" borderId="75" xfId="0" applyNumberFormat="1" applyFont="1" applyFill="1" applyBorder="1" applyAlignment="1">
      <alignment horizontal="center" vertical="top"/>
    </xf>
    <xf numFmtId="3" fontId="1" fillId="6" borderId="109" xfId="0" applyNumberFormat="1" applyFont="1" applyFill="1" applyBorder="1" applyAlignment="1">
      <alignment horizontal="center" vertical="top"/>
    </xf>
    <xf numFmtId="164" fontId="1" fillId="6" borderId="102" xfId="0" applyNumberFormat="1" applyFont="1" applyFill="1" applyBorder="1" applyAlignment="1">
      <alignment horizontal="center" vertical="top"/>
    </xf>
    <xf numFmtId="3" fontId="1" fillId="6" borderId="88" xfId="0" applyNumberFormat="1" applyFont="1" applyFill="1" applyBorder="1" applyAlignment="1">
      <alignment horizontal="center" vertical="top" wrapText="1"/>
    </xf>
    <xf numFmtId="164" fontId="1" fillId="6" borderId="115" xfId="0" applyNumberFormat="1" applyFont="1" applyFill="1" applyBorder="1" applyAlignment="1">
      <alignment horizontal="center" vertical="top"/>
    </xf>
    <xf numFmtId="3" fontId="1" fillId="6" borderId="55" xfId="0" applyNumberFormat="1" applyFont="1" applyFill="1" applyBorder="1" applyAlignment="1">
      <alignment horizontal="center" vertical="top"/>
    </xf>
    <xf numFmtId="3" fontId="1" fillId="0" borderId="96" xfId="0" applyNumberFormat="1" applyFont="1" applyBorder="1" applyAlignment="1">
      <alignment vertical="top"/>
    </xf>
    <xf numFmtId="3" fontId="1" fillId="6" borderId="71" xfId="0" applyNumberFormat="1" applyFont="1" applyFill="1" applyBorder="1" applyAlignment="1">
      <alignment horizontal="center" vertical="top"/>
    </xf>
    <xf numFmtId="164" fontId="1" fillId="6" borderId="71" xfId="0" applyNumberFormat="1" applyFont="1" applyFill="1" applyBorder="1" applyAlignment="1">
      <alignment horizontal="center" vertical="top"/>
    </xf>
    <xf numFmtId="3" fontId="1" fillId="6" borderId="84" xfId="0" applyNumberFormat="1" applyFont="1" applyFill="1" applyBorder="1" applyAlignment="1">
      <alignment horizontal="center" vertical="top" wrapText="1"/>
    </xf>
    <xf numFmtId="3" fontId="1" fillId="0" borderId="55" xfId="0" applyNumberFormat="1" applyFont="1" applyBorder="1" applyAlignment="1">
      <alignment vertical="top"/>
    </xf>
    <xf numFmtId="3" fontId="1" fillId="6" borderId="68" xfId="0" applyNumberFormat="1" applyFont="1" applyFill="1" applyBorder="1" applyAlignment="1">
      <alignment horizontal="center" vertical="top"/>
    </xf>
    <xf numFmtId="0" fontId="1" fillId="10" borderId="68" xfId="0" applyFont="1" applyFill="1" applyBorder="1" applyAlignment="1">
      <alignment horizontal="center" vertical="top"/>
    </xf>
    <xf numFmtId="0" fontId="1" fillId="10" borderId="104" xfId="0" applyFont="1" applyFill="1" applyBorder="1" applyAlignment="1">
      <alignment horizontal="center" vertical="top"/>
    </xf>
    <xf numFmtId="0" fontId="1" fillId="6" borderId="68" xfId="0" applyFont="1" applyFill="1" applyBorder="1" applyAlignment="1">
      <alignment horizontal="center" vertical="top" wrapText="1"/>
    </xf>
    <xf numFmtId="0" fontId="1" fillId="6" borderId="95" xfId="0" applyFont="1" applyFill="1" applyBorder="1" applyAlignment="1">
      <alignment horizontal="center" vertical="top" wrapText="1"/>
    </xf>
    <xf numFmtId="0" fontId="1" fillId="6" borderId="86" xfId="0" applyFont="1" applyFill="1" applyBorder="1" applyAlignment="1">
      <alignment horizontal="center" vertical="top" wrapText="1"/>
    </xf>
    <xf numFmtId="0" fontId="1" fillId="6" borderId="35" xfId="0" applyFont="1" applyFill="1" applyBorder="1" applyAlignment="1">
      <alignment horizontal="center" vertical="top" wrapText="1"/>
    </xf>
    <xf numFmtId="3" fontId="1" fillId="6" borderId="110" xfId="0" applyNumberFormat="1" applyFont="1" applyFill="1" applyBorder="1" applyAlignment="1">
      <alignment horizontal="center" vertical="top"/>
    </xf>
    <xf numFmtId="49" fontId="1" fillId="7" borderId="55" xfId="0" applyNumberFormat="1" applyFont="1" applyFill="1" applyBorder="1" applyAlignment="1">
      <alignment horizontal="center" vertical="top" wrapText="1"/>
    </xf>
    <xf numFmtId="3" fontId="1" fillId="6" borderId="112" xfId="0" applyNumberFormat="1" applyFont="1" applyFill="1" applyBorder="1" applyAlignment="1">
      <alignment horizontal="center" vertical="top"/>
    </xf>
    <xf numFmtId="3" fontId="1" fillId="6" borderId="114" xfId="0" applyNumberFormat="1" applyFont="1" applyFill="1" applyBorder="1" applyAlignment="1">
      <alignment horizontal="center" vertical="top"/>
    </xf>
    <xf numFmtId="3" fontId="1" fillId="6" borderId="39" xfId="0" applyNumberFormat="1" applyFont="1" applyFill="1" applyBorder="1" applyAlignment="1">
      <alignment horizontal="left" vertical="top" wrapText="1"/>
    </xf>
    <xf numFmtId="3" fontId="1" fillId="0" borderId="112" xfId="0" applyNumberFormat="1" applyFont="1" applyFill="1" applyBorder="1" applyAlignment="1">
      <alignment horizontal="center" vertical="top" wrapText="1"/>
    </xf>
    <xf numFmtId="3" fontId="1" fillId="0" borderId="108" xfId="0" applyNumberFormat="1" applyFont="1" applyFill="1" applyBorder="1" applyAlignment="1">
      <alignment horizontal="center" vertical="top" wrapText="1"/>
    </xf>
    <xf numFmtId="0" fontId="1" fillId="0" borderId="35" xfId="0" applyFont="1" applyBorder="1" applyAlignment="1">
      <alignment vertical="top"/>
    </xf>
    <xf numFmtId="0" fontId="1" fillId="0" borderId="37" xfId="0" applyFont="1" applyBorder="1" applyAlignment="1">
      <alignment vertical="top"/>
    </xf>
    <xf numFmtId="3" fontId="1" fillId="6" borderId="83" xfId="0" applyNumberFormat="1" applyFont="1" applyFill="1" applyBorder="1" applyAlignment="1">
      <alignment horizontal="center" vertical="top" wrapText="1"/>
    </xf>
    <xf numFmtId="3" fontId="1" fillId="6" borderId="71" xfId="0" applyNumberFormat="1" applyFont="1" applyFill="1" applyBorder="1" applyAlignment="1">
      <alignment horizontal="center" vertical="top" wrapText="1"/>
    </xf>
    <xf numFmtId="3" fontId="1" fillId="6" borderId="93" xfId="0" applyNumberFormat="1" applyFont="1" applyFill="1" applyBorder="1" applyAlignment="1">
      <alignment horizontal="center" vertical="top" wrapText="1"/>
    </xf>
    <xf numFmtId="3" fontId="1" fillId="6" borderId="82" xfId="0" applyNumberFormat="1" applyFont="1" applyFill="1" applyBorder="1" applyAlignment="1">
      <alignment horizontal="center" vertical="top" wrapText="1"/>
    </xf>
    <xf numFmtId="3" fontId="1" fillId="6" borderId="75" xfId="0" applyNumberFormat="1" applyFont="1" applyFill="1" applyBorder="1" applyAlignment="1">
      <alignment horizontal="center" vertical="top" wrapText="1"/>
    </xf>
    <xf numFmtId="164" fontId="2" fillId="8" borderId="90" xfId="0" applyNumberFormat="1" applyFont="1" applyFill="1" applyBorder="1" applyAlignment="1">
      <alignment horizontal="center" vertical="top"/>
    </xf>
    <xf numFmtId="3" fontId="1" fillId="6" borderId="105"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wrapText="1"/>
    </xf>
    <xf numFmtId="49" fontId="1" fillId="6" borderId="12" xfId="0" applyNumberFormat="1" applyFont="1" applyFill="1" applyBorder="1" applyAlignment="1">
      <alignment horizontal="center" vertical="top" wrapText="1"/>
    </xf>
    <xf numFmtId="49" fontId="1" fillId="6" borderId="15" xfId="0" applyNumberFormat="1" applyFont="1" applyFill="1" applyBorder="1" applyAlignment="1">
      <alignment horizontal="center" vertical="top" wrapText="1"/>
    </xf>
    <xf numFmtId="0" fontId="1" fillId="6" borderId="39" xfId="0" applyFont="1" applyFill="1" applyBorder="1" applyAlignment="1">
      <alignment vertical="top" wrapText="1"/>
    </xf>
    <xf numFmtId="49" fontId="1" fillId="6" borderId="108" xfId="0" applyNumberFormat="1" applyFont="1" applyFill="1" applyBorder="1" applyAlignment="1">
      <alignment horizontal="center" vertical="top" wrapText="1"/>
    </xf>
    <xf numFmtId="49" fontId="1" fillId="6" borderId="75" xfId="0" applyNumberFormat="1" applyFont="1" applyFill="1" applyBorder="1" applyAlignment="1">
      <alignment horizontal="center" vertical="top" wrapText="1"/>
    </xf>
    <xf numFmtId="3" fontId="11" fillId="6" borderId="45" xfId="0" applyNumberFormat="1" applyFont="1" applyFill="1" applyBorder="1" applyAlignment="1">
      <alignment vertical="top" wrapText="1"/>
    </xf>
    <xf numFmtId="49" fontId="2" fillId="6" borderId="36"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0" fontId="1" fillId="6" borderId="55" xfId="0" applyFont="1" applyFill="1" applyBorder="1" applyAlignment="1">
      <alignment horizontal="center" vertical="top" wrapText="1"/>
    </xf>
    <xf numFmtId="3" fontId="2" fillId="8" borderId="45" xfId="0" applyNumberFormat="1" applyFont="1" applyFill="1" applyBorder="1" applyAlignment="1">
      <alignment horizontal="center" vertical="top"/>
    </xf>
    <xf numFmtId="49" fontId="2" fillId="8" borderId="13" xfId="0" applyNumberFormat="1" applyFont="1" applyFill="1" applyBorder="1" applyAlignment="1">
      <alignment horizontal="center" vertical="top"/>
    </xf>
    <xf numFmtId="0" fontId="2" fillId="6" borderId="38" xfId="0" applyFont="1" applyFill="1" applyBorder="1" applyAlignment="1">
      <alignment vertical="center" wrapText="1"/>
    </xf>
    <xf numFmtId="0" fontId="2" fillId="6" borderId="36" xfId="0" applyFont="1" applyFill="1" applyBorder="1" applyAlignment="1">
      <alignment vertical="center" wrapText="1"/>
    </xf>
    <xf numFmtId="1" fontId="1" fillId="6" borderId="74" xfId="0" applyNumberFormat="1" applyFont="1" applyFill="1" applyBorder="1" applyAlignment="1">
      <alignment horizontal="center" vertical="top" wrapText="1"/>
    </xf>
    <xf numFmtId="1" fontId="1" fillId="6" borderId="115" xfId="0" applyNumberFormat="1" applyFont="1" applyFill="1" applyBorder="1" applyAlignment="1">
      <alignment horizontal="center" vertical="top" wrapText="1"/>
    </xf>
    <xf numFmtId="0" fontId="1" fillId="6" borderId="85" xfId="0" applyFont="1" applyFill="1" applyBorder="1" applyAlignment="1">
      <alignment horizontal="center" vertical="top" wrapText="1"/>
    </xf>
    <xf numFmtId="1" fontId="1" fillId="6" borderId="37" xfId="0" applyNumberFormat="1" applyFont="1" applyFill="1" applyBorder="1" applyAlignment="1">
      <alignment horizontal="center" vertical="top" wrapText="1"/>
    </xf>
    <xf numFmtId="164" fontId="1" fillId="6" borderId="39" xfId="0" applyNumberFormat="1" applyFont="1" applyFill="1" applyBorder="1" applyAlignment="1">
      <alignment horizontal="left" vertical="top" wrapText="1"/>
    </xf>
    <xf numFmtId="164" fontId="1" fillId="6" borderId="88" xfId="0" applyNumberFormat="1" applyFont="1" applyFill="1" applyBorder="1" applyAlignment="1">
      <alignment horizontal="left" vertical="top" wrapText="1"/>
    </xf>
    <xf numFmtId="164" fontId="1" fillId="6" borderId="85" xfId="0" applyNumberFormat="1" applyFont="1" applyFill="1" applyBorder="1" applyAlignment="1">
      <alignment horizontal="left" vertical="top" wrapText="1"/>
    </xf>
    <xf numFmtId="3" fontId="1" fillId="0" borderId="11"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0" borderId="0" xfId="0" applyNumberFormat="1" applyFont="1" applyAlignment="1">
      <alignment vertical="top"/>
    </xf>
    <xf numFmtId="3" fontId="1" fillId="6" borderId="35" xfId="0" applyNumberFormat="1" applyFont="1" applyFill="1" applyBorder="1" applyAlignment="1">
      <alignment horizontal="center" vertical="top" wrapText="1"/>
    </xf>
    <xf numFmtId="3" fontId="1" fillId="6" borderId="112" xfId="0" applyNumberFormat="1" applyFont="1" applyFill="1" applyBorder="1" applyAlignment="1">
      <alignment horizontal="center" vertical="top" wrapText="1"/>
    </xf>
    <xf numFmtId="49" fontId="1" fillId="6" borderId="33" xfId="0" applyNumberFormat="1" applyFont="1" applyFill="1" applyBorder="1" applyAlignment="1">
      <alignment horizontal="center" vertical="top" wrapText="1"/>
    </xf>
    <xf numFmtId="49" fontId="1" fillId="6" borderId="43"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0" fontId="1" fillId="0" borderId="67" xfId="0" applyFont="1" applyFill="1" applyBorder="1" applyAlignment="1">
      <alignment horizontal="center" vertical="top" wrapText="1"/>
    </xf>
    <xf numFmtId="3" fontId="1" fillId="6" borderId="15" xfId="0" applyNumberFormat="1" applyFont="1" applyFill="1" applyBorder="1" applyAlignment="1">
      <alignment horizontal="left" vertical="top" wrapText="1"/>
    </xf>
    <xf numFmtId="3" fontId="1" fillId="6" borderId="76" xfId="0" applyNumberFormat="1" applyFont="1" applyFill="1" applyBorder="1" applyAlignment="1">
      <alignment horizontal="center" vertical="top" wrapText="1"/>
    </xf>
    <xf numFmtId="3" fontId="1" fillId="6" borderId="113" xfId="0" applyNumberFormat="1" applyFont="1" applyFill="1" applyBorder="1" applyAlignment="1">
      <alignment horizontal="center" vertical="top" wrapText="1"/>
    </xf>
    <xf numFmtId="0" fontId="20" fillId="6" borderId="110" xfId="0" applyFont="1" applyFill="1" applyBorder="1" applyAlignment="1">
      <alignment horizontal="center" vertical="top" wrapText="1"/>
    </xf>
    <xf numFmtId="164" fontId="1" fillId="6" borderId="16" xfId="0" applyNumberFormat="1" applyFont="1" applyFill="1" applyBorder="1" applyAlignment="1">
      <alignment horizontal="left" vertical="top" wrapText="1"/>
    </xf>
    <xf numFmtId="1" fontId="1" fillId="6" borderId="55" xfId="0" applyNumberFormat="1" applyFont="1" applyFill="1" applyBorder="1" applyAlignment="1">
      <alignment horizontal="center" vertical="top" wrapText="1"/>
    </xf>
    <xf numFmtId="1" fontId="1" fillId="6" borderId="15" xfId="0" applyNumberFormat="1" applyFont="1" applyFill="1" applyBorder="1" applyAlignment="1">
      <alignment horizontal="center" vertical="top" wrapText="1"/>
    </xf>
    <xf numFmtId="1" fontId="1" fillId="6" borderId="114"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1" fillId="5" borderId="61"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6" borderId="16"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3" fontId="2" fillId="6" borderId="38"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center" textRotation="90" wrapText="1"/>
    </xf>
    <xf numFmtId="3" fontId="1" fillId="6" borderId="56" xfId="0" applyNumberFormat="1" applyFont="1" applyFill="1" applyBorder="1" applyAlignment="1">
      <alignment horizontal="center" vertical="center" textRotation="90" wrapText="1"/>
    </xf>
    <xf numFmtId="0" fontId="1" fillId="6" borderId="78"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1" fillId="6" borderId="13" xfId="0" applyNumberFormat="1" applyFont="1" applyFill="1" applyBorder="1" applyAlignment="1">
      <alignment horizontal="left" vertical="top" wrapText="1"/>
    </xf>
    <xf numFmtId="3" fontId="11" fillId="6" borderId="13" xfId="0" applyNumberFormat="1" applyFont="1" applyFill="1" applyBorder="1" applyAlignment="1">
      <alignment horizontal="center" vertical="center" textRotation="90" wrapText="1"/>
    </xf>
    <xf numFmtId="3" fontId="1" fillId="6" borderId="36"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1" fillId="6" borderId="38" xfId="0" applyNumberFormat="1" applyFont="1" applyFill="1" applyBorder="1" applyAlignment="1">
      <alignment vertical="top" wrapText="1"/>
    </xf>
    <xf numFmtId="0" fontId="1" fillId="6" borderId="67" xfId="0" applyFont="1" applyFill="1" applyBorder="1" applyAlignment="1">
      <alignment horizontal="left" vertical="top" wrapText="1"/>
    </xf>
    <xf numFmtId="3" fontId="1" fillId="6" borderId="6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0" fontId="1" fillId="6" borderId="16" xfId="0" applyFont="1" applyFill="1" applyBorder="1" applyAlignment="1">
      <alignment vertical="top" wrapText="1"/>
    </xf>
    <xf numFmtId="0" fontId="1" fillId="6" borderId="13" xfId="0" applyFont="1" applyFill="1" applyBorder="1" applyAlignment="1">
      <alignment horizontal="left" vertical="top" wrapText="1"/>
    </xf>
    <xf numFmtId="0" fontId="11" fillId="6" borderId="16" xfId="0" applyFont="1" applyFill="1" applyBorder="1" applyAlignment="1">
      <alignment vertical="top" wrapText="1"/>
    </xf>
    <xf numFmtId="0" fontId="1" fillId="6" borderId="67" xfId="0" applyFont="1" applyFill="1" applyBorder="1" applyAlignment="1">
      <alignment vertical="top" wrapText="1"/>
    </xf>
    <xf numFmtId="3" fontId="1" fillId="6" borderId="16"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1" fillId="6" borderId="66"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11" fillId="6" borderId="42" xfId="0" applyNumberFormat="1" applyFont="1" applyFill="1" applyBorder="1" applyAlignment="1">
      <alignment horizontal="center" vertical="top" wrapText="1"/>
    </xf>
    <xf numFmtId="3" fontId="1" fillId="6" borderId="41" xfId="0" applyNumberFormat="1" applyFont="1" applyFill="1" applyBorder="1" applyAlignment="1">
      <alignment horizontal="left" vertical="top" wrapText="1"/>
    </xf>
    <xf numFmtId="0" fontId="10" fillId="0" borderId="0" xfId="0" applyFont="1" applyFill="1" applyAlignment="1">
      <alignment vertical="top"/>
    </xf>
    <xf numFmtId="49" fontId="1" fillId="7" borderId="11" xfId="0" applyNumberFormat="1" applyFont="1" applyFill="1" applyBorder="1" applyAlignment="1">
      <alignment horizontal="center" vertical="top"/>
    </xf>
    <xf numFmtId="3" fontId="1" fillId="6" borderId="17" xfId="0" applyNumberFormat="1" applyFont="1" applyFill="1" applyBorder="1" applyAlignment="1">
      <alignment horizontal="center" vertical="top"/>
    </xf>
    <xf numFmtId="49" fontId="1" fillId="6" borderId="35" xfId="0" applyNumberFormat="1" applyFont="1" applyFill="1" applyBorder="1" applyAlignment="1">
      <alignment horizontal="center" vertical="top"/>
    </xf>
    <xf numFmtId="164" fontId="7" fillId="6" borderId="68" xfId="0" applyNumberFormat="1" applyFont="1" applyFill="1" applyBorder="1" applyAlignment="1">
      <alignment horizontal="center" vertical="top"/>
    </xf>
    <xf numFmtId="3" fontId="20" fillId="6" borderId="50" xfId="0" applyNumberFormat="1" applyFont="1" applyFill="1" applyBorder="1" applyAlignment="1">
      <alignment vertical="top" wrapText="1"/>
    </xf>
    <xf numFmtId="0" fontId="2" fillId="6" borderId="40" xfId="0" applyFont="1" applyFill="1" applyBorder="1" applyAlignment="1">
      <alignment horizontal="center" vertical="center" wrapText="1"/>
    </xf>
    <xf numFmtId="0" fontId="2" fillId="6" borderId="56" xfId="0" applyFont="1" applyFill="1" applyBorder="1" applyAlignment="1">
      <alignment horizontal="center" vertical="center" wrapText="1"/>
    </xf>
    <xf numFmtId="49" fontId="1" fillId="6" borderId="51" xfId="0" applyNumberFormat="1" applyFont="1" applyFill="1" applyBorder="1" applyAlignment="1">
      <alignment horizontal="center" vertical="top" wrapText="1"/>
    </xf>
    <xf numFmtId="164" fontId="1" fillId="6" borderId="76" xfId="0" applyNumberFormat="1" applyFont="1" applyFill="1" applyBorder="1" applyAlignment="1">
      <alignment horizontal="center" vertical="top"/>
    </xf>
    <xf numFmtId="49" fontId="1" fillId="6" borderId="112" xfId="0" applyNumberFormat="1" applyFont="1" applyFill="1" applyBorder="1" applyAlignment="1">
      <alignment horizontal="center" vertical="top" wrapText="1"/>
    </xf>
    <xf numFmtId="0" fontId="11" fillId="6" borderId="12" xfId="0" applyFont="1" applyFill="1" applyBorder="1" applyAlignment="1">
      <alignment horizontal="center" vertical="center" textRotation="90" wrapText="1"/>
    </xf>
    <xf numFmtId="0" fontId="11" fillId="6" borderId="36" xfId="0" applyFont="1" applyFill="1" applyBorder="1" applyAlignment="1">
      <alignment horizontal="center" vertical="center" textRotation="90" wrapText="1"/>
    </xf>
    <xf numFmtId="49" fontId="1" fillId="6" borderId="55" xfId="0" applyNumberFormat="1" applyFont="1" applyFill="1" applyBorder="1" applyAlignment="1">
      <alignment horizontal="center" vertical="top" wrapText="1"/>
    </xf>
    <xf numFmtId="49" fontId="1" fillId="6" borderId="19" xfId="0" applyNumberFormat="1" applyFont="1" applyFill="1" applyBorder="1" applyAlignment="1">
      <alignment horizontal="center" vertical="top" wrapText="1"/>
    </xf>
    <xf numFmtId="0" fontId="11" fillId="6" borderId="72" xfId="0" applyFont="1" applyFill="1" applyBorder="1" applyAlignment="1">
      <alignment horizontal="center"/>
    </xf>
    <xf numFmtId="3" fontId="1" fillId="0" borderId="55" xfId="0" applyNumberFormat="1" applyFont="1" applyBorder="1" applyAlignment="1">
      <alignment horizontal="center" vertical="top"/>
    </xf>
    <xf numFmtId="0" fontId="11" fillId="6" borderId="13" xfId="0" applyFont="1" applyFill="1" applyBorder="1" applyAlignment="1">
      <alignment horizontal="center" vertical="center" textRotation="90" wrapText="1"/>
    </xf>
    <xf numFmtId="0" fontId="11" fillId="6" borderId="45" xfId="0" applyFont="1" applyFill="1" applyBorder="1" applyAlignment="1">
      <alignment vertical="top"/>
    </xf>
    <xf numFmtId="164" fontId="1" fillId="6" borderId="39" xfId="0" applyNumberFormat="1" applyFont="1" applyFill="1" applyBorder="1" applyAlignment="1">
      <alignment vertical="top" wrapText="1"/>
    </xf>
    <xf numFmtId="0" fontId="11" fillId="6" borderId="24" xfId="0" applyFont="1" applyFill="1" applyBorder="1" applyAlignment="1">
      <alignment vertical="top"/>
    </xf>
    <xf numFmtId="0" fontId="11" fillId="6" borderId="72" xfId="0" applyFont="1" applyFill="1" applyBorder="1" applyAlignment="1"/>
    <xf numFmtId="0" fontId="11" fillId="6" borderId="45" xfId="0" applyFont="1" applyFill="1" applyBorder="1" applyAlignment="1"/>
    <xf numFmtId="0" fontId="11" fillId="6" borderId="46" xfId="0" applyFont="1" applyFill="1" applyBorder="1" applyAlignment="1">
      <alignment horizontal="center" vertical="top" wrapText="1"/>
    </xf>
    <xf numFmtId="164" fontId="1" fillId="6" borderId="55" xfId="0" applyNumberFormat="1" applyFont="1" applyFill="1" applyBorder="1" applyAlignment="1">
      <alignment horizontal="center" vertical="top" wrapText="1"/>
    </xf>
    <xf numFmtId="164" fontId="1" fillId="6" borderId="51" xfId="0" applyNumberFormat="1" applyFont="1" applyFill="1" applyBorder="1" applyAlignment="1">
      <alignment horizontal="center" vertical="top" wrapText="1"/>
    </xf>
    <xf numFmtId="0" fontId="11" fillId="6" borderId="101" xfId="0" applyFont="1" applyFill="1" applyBorder="1" applyAlignment="1">
      <alignment vertical="top"/>
    </xf>
    <xf numFmtId="0" fontId="11" fillId="6" borderId="1" xfId="0" applyFont="1" applyFill="1" applyBorder="1" applyAlignment="1">
      <alignment horizontal="center"/>
    </xf>
    <xf numFmtId="0" fontId="11" fillId="6" borderId="30" xfId="0" applyFont="1" applyFill="1" applyBorder="1" applyAlignment="1">
      <alignment vertical="top"/>
    </xf>
    <xf numFmtId="0" fontId="11" fillId="6" borderId="26" xfId="0" applyFont="1" applyFill="1" applyBorder="1" applyAlignment="1"/>
    <xf numFmtId="49" fontId="1" fillId="7" borderId="51" xfId="0" applyNumberFormat="1" applyFont="1" applyFill="1" applyBorder="1" applyAlignment="1">
      <alignment horizontal="center" vertical="top" wrapText="1"/>
    </xf>
    <xf numFmtId="0" fontId="11" fillId="6" borderId="57" xfId="0" applyFont="1" applyFill="1" applyBorder="1" applyAlignment="1">
      <alignment vertical="top" wrapText="1"/>
    </xf>
    <xf numFmtId="1" fontId="1" fillId="6" borderId="112" xfId="0" applyNumberFormat="1" applyFont="1" applyFill="1" applyBorder="1" applyAlignment="1">
      <alignment horizontal="center" vertical="top" wrapText="1"/>
    </xf>
    <xf numFmtId="0" fontId="11" fillId="0" borderId="0" xfId="0" applyFont="1" applyAlignment="1">
      <alignment horizontal="left" vertical="top" wrapText="1"/>
    </xf>
    <xf numFmtId="0" fontId="11" fillId="0" borderId="0" xfId="0" applyFont="1" applyAlignment="1">
      <alignment horizontal="center" vertical="top" wrapText="1"/>
    </xf>
    <xf numFmtId="4" fontId="11" fillId="0" borderId="0" xfId="0" applyNumberFormat="1" applyFont="1" applyAlignment="1">
      <alignment horizontal="left" vertical="top" wrapText="1"/>
    </xf>
    <xf numFmtId="164" fontId="11" fillId="0" borderId="0" xfId="0" applyNumberFormat="1" applyFont="1" applyAlignment="1">
      <alignment horizontal="left" vertical="top" wrapText="1"/>
    </xf>
    <xf numFmtId="49" fontId="1" fillId="6" borderId="29" xfId="0" applyNumberFormat="1" applyFont="1" applyFill="1" applyBorder="1" applyAlignment="1">
      <alignment horizontal="center" vertical="top" textRotation="91" wrapText="1"/>
    </xf>
    <xf numFmtId="3" fontId="1" fillId="0" borderId="14" xfId="0" applyNumberFormat="1" applyFont="1" applyBorder="1" applyAlignment="1">
      <alignment vertical="top"/>
    </xf>
    <xf numFmtId="3" fontId="2" fillId="5" borderId="3" xfId="0" applyNumberFormat="1" applyFont="1" applyFill="1" applyBorder="1" applyAlignment="1">
      <alignment horizontal="center" vertical="top"/>
    </xf>
    <xf numFmtId="3" fontId="2" fillId="8" borderId="106" xfId="0" applyNumberFormat="1" applyFont="1" applyFill="1" applyBorder="1" applyAlignment="1">
      <alignment horizontal="center" vertical="top"/>
    </xf>
    <xf numFmtId="3" fontId="3" fillId="0" borderId="14" xfId="0" applyNumberFormat="1" applyFont="1" applyBorder="1"/>
    <xf numFmtId="49" fontId="2" fillId="6" borderId="38" xfId="0" applyNumberFormat="1" applyFont="1" applyFill="1" applyBorder="1" applyAlignment="1">
      <alignment horizontal="center" vertical="top"/>
    </xf>
    <xf numFmtId="0" fontId="1" fillId="6" borderId="38" xfId="0" applyFont="1" applyFill="1" applyBorder="1" applyAlignment="1">
      <alignment vertical="top" wrapText="1"/>
    </xf>
    <xf numFmtId="0" fontId="11" fillId="6" borderId="20" xfId="0" applyFont="1" applyFill="1" applyBorder="1" applyAlignment="1">
      <alignment vertical="top"/>
    </xf>
    <xf numFmtId="3" fontId="2" fillId="8" borderId="67"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43"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xf>
    <xf numFmtId="164" fontId="7" fillId="6" borderId="38" xfId="0" applyNumberFormat="1" applyFont="1" applyFill="1" applyBorder="1" applyAlignment="1">
      <alignment horizontal="center" vertical="top"/>
    </xf>
    <xf numFmtId="3" fontId="1" fillId="6" borderId="12" xfId="0" applyNumberFormat="1" applyFont="1" applyFill="1" applyBorder="1" applyAlignment="1">
      <alignment vertical="top"/>
    </xf>
    <xf numFmtId="3" fontId="1" fillId="6" borderId="0" xfId="0" applyNumberFormat="1" applyFont="1" applyFill="1" applyBorder="1" applyAlignment="1">
      <alignment vertical="top"/>
    </xf>
    <xf numFmtId="164" fontId="1" fillId="6" borderId="38"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13" xfId="0" applyNumberFormat="1" applyFont="1" applyFill="1" applyBorder="1" applyAlignment="1">
      <alignment horizontal="left" vertical="top" wrapText="1"/>
    </xf>
    <xf numFmtId="3" fontId="1" fillId="6" borderId="42"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xf>
    <xf numFmtId="0" fontId="11" fillId="6" borderId="13" xfId="0" applyFont="1" applyFill="1" applyBorder="1" applyAlignment="1">
      <alignment horizontal="center" vertical="center" textRotation="90" wrapText="1"/>
    </xf>
    <xf numFmtId="3" fontId="11" fillId="6" borderId="13" xfId="0" applyNumberFormat="1" applyFont="1" applyFill="1" applyBorder="1" applyAlignment="1">
      <alignment horizontal="center" vertical="center" textRotation="90" wrapText="1"/>
    </xf>
    <xf numFmtId="3" fontId="1" fillId="6" borderId="38"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3" fontId="2" fillId="6" borderId="3" xfId="0" applyNumberFormat="1" applyFont="1" applyFill="1" applyBorder="1" applyAlignment="1">
      <alignment horizontal="left" vertical="top" wrapText="1"/>
    </xf>
    <xf numFmtId="164" fontId="1" fillId="6" borderId="38"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0" fontId="1" fillId="6" borderId="84" xfId="0" applyFont="1" applyFill="1" applyBorder="1" applyAlignment="1">
      <alignment horizontal="left" vertical="top" wrapText="1"/>
    </xf>
    <xf numFmtId="164" fontId="1" fillId="6" borderId="34" xfId="0" applyNumberFormat="1" applyFont="1" applyFill="1" applyBorder="1" applyAlignment="1">
      <alignment horizontal="center" vertical="top" wrapText="1"/>
    </xf>
    <xf numFmtId="164" fontId="2" fillId="4" borderId="98" xfId="0" applyNumberFormat="1" applyFont="1" applyFill="1" applyBorder="1" applyAlignment="1">
      <alignment horizontal="center" vertical="top"/>
    </xf>
    <xf numFmtId="164" fontId="2" fillId="3" borderId="98" xfId="0" applyNumberFormat="1" applyFont="1" applyFill="1" applyBorder="1" applyAlignment="1">
      <alignment horizontal="center" vertical="top"/>
    </xf>
    <xf numFmtId="49" fontId="1" fillId="6" borderId="104" xfId="0" applyNumberFormat="1" applyFont="1" applyFill="1" applyBorder="1" applyAlignment="1">
      <alignment horizontal="center" vertical="top" wrapText="1"/>
    </xf>
    <xf numFmtId="49" fontId="1" fillId="6" borderId="51" xfId="0" applyNumberFormat="1" applyFont="1" applyFill="1" applyBorder="1" applyAlignment="1">
      <alignment horizontal="center" vertical="top"/>
    </xf>
    <xf numFmtId="3" fontId="1" fillId="0" borderId="110" xfId="0" applyNumberFormat="1" applyFont="1" applyFill="1" applyBorder="1" applyAlignment="1">
      <alignment horizontal="center" vertical="top" wrapText="1"/>
    </xf>
    <xf numFmtId="3" fontId="1" fillId="0" borderId="55" xfId="0" applyNumberFormat="1" applyFont="1" applyFill="1" applyBorder="1" applyAlignment="1">
      <alignment horizontal="center" vertical="top" wrapText="1"/>
    </xf>
    <xf numFmtId="3" fontId="1" fillId="7" borderId="55" xfId="0" applyNumberFormat="1" applyFont="1" applyFill="1" applyBorder="1" applyAlignment="1">
      <alignment horizontal="center" vertical="top" wrapText="1"/>
    </xf>
    <xf numFmtId="3" fontId="1" fillId="6" borderId="88" xfId="0" applyNumberFormat="1" applyFont="1" applyFill="1" applyBorder="1" applyAlignment="1">
      <alignment horizontal="left" vertical="top" wrapText="1"/>
    </xf>
    <xf numFmtId="3" fontId="1" fillId="6" borderId="88" xfId="0" applyNumberFormat="1" applyFont="1" applyFill="1" applyBorder="1" applyAlignment="1">
      <alignment vertical="top" wrapText="1"/>
    </xf>
    <xf numFmtId="3" fontId="1" fillId="7" borderId="16" xfId="0" applyNumberFormat="1" applyFont="1" applyFill="1" applyBorder="1" applyAlignment="1">
      <alignment horizontal="left" vertical="top" wrapText="1"/>
    </xf>
    <xf numFmtId="3" fontId="11" fillId="6" borderId="28" xfId="0" applyNumberFormat="1" applyFont="1" applyFill="1" applyBorder="1" applyAlignment="1">
      <alignment vertical="top" wrapText="1"/>
    </xf>
    <xf numFmtId="3" fontId="1" fillId="6" borderId="34" xfId="0" applyNumberFormat="1" applyFont="1" applyFill="1" applyBorder="1" applyAlignment="1">
      <alignment vertical="top" wrapText="1"/>
    </xf>
    <xf numFmtId="3" fontId="1" fillId="6" borderId="50" xfId="0" applyNumberFormat="1" applyFont="1" applyFill="1" applyBorder="1" applyAlignment="1">
      <alignment vertical="top" wrapText="1"/>
    </xf>
    <xf numFmtId="3" fontId="1" fillId="0" borderId="75" xfId="0" applyNumberFormat="1" applyFont="1" applyFill="1" applyBorder="1" applyAlignment="1">
      <alignment horizontal="center" vertical="top" wrapText="1"/>
    </xf>
    <xf numFmtId="3" fontId="2" fillId="6" borderId="13" xfId="0" applyNumberFormat="1" applyFont="1" applyFill="1" applyBorder="1" applyAlignment="1">
      <alignment vertical="top" wrapText="1"/>
    </xf>
    <xf numFmtId="0" fontId="18" fillId="6" borderId="56" xfId="0" applyFont="1" applyFill="1" applyBorder="1" applyAlignment="1">
      <alignment vertical="top" wrapText="1"/>
    </xf>
    <xf numFmtId="3" fontId="1" fillId="6" borderId="56" xfId="0" applyNumberFormat="1" applyFont="1" applyFill="1" applyBorder="1" applyAlignment="1">
      <alignment vertical="top" textRotation="90" wrapText="1"/>
    </xf>
    <xf numFmtId="1" fontId="1" fillId="6" borderId="20" xfId="0" applyNumberFormat="1" applyFont="1" applyFill="1" applyBorder="1" applyAlignment="1">
      <alignment horizontal="center" vertical="top" wrapText="1"/>
    </xf>
    <xf numFmtId="3" fontId="1" fillId="0" borderId="16" xfId="0" applyNumberFormat="1" applyFont="1" applyBorder="1" applyAlignment="1">
      <alignment horizontal="center" vertical="top"/>
    </xf>
    <xf numFmtId="3" fontId="1" fillId="6" borderId="11" xfId="0" applyNumberFormat="1" applyFont="1" applyFill="1" applyBorder="1" applyAlignment="1">
      <alignment horizontal="center" vertical="top"/>
    </xf>
    <xf numFmtId="164" fontId="1" fillId="6" borderId="2" xfId="0" applyNumberFormat="1" applyFont="1" applyFill="1" applyBorder="1" applyAlignment="1">
      <alignment horizontal="center" vertical="top"/>
    </xf>
    <xf numFmtId="164" fontId="1" fillId="6" borderId="3"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3" fontId="1" fillId="6" borderId="7" xfId="0" applyNumberFormat="1" applyFont="1" applyFill="1" applyBorder="1" applyAlignment="1">
      <alignment vertical="top" wrapText="1"/>
    </xf>
    <xf numFmtId="164" fontId="1" fillId="6" borderId="54"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 fillId="6" borderId="106" xfId="0" applyNumberFormat="1" applyFont="1" applyFill="1" applyBorder="1" applyAlignment="1">
      <alignment horizontal="center" vertical="top"/>
    </xf>
    <xf numFmtId="3" fontId="2" fillId="8" borderId="55" xfId="0" applyNumberFormat="1" applyFont="1" applyFill="1" applyBorder="1" applyAlignment="1">
      <alignment horizontal="center" vertical="top"/>
    </xf>
    <xf numFmtId="3" fontId="1" fillId="6" borderId="13" xfId="0" applyNumberFormat="1" applyFont="1" applyFill="1" applyBorder="1" applyAlignment="1">
      <alignment horizontal="center" vertical="center" wrapText="1"/>
    </xf>
    <xf numFmtId="3" fontId="1" fillId="6" borderId="17" xfId="0" applyNumberFormat="1" applyFont="1" applyFill="1" applyBorder="1" applyAlignment="1">
      <alignment horizontal="center" vertical="top" wrapText="1"/>
    </xf>
    <xf numFmtId="3" fontId="1" fillId="6" borderId="4"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top"/>
    </xf>
    <xf numFmtId="3" fontId="1" fillId="6" borderId="7" xfId="0" applyNumberFormat="1" applyFont="1" applyFill="1" applyBorder="1" applyAlignment="1">
      <alignment horizontal="center" vertical="top"/>
    </xf>
    <xf numFmtId="164" fontId="2" fillId="6" borderId="55" xfId="0" applyNumberFormat="1" applyFont="1" applyFill="1" applyBorder="1" applyAlignment="1">
      <alignment horizontal="center" vertical="top"/>
    </xf>
    <xf numFmtId="3" fontId="2" fillId="0" borderId="4" xfId="0" applyNumberFormat="1" applyFont="1" applyFill="1" applyBorder="1" applyAlignment="1">
      <alignment horizontal="center" vertical="top" wrapText="1"/>
    </xf>
    <xf numFmtId="0" fontId="11" fillId="6" borderId="54" xfId="0" applyFont="1" applyFill="1" applyBorder="1" applyAlignment="1">
      <alignment horizontal="center" vertical="top" wrapText="1"/>
    </xf>
    <xf numFmtId="3" fontId="2" fillId="0" borderId="7" xfId="0" applyNumberFormat="1" applyFont="1" applyFill="1" applyBorder="1" applyAlignment="1">
      <alignment horizontal="center" vertical="top"/>
    </xf>
    <xf numFmtId="164" fontId="2" fillId="6" borderId="35" xfId="0" applyNumberFormat="1" applyFont="1" applyFill="1" applyBorder="1" applyAlignment="1">
      <alignment horizontal="center" vertical="top"/>
    </xf>
    <xf numFmtId="3" fontId="1" fillId="0" borderId="3" xfId="0" applyNumberFormat="1" applyFont="1" applyFill="1" applyBorder="1" applyAlignment="1">
      <alignment horizontal="left" vertical="top" wrapText="1"/>
    </xf>
    <xf numFmtId="3" fontId="1" fillId="0" borderId="6" xfId="0" applyNumberFormat="1" applyFont="1" applyFill="1" applyBorder="1" applyAlignment="1">
      <alignment horizontal="left" vertical="top" wrapText="1"/>
    </xf>
    <xf numFmtId="3" fontId="2" fillId="6" borderId="56" xfId="0" applyNumberFormat="1" applyFont="1" applyFill="1" applyBorder="1" applyAlignment="1">
      <alignment horizontal="left" vertical="top" wrapText="1"/>
    </xf>
    <xf numFmtId="164" fontId="2" fillId="6" borderId="58" xfId="0" applyNumberFormat="1" applyFont="1" applyFill="1" applyBorder="1" applyAlignment="1">
      <alignment horizontal="center" vertical="top"/>
    </xf>
    <xf numFmtId="164" fontId="2" fillId="6" borderId="2" xfId="0" applyNumberFormat="1" applyFont="1" applyFill="1" applyBorder="1" applyAlignment="1">
      <alignment horizontal="center" vertical="top"/>
    </xf>
    <xf numFmtId="49" fontId="2" fillId="5" borderId="3" xfId="0" applyNumberFormat="1" applyFont="1" applyFill="1" applyBorder="1" applyAlignment="1">
      <alignment horizontal="center" vertical="top" wrapText="1"/>
    </xf>
    <xf numFmtId="49" fontId="2" fillId="8" borderId="106" xfId="0" applyNumberFormat="1" applyFont="1" applyFill="1" applyBorder="1" applyAlignment="1">
      <alignment horizontal="center" vertical="top" wrapText="1"/>
    </xf>
    <xf numFmtId="49" fontId="2" fillId="8" borderId="38" xfId="0" applyNumberFormat="1" applyFont="1" applyFill="1" applyBorder="1" applyAlignment="1">
      <alignment horizontal="center" vertical="top"/>
    </xf>
    <xf numFmtId="49" fontId="1" fillId="7" borderId="112" xfId="0" applyNumberFormat="1" applyFont="1" applyFill="1" applyBorder="1" applyAlignment="1">
      <alignment horizontal="center" vertical="top" wrapText="1"/>
    </xf>
    <xf numFmtId="49" fontId="1" fillId="7" borderId="83" xfId="0" applyNumberFormat="1" applyFont="1" applyFill="1" applyBorder="1" applyAlignment="1">
      <alignment horizontal="center" vertical="top" wrapText="1"/>
    </xf>
    <xf numFmtId="49" fontId="1" fillId="7" borderId="74" xfId="0" applyNumberFormat="1" applyFont="1" applyFill="1" applyBorder="1" applyAlignment="1">
      <alignment horizontal="center" vertical="top" wrapText="1"/>
    </xf>
    <xf numFmtId="164" fontId="2" fillId="6" borderId="6" xfId="0" applyNumberFormat="1" applyFont="1" applyFill="1" applyBorder="1" applyAlignment="1">
      <alignment horizontal="center" vertical="top"/>
    </xf>
    <xf numFmtId="3" fontId="1" fillId="0" borderId="106" xfId="0" applyNumberFormat="1" applyFont="1" applyFill="1" applyBorder="1" applyAlignment="1">
      <alignment horizontal="left" vertical="top" wrapText="1"/>
    </xf>
    <xf numFmtId="49" fontId="1" fillId="7" borderId="108" xfId="0" applyNumberFormat="1" applyFont="1" applyFill="1" applyBorder="1" applyAlignment="1">
      <alignment horizontal="center" vertical="top" wrapText="1"/>
    </xf>
    <xf numFmtId="49" fontId="2" fillId="5" borderId="12" xfId="0" applyNumberFormat="1" applyFont="1" applyFill="1" applyBorder="1" applyAlignment="1">
      <alignment horizontal="center" vertical="top" wrapText="1"/>
    </xf>
    <xf numFmtId="49" fontId="2" fillId="8" borderId="55" xfId="0" applyNumberFormat="1" applyFont="1" applyFill="1" applyBorder="1" applyAlignment="1">
      <alignment horizontal="center" vertical="top" wrapText="1"/>
    </xf>
    <xf numFmtId="164" fontId="2" fillId="6" borderId="50" xfId="0" applyNumberFormat="1" applyFont="1" applyFill="1" applyBorder="1" applyAlignment="1">
      <alignment horizontal="center" vertical="top"/>
    </xf>
    <xf numFmtId="164" fontId="2" fillId="6" borderId="7"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49" fontId="1" fillId="7" borderId="38" xfId="0" applyNumberFormat="1" applyFont="1" applyFill="1" applyBorder="1" applyAlignment="1">
      <alignment horizontal="center" vertical="top" wrapText="1"/>
    </xf>
    <xf numFmtId="49" fontId="1" fillId="7" borderId="20"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0" fontId="1" fillId="6" borderId="16" xfId="1" applyFont="1" applyFill="1" applyBorder="1" applyAlignment="1">
      <alignment vertical="top" wrapText="1"/>
    </xf>
    <xf numFmtId="3" fontId="2" fillId="6" borderId="38"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xf>
    <xf numFmtId="3" fontId="2" fillId="6" borderId="13" xfId="0" applyNumberFormat="1" applyFont="1" applyFill="1" applyBorder="1" applyAlignment="1">
      <alignment horizontal="center" vertical="top" wrapText="1"/>
    </xf>
    <xf numFmtId="3" fontId="4" fillId="6" borderId="42" xfId="0" applyNumberFormat="1" applyFont="1" applyFill="1" applyBorder="1" applyAlignment="1">
      <alignment vertical="top" wrapText="1"/>
    </xf>
    <xf numFmtId="0" fontId="11" fillId="0" borderId="58" xfId="0" applyFont="1" applyBorder="1" applyAlignment="1">
      <alignment horizontal="center"/>
    </xf>
    <xf numFmtId="0" fontId="11" fillId="0" borderId="58" xfId="0" applyFont="1" applyBorder="1"/>
    <xf numFmtId="164" fontId="11" fillId="0" borderId="58" xfId="0" applyNumberFormat="1" applyFont="1" applyBorder="1"/>
    <xf numFmtId="0" fontId="2" fillId="6" borderId="40" xfId="0" applyFont="1" applyFill="1" applyBorder="1" applyAlignment="1">
      <alignment horizontal="center" vertical="top" wrapText="1"/>
    </xf>
    <xf numFmtId="3" fontId="1" fillId="6" borderId="83" xfId="0" applyNumberFormat="1" applyFont="1" applyFill="1" applyBorder="1" applyAlignment="1">
      <alignment vertical="top" wrapText="1"/>
    </xf>
    <xf numFmtId="49" fontId="1" fillId="7" borderId="97" xfId="0" applyNumberFormat="1" applyFont="1" applyFill="1" applyBorder="1" applyAlignment="1">
      <alignment horizontal="center" vertical="top"/>
    </xf>
    <xf numFmtId="49" fontId="1" fillId="7" borderId="114" xfId="0" applyNumberFormat="1" applyFont="1" applyFill="1" applyBorder="1" applyAlignment="1">
      <alignment horizontal="center" vertical="top"/>
    </xf>
    <xf numFmtId="3" fontId="2" fillId="6" borderId="42" xfId="0" applyNumberFormat="1" applyFont="1" applyFill="1" applyBorder="1" applyAlignment="1">
      <alignment horizontal="center" vertical="top" wrapText="1"/>
    </xf>
    <xf numFmtId="0" fontId="2" fillId="6" borderId="38" xfId="0" applyFont="1" applyFill="1" applyBorder="1" applyAlignment="1">
      <alignment horizontal="center" vertical="top" wrapText="1"/>
    </xf>
    <xf numFmtId="3" fontId="17" fillId="6" borderId="56" xfId="0" applyNumberFormat="1" applyFont="1" applyFill="1" applyBorder="1" applyAlignment="1">
      <alignment horizontal="center" vertical="top" wrapText="1"/>
    </xf>
    <xf numFmtId="0" fontId="2" fillId="6" borderId="12" xfId="0" applyFont="1" applyFill="1" applyBorder="1" applyAlignment="1">
      <alignment horizontal="center" vertical="top" wrapText="1"/>
    </xf>
    <xf numFmtId="164" fontId="1" fillId="6" borderId="11" xfId="1" applyNumberFormat="1" applyFont="1" applyFill="1" applyBorder="1" applyAlignment="1">
      <alignment horizontal="center" vertical="top"/>
    </xf>
    <xf numFmtId="164" fontId="1" fillId="6" borderId="12" xfId="1" applyNumberFormat="1" applyFont="1" applyFill="1" applyBorder="1" applyAlignment="1">
      <alignment horizontal="center" vertical="top"/>
    </xf>
    <xf numFmtId="164" fontId="1" fillId="6" borderId="55" xfId="1" applyNumberFormat="1" applyFont="1" applyFill="1" applyBorder="1" applyAlignment="1">
      <alignment horizontal="center" vertical="top"/>
    </xf>
    <xf numFmtId="164" fontId="1" fillId="6" borderId="0" xfId="1" applyNumberFormat="1" applyFont="1" applyFill="1" applyBorder="1" applyAlignment="1">
      <alignment horizontal="center" vertical="top"/>
    </xf>
    <xf numFmtId="0" fontId="20" fillId="6" borderId="55" xfId="0" applyFont="1" applyFill="1" applyBorder="1" applyAlignment="1">
      <alignment horizontal="center" vertical="top" wrapText="1"/>
    </xf>
    <xf numFmtId="0" fontId="11" fillId="6" borderId="13" xfId="0" applyFont="1" applyFill="1" applyBorder="1" applyAlignment="1">
      <alignment vertical="center" textRotation="90" wrapText="1"/>
    </xf>
    <xf numFmtId="164" fontId="1" fillId="6" borderId="11" xfId="0" applyNumberFormat="1" applyFont="1" applyFill="1" applyBorder="1" applyAlignment="1">
      <alignment horizontal="center" vertical="top"/>
    </xf>
    <xf numFmtId="164" fontId="1" fillId="6" borderId="11" xfId="0" applyNumberFormat="1" applyFont="1" applyFill="1" applyBorder="1" applyAlignment="1">
      <alignment vertical="top"/>
    </xf>
    <xf numFmtId="3" fontId="1" fillId="6" borderId="16" xfId="0" applyNumberFormat="1" applyFont="1" applyFill="1" applyBorder="1" applyAlignment="1">
      <alignment vertical="top"/>
    </xf>
    <xf numFmtId="3" fontId="1" fillId="6" borderId="12" xfId="0" applyNumberFormat="1" applyFont="1" applyFill="1" applyBorder="1" applyAlignment="1">
      <alignment vertical="top" wrapText="1"/>
    </xf>
    <xf numFmtId="3" fontId="1" fillId="6" borderId="36" xfId="0" applyNumberFormat="1" applyFont="1" applyFill="1" applyBorder="1" applyAlignment="1">
      <alignment vertical="top" wrapText="1"/>
    </xf>
    <xf numFmtId="0" fontId="2" fillId="6" borderId="38" xfId="0"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3" fontId="1" fillId="0" borderId="74"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3" fontId="1" fillId="6" borderId="37" xfId="0" applyNumberFormat="1" applyFont="1" applyFill="1" applyBorder="1" applyAlignment="1">
      <alignment vertical="top" wrapText="1"/>
    </xf>
    <xf numFmtId="3" fontId="1" fillId="6" borderId="50" xfId="0" applyNumberFormat="1" applyFont="1" applyFill="1" applyBorder="1" applyAlignment="1">
      <alignment vertical="top"/>
    </xf>
    <xf numFmtId="0" fontId="1" fillId="6" borderId="113" xfId="0" applyFont="1" applyFill="1" applyBorder="1" applyAlignment="1">
      <alignment horizontal="center" vertical="top"/>
    </xf>
    <xf numFmtId="0" fontId="1" fillId="6" borderId="82" xfId="0" applyFont="1" applyFill="1" applyBorder="1" applyAlignment="1">
      <alignment horizontal="center" vertical="top"/>
    </xf>
    <xf numFmtId="0" fontId="1" fillId="6" borderId="105" xfId="0" applyFont="1" applyFill="1" applyBorder="1" applyAlignment="1">
      <alignment horizontal="center" vertical="top"/>
    </xf>
    <xf numFmtId="0" fontId="1" fillId="6" borderId="75" xfId="0" applyFont="1" applyFill="1" applyBorder="1" applyAlignment="1">
      <alignment horizontal="center" vertical="top"/>
    </xf>
    <xf numFmtId="3" fontId="1" fillId="6" borderId="12" xfId="0" applyNumberFormat="1" applyFont="1" applyFill="1" applyBorder="1" applyAlignment="1">
      <alignment vertical="top" textRotation="90" wrapText="1"/>
    </xf>
    <xf numFmtId="3" fontId="1" fillId="6" borderId="36" xfId="0" applyNumberFormat="1" applyFont="1" applyFill="1" applyBorder="1" applyAlignment="1">
      <alignment vertical="top" textRotation="90" wrapText="1"/>
    </xf>
    <xf numFmtId="164" fontId="1" fillId="6" borderId="84" xfId="0" applyNumberFormat="1" applyFont="1" applyFill="1" applyBorder="1" applyAlignment="1">
      <alignment horizontal="left" vertical="top" wrapText="1"/>
    </xf>
    <xf numFmtId="1" fontId="1" fillId="6" borderId="86"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1" fontId="1" fillId="6" borderId="95" xfId="0" applyNumberFormat="1" applyFont="1" applyFill="1" applyBorder="1" applyAlignment="1">
      <alignment horizontal="center" vertical="top" wrapText="1"/>
    </xf>
    <xf numFmtId="1" fontId="1" fillId="6" borderId="109" xfId="0" applyNumberFormat="1" applyFont="1" applyFill="1" applyBorder="1" applyAlignment="1">
      <alignment horizontal="center" vertical="top" wrapText="1"/>
    </xf>
    <xf numFmtId="3" fontId="1" fillId="0" borderId="42" xfId="0" applyNumberFormat="1" applyFont="1" applyBorder="1" applyAlignment="1">
      <alignment vertical="top"/>
    </xf>
    <xf numFmtId="3" fontId="1" fillId="0" borderId="11" xfId="0" applyNumberFormat="1" applyFont="1" applyBorder="1" applyAlignment="1">
      <alignment vertical="top"/>
    </xf>
    <xf numFmtId="164" fontId="2" fillId="6" borderId="12"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3" fontId="1" fillId="0" borderId="1" xfId="0" applyNumberFormat="1" applyFont="1" applyBorder="1" applyAlignment="1">
      <alignment horizontal="right" vertical="top" wrapText="1"/>
    </xf>
    <xf numFmtId="3" fontId="2" fillId="4" borderId="21" xfId="0" applyNumberFormat="1" applyFont="1" applyFill="1" applyBorder="1" applyAlignment="1">
      <alignment horizontal="left" vertical="top"/>
    </xf>
    <xf numFmtId="49" fontId="2" fillId="4" borderId="11"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1" fillId="6" borderId="36" xfId="0" applyNumberFormat="1" applyFont="1" applyFill="1" applyBorder="1" applyAlignment="1">
      <alignment vertical="top" wrapText="1"/>
    </xf>
    <xf numFmtId="3" fontId="1" fillId="6" borderId="13" xfId="0" applyNumberFormat="1" applyFont="1" applyFill="1" applyBorder="1" applyAlignment="1">
      <alignment horizontal="left" vertical="top" wrapText="1"/>
    </xf>
    <xf numFmtId="3" fontId="1" fillId="6" borderId="38" xfId="0" applyNumberFormat="1" applyFont="1" applyFill="1" applyBorder="1" applyAlignment="1">
      <alignment vertical="top" wrapText="1"/>
    </xf>
    <xf numFmtId="3" fontId="1" fillId="6" borderId="36" xfId="0" applyNumberFormat="1" applyFont="1" applyFill="1" applyBorder="1" applyAlignment="1">
      <alignment horizontal="left" vertical="top" wrapText="1"/>
    </xf>
    <xf numFmtId="3" fontId="2" fillId="5" borderId="61" xfId="0" applyNumberFormat="1" applyFont="1" applyFill="1" applyBorder="1" applyAlignment="1">
      <alignment horizontal="left"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0" fontId="10" fillId="6" borderId="12" xfId="0" applyFont="1" applyFill="1" applyBorder="1" applyAlignment="1">
      <alignment vertical="top" wrapText="1"/>
    </xf>
    <xf numFmtId="3" fontId="1" fillId="5" borderId="64" xfId="0" applyNumberFormat="1" applyFont="1" applyFill="1" applyBorder="1" applyAlignment="1">
      <alignment horizontal="center" vertical="top" wrapText="1"/>
    </xf>
    <xf numFmtId="3" fontId="1" fillId="5" borderId="61"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1" fillId="6" borderId="56" xfId="0" applyNumberFormat="1" applyFont="1" applyFill="1" applyBorder="1" applyAlignment="1">
      <alignment horizontal="center" vertical="center" textRotation="90" wrapText="1"/>
    </xf>
    <xf numFmtId="3" fontId="2" fillId="6" borderId="3" xfId="0" applyNumberFormat="1" applyFont="1" applyFill="1" applyBorder="1" applyAlignment="1">
      <alignment horizontal="left" vertical="top" wrapText="1"/>
    </xf>
    <xf numFmtId="0" fontId="2" fillId="6" borderId="38" xfId="0" applyFont="1" applyFill="1" applyBorder="1" applyAlignment="1">
      <alignment horizontal="center" vertical="top" wrapText="1"/>
    </xf>
    <xf numFmtId="3" fontId="2" fillId="5" borderId="1" xfId="0" applyNumberFormat="1" applyFont="1" applyFill="1" applyBorder="1" applyAlignment="1">
      <alignment horizontal="left" vertical="top" wrapText="1"/>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0" borderId="42"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center" wrapText="1"/>
    </xf>
    <xf numFmtId="0" fontId="1" fillId="6" borderId="13" xfId="0" applyFont="1" applyFill="1" applyBorder="1" applyAlignment="1">
      <alignment horizontal="left" vertical="top" wrapText="1"/>
    </xf>
    <xf numFmtId="0" fontId="1" fillId="6" borderId="42" xfId="0" applyFont="1" applyFill="1" applyBorder="1" applyAlignment="1">
      <alignment horizontal="center" vertical="top" wrapText="1"/>
    </xf>
    <xf numFmtId="0" fontId="1" fillId="6" borderId="37" xfId="0" applyFont="1" applyFill="1" applyBorder="1" applyAlignment="1">
      <alignment horizontal="center" vertical="top" wrapText="1"/>
    </xf>
    <xf numFmtId="49" fontId="1" fillId="6" borderId="20" xfId="0" applyNumberFormat="1" applyFont="1" applyFill="1" applyBorder="1" applyAlignment="1">
      <alignment horizontal="center" vertical="top" wrapText="1"/>
    </xf>
    <xf numFmtId="3" fontId="4" fillId="6" borderId="13" xfId="0" applyNumberFormat="1" applyFont="1" applyFill="1" applyBorder="1" applyAlignment="1">
      <alignment horizontal="center" vertical="top" wrapText="1"/>
    </xf>
    <xf numFmtId="0" fontId="1" fillId="0" borderId="38" xfId="0" applyFont="1" applyBorder="1" applyAlignment="1">
      <alignment horizontal="center" vertical="center" textRotation="90"/>
    </xf>
    <xf numFmtId="0" fontId="2" fillId="0" borderId="8" xfId="0" applyFont="1" applyBorder="1" applyAlignment="1">
      <alignment horizontal="center" vertical="center" wrapText="1"/>
    </xf>
    <xf numFmtId="0" fontId="2" fillId="0" borderId="63" xfId="0" applyFont="1" applyBorder="1" applyAlignment="1">
      <alignment horizontal="center" vertical="center" wrapText="1"/>
    </xf>
    <xf numFmtId="164" fontId="2" fillId="8" borderId="52" xfId="0" applyNumberFormat="1" applyFont="1" applyFill="1" applyBorder="1" applyAlignment="1">
      <alignment horizontal="center" vertical="top"/>
    </xf>
    <xf numFmtId="164" fontId="1" fillId="6" borderId="6" xfId="0" applyNumberFormat="1" applyFont="1" applyFill="1" applyBorder="1" applyAlignment="1">
      <alignment horizontal="center" vertical="top"/>
    </xf>
    <xf numFmtId="164" fontId="2" fillId="6" borderId="57" xfId="0" applyNumberFormat="1" applyFont="1" applyFill="1" applyBorder="1" applyAlignment="1">
      <alignment horizontal="center" vertical="top"/>
    </xf>
    <xf numFmtId="49" fontId="1" fillId="7" borderId="55" xfId="0" applyNumberFormat="1" applyFont="1" applyFill="1" applyBorder="1" applyAlignment="1">
      <alignment horizontal="center" vertical="top"/>
    </xf>
    <xf numFmtId="0" fontId="1" fillId="6" borderId="96" xfId="0" applyFont="1" applyFill="1" applyBorder="1" applyAlignment="1">
      <alignment horizontal="center" vertical="top" wrapText="1"/>
    </xf>
    <xf numFmtId="0" fontId="1" fillId="6" borderId="51" xfId="0" applyFont="1" applyFill="1" applyBorder="1" applyAlignment="1">
      <alignment horizontal="center" vertical="top" wrapText="1"/>
    </xf>
    <xf numFmtId="49" fontId="1" fillId="7" borderId="68" xfId="0" applyNumberFormat="1" applyFont="1" applyFill="1" applyBorder="1" applyAlignment="1">
      <alignment horizontal="center" vertical="top" wrapText="1"/>
    </xf>
    <xf numFmtId="3" fontId="1" fillId="6" borderId="58" xfId="0" applyNumberFormat="1" applyFont="1" applyFill="1" applyBorder="1" applyAlignment="1">
      <alignment horizontal="center" vertical="top" wrapText="1"/>
    </xf>
    <xf numFmtId="0" fontId="1" fillId="6" borderId="0" xfId="0" applyFont="1" applyFill="1" applyBorder="1" applyAlignment="1">
      <alignment horizontal="center" vertical="top" wrapText="1"/>
    </xf>
    <xf numFmtId="3" fontId="1" fillId="0" borderId="0" xfId="0" applyNumberFormat="1" applyFont="1" applyBorder="1" applyAlignment="1">
      <alignment horizontal="right" vertical="top" wrapText="1"/>
    </xf>
    <xf numFmtId="3" fontId="1" fillId="5" borderId="0" xfId="0" applyNumberFormat="1" applyFont="1" applyFill="1" applyBorder="1" applyAlignment="1">
      <alignment horizontal="center" vertical="top" wrapText="1"/>
    </xf>
    <xf numFmtId="0" fontId="2" fillId="0" borderId="20" xfId="0" applyFont="1" applyBorder="1" applyAlignment="1">
      <alignment horizontal="center" vertical="center" textRotation="90"/>
    </xf>
    <xf numFmtId="0" fontId="2" fillId="0" borderId="30" xfId="0" applyFont="1" applyBorder="1" applyAlignment="1">
      <alignment horizontal="center" vertical="center" textRotation="90"/>
    </xf>
    <xf numFmtId="3" fontId="1" fillId="6" borderId="20"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49" fontId="1" fillId="6" borderId="102" xfId="0" applyNumberFormat="1" applyFont="1" applyFill="1" applyBorder="1" applyAlignment="1">
      <alignment horizontal="center" vertical="top"/>
    </xf>
    <xf numFmtId="3" fontId="1" fillId="0" borderId="107" xfId="0" applyNumberFormat="1" applyFont="1" applyFill="1" applyBorder="1" applyAlignment="1">
      <alignment horizontal="center" vertical="top" wrapText="1"/>
    </xf>
    <xf numFmtId="3" fontId="1" fillId="6" borderId="81" xfId="0" applyNumberFormat="1" applyFont="1" applyFill="1" applyBorder="1" applyAlignment="1">
      <alignment horizontal="center" vertical="top"/>
    </xf>
    <xf numFmtId="3" fontId="1" fillId="0" borderId="102"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xf>
    <xf numFmtId="49" fontId="1" fillId="6" borderId="115" xfId="0" applyNumberFormat="1" applyFont="1" applyFill="1" applyBorder="1" applyAlignment="1">
      <alignment horizontal="center" vertical="top" wrapText="1"/>
    </xf>
    <xf numFmtId="3" fontId="1" fillId="6" borderId="115" xfId="0" applyNumberFormat="1" applyFont="1" applyFill="1" applyBorder="1" applyAlignment="1">
      <alignment horizontal="center" vertical="top"/>
    </xf>
    <xf numFmtId="49" fontId="1" fillId="6" borderId="75" xfId="0" applyNumberFormat="1" applyFont="1" applyFill="1" applyBorder="1" applyAlignment="1">
      <alignment horizontal="center" vertical="top"/>
    </xf>
    <xf numFmtId="49" fontId="1" fillId="6" borderId="37" xfId="0" applyNumberFormat="1" applyFont="1" applyFill="1" applyBorder="1" applyAlignment="1">
      <alignment horizontal="center" vertical="top"/>
    </xf>
    <xf numFmtId="3" fontId="1" fillId="7" borderId="42"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xf>
    <xf numFmtId="3" fontId="1" fillId="6" borderId="76" xfId="0" applyNumberFormat="1" applyFont="1" applyFill="1" applyBorder="1" applyAlignment="1">
      <alignment vertical="top" wrapText="1"/>
    </xf>
    <xf numFmtId="3" fontId="1" fillId="6" borderId="86" xfId="0" applyNumberFormat="1" applyFont="1" applyFill="1" applyBorder="1" applyAlignment="1">
      <alignment horizontal="center" vertical="top"/>
    </xf>
    <xf numFmtId="3" fontId="1" fillId="0" borderId="93" xfId="0" applyNumberFormat="1" applyFont="1" applyFill="1" applyBorder="1" applyAlignment="1">
      <alignment horizontal="center" vertical="top" wrapText="1"/>
    </xf>
    <xf numFmtId="3" fontId="1" fillId="6" borderId="113" xfId="0" applyNumberFormat="1" applyFont="1" applyFill="1" applyBorder="1" applyAlignment="1">
      <alignment horizontal="center" vertical="top"/>
    </xf>
    <xf numFmtId="3" fontId="1" fillId="6" borderId="104" xfId="0" applyNumberFormat="1" applyFont="1" applyFill="1" applyBorder="1" applyAlignment="1">
      <alignment horizontal="center" vertical="top" wrapText="1"/>
    </xf>
    <xf numFmtId="3" fontId="1" fillId="6" borderId="107" xfId="0" applyNumberFormat="1" applyFont="1" applyFill="1" applyBorder="1" applyAlignment="1">
      <alignment horizontal="center" vertical="top" wrapText="1"/>
    </xf>
    <xf numFmtId="164" fontId="2" fillId="5" borderId="62" xfId="0" applyNumberFormat="1" applyFont="1" applyFill="1" applyBorder="1" applyAlignment="1">
      <alignment horizontal="center" vertical="center"/>
    </xf>
    <xf numFmtId="3" fontId="1" fillId="6" borderId="96" xfId="0" applyNumberFormat="1" applyFont="1" applyFill="1" applyBorder="1" applyAlignment="1">
      <alignment horizontal="center" vertical="top"/>
    </xf>
    <xf numFmtId="3" fontId="1" fillId="6" borderId="95" xfId="0" applyNumberFormat="1" applyFont="1" applyFill="1" applyBorder="1" applyAlignment="1">
      <alignment horizontal="center" vertical="top"/>
    </xf>
    <xf numFmtId="49" fontId="1" fillId="6" borderId="102" xfId="0" applyNumberFormat="1" applyFont="1" applyFill="1" applyBorder="1" applyAlignment="1">
      <alignment horizontal="center" vertical="top" wrapText="1"/>
    </xf>
    <xf numFmtId="49" fontId="1" fillId="6" borderId="22" xfId="0" applyNumberFormat="1" applyFont="1" applyFill="1" applyBorder="1" applyAlignment="1">
      <alignment horizontal="center" vertical="top" wrapText="1"/>
    </xf>
    <xf numFmtId="3" fontId="1" fillId="6" borderId="95" xfId="0" applyNumberFormat="1" applyFont="1" applyFill="1" applyBorder="1" applyAlignment="1">
      <alignment horizontal="center" vertical="top" wrapText="1"/>
    </xf>
    <xf numFmtId="3" fontId="1" fillId="6" borderId="109" xfId="0" applyNumberFormat="1" applyFont="1" applyFill="1" applyBorder="1" applyAlignment="1">
      <alignment horizontal="center" vertical="top" wrapText="1"/>
    </xf>
    <xf numFmtId="0" fontId="1" fillId="6" borderId="110" xfId="0" applyFont="1" applyFill="1" applyBorder="1" applyAlignment="1">
      <alignment horizontal="center" vertical="top" wrapText="1"/>
    </xf>
    <xf numFmtId="1" fontId="1" fillId="6" borderId="107" xfId="0" applyNumberFormat="1" applyFont="1" applyFill="1" applyBorder="1" applyAlignment="1">
      <alignment horizontal="center" vertical="top" wrapText="1"/>
    </xf>
    <xf numFmtId="1" fontId="1" fillId="6" borderId="80" xfId="0" applyNumberFormat="1" applyFont="1" applyFill="1" applyBorder="1" applyAlignment="1">
      <alignment horizontal="center" vertical="top" wrapText="1"/>
    </xf>
    <xf numFmtId="1" fontId="1" fillId="6" borderId="57" xfId="0" applyNumberFormat="1" applyFont="1" applyFill="1" applyBorder="1" applyAlignment="1">
      <alignment horizontal="center" vertical="top" wrapText="1"/>
    </xf>
    <xf numFmtId="3" fontId="1" fillId="6" borderId="81" xfId="0" applyNumberFormat="1" applyFont="1" applyFill="1" applyBorder="1" applyAlignment="1">
      <alignment horizontal="center" vertical="top" wrapText="1"/>
    </xf>
    <xf numFmtId="3" fontId="1" fillId="6" borderId="96" xfId="0" applyNumberFormat="1" applyFont="1" applyFill="1" applyBorder="1" applyAlignment="1">
      <alignment horizontal="center" vertical="top" wrapText="1"/>
    </xf>
    <xf numFmtId="0" fontId="1" fillId="6" borderId="75" xfId="0" applyFont="1" applyFill="1" applyBorder="1" applyAlignment="1">
      <alignment horizontal="center" vertical="top" wrapText="1"/>
    </xf>
    <xf numFmtId="3" fontId="1" fillId="6" borderId="102" xfId="0" applyNumberFormat="1" applyFont="1" applyFill="1" applyBorder="1" applyAlignment="1">
      <alignment horizontal="center" vertical="top" wrapText="1"/>
    </xf>
    <xf numFmtId="164" fontId="2" fillId="6" borderId="11" xfId="0" applyNumberFormat="1" applyFont="1" applyFill="1" applyBorder="1" applyAlignment="1">
      <alignment horizontal="center" vertical="top"/>
    </xf>
    <xf numFmtId="164" fontId="2" fillId="6" borderId="15" xfId="0" applyNumberFormat="1" applyFont="1" applyFill="1" applyBorder="1" applyAlignment="1">
      <alignment horizontal="center" vertical="top"/>
    </xf>
    <xf numFmtId="49" fontId="1" fillId="7" borderId="73" xfId="0" applyNumberFormat="1" applyFont="1" applyFill="1" applyBorder="1" applyAlignment="1">
      <alignment horizontal="center" vertical="top" wrapText="1"/>
    </xf>
    <xf numFmtId="1" fontId="1" fillId="6" borderId="73" xfId="0" applyNumberFormat="1" applyFont="1" applyFill="1" applyBorder="1" applyAlignment="1">
      <alignment horizontal="center" vertical="top" wrapText="1"/>
    </xf>
    <xf numFmtId="3" fontId="2" fillId="3" borderId="21" xfId="0" applyNumberFormat="1" applyFont="1" applyFill="1" applyBorder="1" applyAlignment="1">
      <alignment horizontal="left" vertical="top" wrapText="1"/>
    </xf>
    <xf numFmtId="3" fontId="2" fillId="3" borderId="22" xfId="0" applyNumberFormat="1" applyFont="1" applyFill="1" applyBorder="1" applyAlignment="1">
      <alignment horizontal="left" vertical="top" wrapText="1"/>
    </xf>
    <xf numFmtId="3" fontId="2" fillId="4" borderId="22" xfId="0" applyNumberFormat="1" applyFont="1" applyFill="1" applyBorder="1" applyAlignment="1">
      <alignment horizontal="left" vertical="top"/>
    </xf>
    <xf numFmtId="3" fontId="1" fillId="5" borderId="6"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wrapText="1"/>
    </xf>
    <xf numFmtId="3" fontId="1" fillId="6" borderId="115" xfId="0" applyNumberFormat="1" applyFont="1" applyFill="1" applyBorder="1" applyAlignment="1">
      <alignment horizontal="center" vertical="top" wrapText="1"/>
    </xf>
    <xf numFmtId="49" fontId="1" fillId="6" borderId="37" xfId="0" applyNumberFormat="1" applyFont="1" applyFill="1" applyBorder="1" applyAlignment="1">
      <alignment horizontal="center" vertical="top" wrapText="1"/>
    </xf>
    <xf numFmtId="3" fontId="1" fillId="6" borderId="75"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49" fontId="1" fillId="6" borderId="42" xfId="0" applyNumberFormat="1" applyFont="1" applyFill="1" applyBorder="1" applyAlignment="1">
      <alignment horizontal="center" vertical="top" wrapText="1"/>
    </xf>
    <xf numFmtId="49" fontId="1" fillId="6" borderId="95" xfId="0" applyNumberFormat="1" applyFont="1" applyFill="1" applyBorder="1" applyAlignment="1">
      <alignment horizontal="center" vertical="top" wrapText="1"/>
    </xf>
    <xf numFmtId="49" fontId="1" fillId="6" borderId="74" xfId="0" applyNumberFormat="1" applyFont="1" applyFill="1" applyBorder="1" applyAlignment="1">
      <alignment horizontal="center" vertical="top" wrapText="1"/>
    </xf>
    <xf numFmtId="3" fontId="1" fillId="0" borderId="42" xfId="0" applyNumberFormat="1" applyFont="1" applyBorder="1" applyAlignment="1">
      <alignment horizontal="center" vertical="top"/>
    </xf>
    <xf numFmtId="0" fontId="1" fillId="10" borderId="20" xfId="0" applyFont="1" applyFill="1" applyBorder="1" applyAlignment="1">
      <alignment horizontal="center" vertical="top"/>
    </xf>
    <xf numFmtId="0" fontId="1" fillId="10" borderId="115" xfId="0" applyFont="1" applyFill="1" applyBorder="1" applyAlignment="1">
      <alignment horizontal="center" vertical="top"/>
    </xf>
    <xf numFmtId="3" fontId="1" fillId="6" borderId="114" xfId="0" applyNumberFormat="1" applyFont="1" applyFill="1" applyBorder="1" applyAlignment="1">
      <alignment horizontal="center" vertical="top" wrapText="1"/>
    </xf>
    <xf numFmtId="0" fontId="1" fillId="6" borderId="74" xfId="0" applyFont="1" applyFill="1" applyBorder="1" applyAlignment="1">
      <alignment horizontal="center" vertical="top" wrapText="1"/>
    </xf>
    <xf numFmtId="1" fontId="1" fillId="6" borderId="110" xfId="0" applyNumberFormat="1" applyFont="1" applyFill="1" applyBorder="1" applyAlignment="1">
      <alignment horizontal="center" vertical="top" wrapText="1"/>
    </xf>
    <xf numFmtId="1" fontId="1" fillId="6" borderId="104" xfId="0" applyNumberFormat="1" applyFont="1" applyFill="1" applyBorder="1" applyAlignment="1">
      <alignment horizontal="center" vertical="top" wrapText="1"/>
    </xf>
    <xf numFmtId="1" fontId="1" fillId="6" borderId="51" xfId="0" applyNumberFormat="1" applyFont="1" applyFill="1" applyBorder="1" applyAlignment="1">
      <alignment horizontal="center" vertical="top" wrapText="1"/>
    </xf>
    <xf numFmtId="0" fontId="1" fillId="6" borderId="114" xfId="0" applyFont="1" applyFill="1" applyBorder="1" applyAlignment="1">
      <alignment horizontal="center" vertical="top"/>
    </xf>
    <xf numFmtId="3" fontId="1" fillId="6" borderId="54"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0" fontId="1" fillId="6" borderId="20" xfId="0" applyFont="1" applyFill="1" applyBorder="1" applyAlignment="1">
      <alignment horizontal="center" vertical="top" wrapText="1"/>
    </xf>
    <xf numFmtId="0" fontId="1" fillId="6" borderId="71" xfId="0" applyFont="1" applyFill="1" applyBorder="1" applyAlignment="1">
      <alignment horizontal="center" vertical="top" wrapText="1"/>
    </xf>
    <xf numFmtId="49" fontId="1" fillId="7" borderId="42" xfId="0" applyNumberFormat="1" applyFont="1" applyFill="1" applyBorder="1" applyAlignment="1">
      <alignment horizontal="center" vertical="top" wrapText="1"/>
    </xf>
    <xf numFmtId="3" fontId="1" fillId="6" borderId="74" xfId="0" applyNumberFormat="1" applyFont="1" applyFill="1" applyBorder="1" applyAlignment="1">
      <alignment horizontal="center" vertical="top"/>
    </xf>
    <xf numFmtId="1" fontId="1" fillId="6" borderId="68" xfId="0" applyNumberFormat="1" applyFont="1" applyFill="1" applyBorder="1" applyAlignment="1">
      <alignment horizontal="center" vertical="top" wrapText="1"/>
    </xf>
    <xf numFmtId="3" fontId="2" fillId="5" borderId="62" xfId="0" applyNumberFormat="1" applyFont="1" applyFill="1" applyBorder="1" applyAlignment="1">
      <alignment horizontal="left" vertical="top" wrapText="1"/>
    </xf>
    <xf numFmtId="3" fontId="2" fillId="5" borderId="61" xfId="0" applyNumberFormat="1" applyFont="1" applyFill="1" applyBorder="1" applyAlignment="1">
      <alignment horizontal="left" vertical="top" wrapText="1"/>
    </xf>
    <xf numFmtId="164" fontId="2" fillId="8" borderId="29" xfId="0" applyNumberFormat="1" applyFont="1" applyFill="1" applyBorder="1" applyAlignment="1">
      <alignment horizontal="center" vertical="top"/>
    </xf>
    <xf numFmtId="164" fontId="2" fillId="5" borderId="87" xfId="0" applyNumberFormat="1" applyFont="1" applyFill="1" applyBorder="1" applyAlignment="1">
      <alignment horizontal="center" vertical="top"/>
    </xf>
    <xf numFmtId="164" fontId="2" fillId="5" borderId="29" xfId="0" applyNumberFormat="1" applyFont="1" applyFill="1" applyBorder="1" applyAlignment="1">
      <alignment horizontal="center" vertical="top"/>
    </xf>
    <xf numFmtId="164" fontId="2" fillId="4" borderId="89" xfId="0" applyNumberFormat="1" applyFont="1" applyFill="1" applyBorder="1" applyAlignment="1">
      <alignment horizontal="center" vertical="top"/>
    </xf>
    <xf numFmtId="164" fontId="2" fillId="3" borderId="89" xfId="0" applyNumberFormat="1" applyFont="1" applyFill="1" applyBorder="1" applyAlignment="1">
      <alignment horizontal="center" vertical="top"/>
    </xf>
    <xf numFmtId="3" fontId="2" fillId="5" borderId="72" xfId="0" applyNumberFormat="1" applyFont="1" applyFill="1" applyBorder="1" applyAlignment="1">
      <alignment horizontal="center" vertical="top"/>
    </xf>
    <xf numFmtId="0" fontId="1" fillId="0" borderId="8" xfId="0" applyFont="1" applyBorder="1" applyAlignment="1">
      <alignment horizontal="center" vertical="center" textRotation="90" wrapText="1"/>
    </xf>
    <xf numFmtId="0" fontId="1" fillId="0" borderId="60"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1" fillId="0" borderId="59" xfId="0" applyFont="1" applyBorder="1" applyAlignment="1">
      <alignment horizontal="center" vertical="center" textRotation="90" wrapText="1"/>
    </xf>
    <xf numFmtId="0" fontId="1" fillId="0" borderId="100" xfId="0" applyFont="1" applyBorder="1" applyAlignment="1">
      <alignment horizontal="center" vertical="center" textRotation="90" wrapText="1"/>
    </xf>
    <xf numFmtId="164" fontId="2" fillId="3" borderId="10" xfId="0" applyNumberFormat="1" applyFont="1" applyFill="1" applyBorder="1" applyAlignment="1">
      <alignment horizontal="center" vertical="top" wrapText="1"/>
    </xf>
    <xf numFmtId="164" fontId="2" fillId="8" borderId="22" xfId="0" applyNumberFormat="1" applyFont="1" applyFill="1" applyBorder="1" applyAlignment="1">
      <alignment horizontal="center" vertical="top" wrapText="1"/>
    </xf>
    <xf numFmtId="164" fontId="1" fillId="0" borderId="22" xfId="0" applyNumberFormat="1" applyFont="1" applyBorder="1" applyAlignment="1">
      <alignment horizontal="center" vertical="top" wrapText="1"/>
    </xf>
    <xf numFmtId="164" fontId="1" fillId="6" borderId="22" xfId="0" applyNumberFormat="1" applyFont="1" applyFill="1" applyBorder="1" applyAlignment="1">
      <alignment horizontal="center" vertical="top" wrapText="1"/>
    </xf>
    <xf numFmtId="164" fontId="1" fillId="8" borderId="22" xfId="0" applyNumberFormat="1" applyFont="1" applyFill="1" applyBorder="1" applyAlignment="1">
      <alignment horizontal="center" vertical="top" wrapText="1"/>
    </xf>
    <xf numFmtId="164" fontId="2" fillId="3" borderId="22" xfId="0" applyNumberFormat="1" applyFont="1" applyFill="1" applyBorder="1" applyAlignment="1">
      <alignment horizontal="center" vertical="top" wrapText="1"/>
    </xf>
    <xf numFmtId="164" fontId="2" fillId="8" borderId="53" xfId="0" applyNumberFormat="1" applyFont="1" applyFill="1" applyBorder="1" applyAlignment="1">
      <alignment horizontal="center" vertical="top" wrapText="1"/>
    </xf>
    <xf numFmtId="164" fontId="2" fillId="3" borderId="99" xfId="0" applyNumberFormat="1" applyFont="1" applyFill="1" applyBorder="1" applyAlignment="1">
      <alignment horizontal="center" vertical="top" wrapText="1"/>
    </xf>
    <xf numFmtId="164" fontId="2" fillId="8" borderId="32" xfId="0" applyNumberFormat="1" applyFont="1" applyFill="1" applyBorder="1" applyAlignment="1">
      <alignment horizontal="center" vertical="top" wrapText="1"/>
    </xf>
    <xf numFmtId="164" fontId="1" fillId="0" borderId="32" xfId="0" applyNumberFormat="1" applyFont="1" applyBorder="1" applyAlignment="1">
      <alignment horizontal="center" vertical="top" wrapText="1"/>
    </xf>
    <xf numFmtId="164" fontId="1" fillId="6" borderId="32" xfId="0" applyNumberFormat="1" applyFont="1" applyFill="1" applyBorder="1" applyAlignment="1">
      <alignment horizontal="center" vertical="top" wrapText="1"/>
    </xf>
    <xf numFmtId="164" fontId="1" fillId="8" borderId="32" xfId="0" applyNumberFormat="1" applyFont="1" applyFill="1" applyBorder="1" applyAlignment="1">
      <alignment horizontal="center" vertical="top" wrapText="1"/>
    </xf>
    <xf numFmtId="164" fontId="2" fillId="3" borderId="32" xfId="0" applyNumberFormat="1" applyFont="1" applyFill="1" applyBorder="1" applyAlignment="1">
      <alignment horizontal="center" vertical="top" wrapText="1"/>
    </xf>
    <xf numFmtId="164" fontId="2" fillId="8" borderId="90" xfId="0" applyNumberFormat="1" applyFont="1" applyFill="1" applyBorder="1" applyAlignment="1">
      <alignment horizontal="center" vertical="top" wrapText="1"/>
    </xf>
    <xf numFmtId="164" fontId="2" fillId="3" borderId="48" xfId="0" applyNumberFormat="1" applyFont="1" applyFill="1" applyBorder="1" applyAlignment="1">
      <alignment horizontal="center" vertical="top" wrapText="1"/>
    </xf>
    <xf numFmtId="164" fontId="2" fillId="8" borderId="33" xfId="0" applyNumberFormat="1" applyFont="1" applyFill="1" applyBorder="1" applyAlignment="1">
      <alignment horizontal="center" vertical="top" wrapText="1"/>
    </xf>
    <xf numFmtId="164" fontId="1" fillId="0" borderId="33" xfId="0" applyNumberFormat="1" applyFont="1" applyBorder="1" applyAlignment="1">
      <alignment horizontal="center" vertical="top" wrapText="1"/>
    </xf>
    <xf numFmtId="164" fontId="1" fillId="6" borderId="33" xfId="0" applyNumberFormat="1" applyFont="1" applyFill="1" applyBorder="1" applyAlignment="1">
      <alignment horizontal="center" vertical="top" wrapText="1"/>
    </xf>
    <xf numFmtId="164" fontId="1" fillId="8" borderId="33" xfId="0" applyNumberFormat="1" applyFont="1" applyFill="1" applyBorder="1" applyAlignment="1">
      <alignment horizontal="center" vertical="top" wrapText="1"/>
    </xf>
    <xf numFmtId="164" fontId="2" fillId="3" borderId="33" xfId="0" applyNumberFormat="1" applyFont="1" applyFill="1" applyBorder="1" applyAlignment="1">
      <alignment horizontal="center" vertical="top" wrapText="1"/>
    </xf>
    <xf numFmtId="164" fontId="2" fillId="8" borderId="72"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49" fontId="2" fillId="4" borderId="11"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0" fontId="11" fillId="6" borderId="12" xfId="0" applyFont="1" applyFill="1" applyBorder="1" applyAlignment="1">
      <alignment vertical="top"/>
    </xf>
    <xf numFmtId="0" fontId="1" fillId="6" borderId="42" xfId="0" applyFont="1" applyFill="1" applyBorder="1" applyAlignment="1">
      <alignment horizontal="center" vertical="top" wrapText="1"/>
    </xf>
    <xf numFmtId="0" fontId="1" fillId="6" borderId="37" xfId="0" applyFont="1" applyFill="1" applyBorder="1" applyAlignment="1">
      <alignment horizontal="center" vertical="top" wrapText="1"/>
    </xf>
    <xf numFmtId="0" fontId="1" fillId="10" borderId="76" xfId="0" applyFont="1" applyFill="1" applyBorder="1" applyAlignment="1">
      <alignment horizontal="center" vertical="top"/>
    </xf>
    <xf numFmtId="0" fontId="1" fillId="6" borderId="33" xfId="0" applyFont="1" applyFill="1" applyBorder="1" applyAlignment="1">
      <alignment horizontal="center" vertical="top"/>
    </xf>
    <xf numFmtId="0" fontId="1" fillId="6" borderId="43" xfId="0" applyFont="1" applyFill="1" applyBorder="1" applyAlignment="1">
      <alignment horizontal="center" vertical="top"/>
    </xf>
    <xf numFmtId="0" fontId="1" fillId="10" borderId="55" xfId="0" applyFont="1" applyFill="1" applyBorder="1" applyAlignment="1">
      <alignment horizontal="center" vertical="top"/>
    </xf>
    <xf numFmtId="0" fontId="1" fillId="10" borderId="112" xfId="0" applyFont="1" applyFill="1" applyBorder="1" applyAlignment="1">
      <alignment horizontal="center" vertical="top"/>
    </xf>
    <xf numFmtId="0" fontId="1" fillId="6" borderId="38" xfId="0" applyFont="1" applyFill="1" applyBorder="1" applyAlignment="1">
      <alignment horizontal="center" vertical="top"/>
    </xf>
    <xf numFmtId="0" fontId="1" fillId="6" borderId="74" xfId="0" applyFont="1" applyFill="1" applyBorder="1" applyAlignment="1">
      <alignment horizontal="center" vertical="top"/>
    </xf>
    <xf numFmtId="0" fontId="1" fillId="6" borderId="15" xfId="0" applyFont="1" applyFill="1" applyBorder="1" applyAlignment="1">
      <alignment horizontal="center" vertical="top"/>
    </xf>
    <xf numFmtId="3" fontId="2" fillId="6" borderId="13" xfId="0" applyNumberFormat="1" applyFont="1" applyFill="1" applyBorder="1" applyAlignment="1">
      <alignment horizontal="left" vertical="top" wrapText="1"/>
    </xf>
    <xf numFmtId="3" fontId="1" fillId="0" borderId="16" xfId="0" applyNumberFormat="1" applyFont="1" applyBorder="1" applyAlignment="1">
      <alignment horizontal="center" vertical="top" wrapText="1"/>
    </xf>
    <xf numFmtId="164" fontId="2" fillId="6" borderId="0" xfId="0" applyNumberFormat="1" applyFont="1" applyFill="1" applyBorder="1" applyAlignment="1">
      <alignment horizontal="center" vertical="top"/>
    </xf>
    <xf numFmtId="164" fontId="23" fillId="6" borderId="17" xfId="0" applyNumberFormat="1" applyFont="1" applyFill="1" applyBorder="1" applyAlignment="1">
      <alignment horizontal="center" vertical="top"/>
    </xf>
    <xf numFmtId="164" fontId="23" fillId="6" borderId="38" xfId="0" applyNumberFormat="1" applyFont="1" applyFill="1" applyBorder="1" applyAlignment="1">
      <alignment horizontal="center" vertical="top"/>
    </xf>
    <xf numFmtId="164" fontId="23" fillId="6" borderId="20" xfId="0" applyNumberFormat="1" applyFont="1" applyFill="1" applyBorder="1" applyAlignment="1">
      <alignment horizontal="center" vertical="top"/>
    </xf>
    <xf numFmtId="164" fontId="23" fillId="6" borderId="12" xfId="0" applyNumberFormat="1" applyFont="1" applyFill="1" applyBorder="1" applyAlignment="1">
      <alignment horizontal="center" vertical="top"/>
    </xf>
    <xf numFmtId="164" fontId="23" fillId="6" borderId="15" xfId="0" applyNumberFormat="1" applyFont="1" applyFill="1" applyBorder="1" applyAlignment="1">
      <alignment horizontal="center" vertical="top"/>
    </xf>
    <xf numFmtId="164" fontId="23" fillId="6" borderId="36" xfId="0" applyNumberFormat="1" applyFont="1" applyFill="1" applyBorder="1" applyAlignment="1">
      <alignment horizontal="center" vertical="top"/>
    </xf>
    <xf numFmtId="164" fontId="23" fillId="6" borderId="37"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164" fontId="23" fillId="6" borderId="69" xfId="0" applyNumberFormat="1" applyFont="1" applyFill="1" applyBorder="1" applyAlignment="1">
      <alignment horizontal="center" vertical="top"/>
    </xf>
    <xf numFmtId="164" fontId="23" fillId="6" borderId="55" xfId="0" applyNumberFormat="1" applyFont="1" applyFill="1" applyBorder="1" applyAlignment="1">
      <alignment horizontal="center" vertical="top"/>
    </xf>
    <xf numFmtId="164" fontId="23" fillId="6" borderId="0" xfId="0" applyNumberFormat="1" applyFont="1" applyFill="1" applyBorder="1" applyAlignment="1">
      <alignment horizontal="center" vertical="top"/>
    </xf>
    <xf numFmtId="164" fontId="23" fillId="6" borderId="51" xfId="0" applyNumberFormat="1" applyFont="1" applyFill="1" applyBorder="1" applyAlignment="1">
      <alignment horizontal="center" vertical="top"/>
    </xf>
    <xf numFmtId="164" fontId="23" fillId="6" borderId="58" xfId="0" applyNumberFormat="1" applyFont="1" applyFill="1" applyBorder="1" applyAlignment="1">
      <alignment horizontal="center" vertical="top"/>
    </xf>
    <xf numFmtId="164" fontId="23" fillId="6" borderId="40" xfId="0" applyNumberFormat="1" applyFont="1" applyFill="1" applyBorder="1" applyAlignment="1">
      <alignment horizontal="center" vertical="top"/>
    </xf>
    <xf numFmtId="164" fontId="23" fillId="6" borderId="42" xfId="0" applyNumberFormat="1" applyFont="1" applyFill="1" applyBorder="1" applyAlignment="1">
      <alignment horizontal="center" vertical="top"/>
    </xf>
    <xf numFmtId="164" fontId="23" fillId="6" borderId="20" xfId="0" applyNumberFormat="1" applyFont="1" applyFill="1" applyBorder="1" applyAlignment="1">
      <alignment horizontal="center" vertical="top"/>
    </xf>
    <xf numFmtId="164" fontId="23" fillId="6" borderId="36" xfId="0" applyNumberFormat="1" applyFont="1" applyFill="1" applyBorder="1" applyAlignment="1">
      <alignment horizontal="center" vertical="top"/>
    </xf>
    <xf numFmtId="164" fontId="23" fillId="6" borderId="19" xfId="0" applyNumberFormat="1" applyFont="1" applyFill="1" applyBorder="1" applyAlignment="1">
      <alignment horizontal="center" vertical="top"/>
    </xf>
    <xf numFmtId="164" fontId="23" fillId="6" borderId="33" xfId="0" applyNumberFormat="1" applyFont="1" applyFill="1" applyBorder="1" applyAlignment="1">
      <alignment horizontal="center" vertical="top"/>
    </xf>
    <xf numFmtId="164" fontId="23" fillId="6" borderId="43" xfId="0" applyNumberFormat="1" applyFont="1" applyFill="1" applyBorder="1" applyAlignment="1">
      <alignment horizontal="center" vertical="top"/>
    </xf>
    <xf numFmtId="3" fontId="23" fillId="6" borderId="67" xfId="1" applyNumberFormat="1" applyFont="1" applyFill="1" applyBorder="1" applyAlignment="1">
      <alignment horizontal="center" vertical="top"/>
    </xf>
    <xf numFmtId="164" fontId="23" fillId="6" borderId="68" xfId="1" applyNumberFormat="1" applyFont="1" applyFill="1" applyBorder="1" applyAlignment="1">
      <alignment horizontal="center" vertical="top"/>
    </xf>
    <xf numFmtId="164" fontId="23" fillId="6" borderId="69" xfId="1" applyNumberFormat="1" applyFont="1" applyFill="1" applyBorder="1" applyAlignment="1">
      <alignment horizontal="center" vertical="top"/>
    </xf>
    <xf numFmtId="3" fontId="23" fillId="6" borderId="16" xfId="1" applyNumberFormat="1" applyFont="1" applyFill="1" applyBorder="1" applyAlignment="1">
      <alignment horizontal="center" vertical="top"/>
    </xf>
    <xf numFmtId="164" fontId="23" fillId="6" borderId="55" xfId="1" applyNumberFormat="1" applyFont="1" applyFill="1" applyBorder="1" applyAlignment="1">
      <alignment horizontal="center" vertical="top"/>
    </xf>
    <xf numFmtId="164" fontId="23" fillId="6" borderId="0" xfId="1" applyNumberFormat="1" applyFont="1" applyFill="1" applyBorder="1" applyAlignment="1">
      <alignment horizontal="center" vertical="top"/>
    </xf>
    <xf numFmtId="3" fontId="23" fillId="6" borderId="67" xfId="0" applyNumberFormat="1" applyFont="1" applyFill="1" applyBorder="1" applyAlignment="1">
      <alignment horizontal="center" vertical="top"/>
    </xf>
    <xf numFmtId="3" fontId="23" fillId="6" borderId="16" xfId="0" applyNumberFormat="1" applyFont="1" applyFill="1" applyBorder="1" applyAlignment="1">
      <alignment vertical="top"/>
    </xf>
    <xf numFmtId="3" fontId="23" fillId="6" borderId="50" xfId="0" applyNumberFormat="1" applyFont="1" applyFill="1" applyBorder="1" applyAlignment="1">
      <alignment vertical="top"/>
    </xf>
    <xf numFmtId="0" fontId="23" fillId="6" borderId="67" xfId="0" applyFont="1" applyFill="1" applyBorder="1" applyAlignment="1">
      <alignment horizontal="center" vertical="top" wrapText="1"/>
    </xf>
    <xf numFmtId="0" fontId="23" fillId="6" borderId="16" xfId="0" applyFont="1" applyFill="1" applyBorder="1" applyAlignment="1">
      <alignment horizontal="center" vertical="top" wrapText="1"/>
    </xf>
    <xf numFmtId="164" fontId="23" fillId="6" borderId="11" xfId="0" applyNumberFormat="1" applyFont="1" applyFill="1" applyBorder="1" applyAlignment="1">
      <alignment horizontal="center" vertical="top"/>
    </xf>
    <xf numFmtId="0" fontId="23" fillId="6" borderId="50" xfId="0" applyFont="1" applyFill="1" applyBorder="1" applyAlignment="1">
      <alignment horizontal="center" vertical="top" wrapText="1"/>
    </xf>
    <xf numFmtId="3" fontId="23" fillId="6" borderId="16" xfId="0" applyNumberFormat="1" applyFont="1" applyFill="1" applyBorder="1" applyAlignment="1">
      <alignment horizontal="center" vertical="top"/>
    </xf>
    <xf numFmtId="164" fontId="23" fillId="6" borderId="35" xfId="0" applyNumberFormat="1" applyFont="1" applyFill="1" applyBorder="1" applyAlignment="1">
      <alignment horizontal="center" vertical="top"/>
    </xf>
    <xf numFmtId="164" fontId="23" fillId="6" borderId="16" xfId="0" applyNumberFormat="1" applyFont="1" applyFill="1" applyBorder="1" applyAlignment="1">
      <alignment horizontal="center" vertical="top"/>
    </xf>
    <xf numFmtId="164" fontId="23" fillId="6" borderId="16" xfId="0" applyNumberFormat="1" applyFont="1" applyFill="1" applyBorder="1" applyAlignment="1">
      <alignment horizontal="center" vertical="top" wrapText="1"/>
    </xf>
    <xf numFmtId="0" fontId="23" fillId="6" borderId="36" xfId="0" applyFont="1" applyFill="1" applyBorder="1" applyAlignment="1">
      <alignment horizontal="center" vertical="top"/>
    </xf>
    <xf numFmtId="3" fontId="23" fillId="6" borderId="50" xfId="0" applyNumberFormat="1" applyFont="1" applyFill="1" applyBorder="1" applyAlignment="1">
      <alignment horizontal="center" vertical="top"/>
    </xf>
    <xf numFmtId="3" fontId="23" fillId="6" borderId="67" xfId="0" applyNumberFormat="1" applyFont="1" applyFill="1" applyBorder="1" applyAlignment="1">
      <alignment horizontal="center" vertical="top" wrapText="1"/>
    </xf>
    <xf numFmtId="3" fontId="23" fillId="6" borderId="50" xfId="0" applyNumberFormat="1" applyFont="1" applyFill="1" applyBorder="1" applyAlignment="1">
      <alignment horizontal="center" vertical="top" wrapText="1"/>
    </xf>
    <xf numFmtId="3" fontId="23" fillId="6" borderId="16" xfId="0" applyNumberFormat="1" applyFont="1" applyFill="1" applyBorder="1" applyAlignment="1">
      <alignment horizontal="center" vertical="top" wrapText="1"/>
    </xf>
    <xf numFmtId="164" fontId="23" fillId="6" borderId="82" xfId="0" applyNumberFormat="1" applyFont="1" applyFill="1" applyBorder="1" applyAlignment="1">
      <alignment horizontal="center" vertical="top"/>
    </xf>
    <xf numFmtId="164" fontId="23" fillId="6" borderId="75" xfId="0" applyNumberFormat="1" applyFont="1" applyFill="1" applyBorder="1" applyAlignment="1">
      <alignment horizontal="center" vertical="top"/>
    </xf>
    <xf numFmtId="3" fontId="23" fillId="6" borderId="84" xfId="0" applyNumberFormat="1" applyFont="1" applyFill="1" applyBorder="1" applyAlignment="1">
      <alignment horizontal="center" vertical="top" wrapText="1"/>
    </xf>
    <xf numFmtId="164" fontId="23" fillId="6" borderId="83" xfId="0" applyNumberFormat="1" applyFont="1" applyFill="1" applyBorder="1" applyAlignment="1">
      <alignment horizontal="center" vertical="top"/>
    </xf>
    <xf numFmtId="164" fontId="23" fillId="6" borderId="71" xfId="0" applyNumberFormat="1" applyFont="1" applyFill="1" applyBorder="1" applyAlignment="1">
      <alignment horizontal="center" vertical="top"/>
    </xf>
    <xf numFmtId="3" fontId="23" fillId="6" borderId="34" xfId="0" applyNumberFormat="1" applyFont="1" applyFill="1" applyBorder="1" applyAlignment="1">
      <alignment horizontal="center" vertical="top" wrapText="1"/>
    </xf>
    <xf numFmtId="164" fontId="23" fillId="6" borderId="21" xfId="0" applyNumberFormat="1" applyFont="1" applyFill="1" applyBorder="1" applyAlignment="1">
      <alignment horizontal="center" vertical="top"/>
    </xf>
    <xf numFmtId="164" fontId="23" fillId="6" borderId="13" xfId="0" applyNumberFormat="1" applyFont="1" applyFill="1" applyBorder="1" applyAlignment="1">
      <alignment horizontal="center" vertical="top"/>
    </xf>
    <xf numFmtId="164" fontId="23" fillId="6" borderId="18" xfId="0" applyNumberFormat="1" applyFont="1" applyFill="1" applyBorder="1" applyAlignment="1">
      <alignment horizontal="center" vertical="top"/>
    </xf>
    <xf numFmtId="3" fontId="23" fillId="0" borderId="50" xfId="0" applyNumberFormat="1" applyFont="1" applyFill="1" applyBorder="1" applyAlignment="1">
      <alignment horizontal="center" vertical="top"/>
    </xf>
    <xf numFmtId="3" fontId="23" fillId="0" borderId="67" xfId="0" applyNumberFormat="1" applyFont="1" applyFill="1" applyBorder="1" applyAlignment="1">
      <alignment horizontal="center" vertical="top"/>
    </xf>
    <xf numFmtId="3" fontId="23" fillId="6" borderId="34" xfId="0" applyNumberFormat="1" applyFont="1" applyFill="1" applyBorder="1" applyAlignment="1">
      <alignment horizontal="center" vertical="top"/>
    </xf>
    <xf numFmtId="164" fontId="23" fillId="6" borderId="56" xfId="0" applyNumberFormat="1" applyFont="1" applyFill="1" applyBorder="1" applyAlignment="1">
      <alignment horizontal="center" vertical="top"/>
    </xf>
    <xf numFmtId="3" fontId="23" fillId="0" borderId="78" xfId="0" applyNumberFormat="1" applyFont="1" applyBorder="1" applyAlignment="1">
      <alignment horizontal="center" vertical="top"/>
    </xf>
    <xf numFmtId="164" fontId="23" fillId="0" borderId="76" xfId="0" applyNumberFormat="1" applyFont="1" applyFill="1" applyBorder="1" applyAlignment="1">
      <alignment horizontal="center" vertical="top"/>
    </xf>
    <xf numFmtId="164" fontId="23" fillId="0" borderId="82" xfId="0" applyNumberFormat="1" applyFont="1" applyFill="1" applyBorder="1" applyAlignment="1">
      <alignment horizontal="center" vertical="top"/>
    </xf>
    <xf numFmtId="164" fontId="23" fillId="0" borderId="115" xfId="0" applyNumberFormat="1" applyFont="1" applyFill="1" applyBorder="1" applyAlignment="1">
      <alignment horizontal="center" vertical="top"/>
    </xf>
    <xf numFmtId="3" fontId="23" fillId="0" borderId="85" xfId="0" applyNumberFormat="1" applyFont="1" applyBorder="1" applyAlignment="1">
      <alignment horizontal="center" vertical="top"/>
    </xf>
    <xf numFmtId="164" fontId="23" fillId="0" borderId="113" xfId="0" applyNumberFormat="1" applyFont="1" applyFill="1" applyBorder="1" applyAlignment="1">
      <alignment horizontal="center" vertical="top"/>
    </xf>
    <xf numFmtId="164" fontId="23" fillId="0" borderId="105" xfId="0" applyNumberFormat="1" applyFont="1" applyFill="1" applyBorder="1" applyAlignment="1">
      <alignment horizontal="center" vertical="top"/>
    </xf>
    <xf numFmtId="164" fontId="23" fillId="0" borderId="114" xfId="0" applyNumberFormat="1" applyFont="1" applyFill="1" applyBorder="1" applyAlignment="1">
      <alignment horizontal="center" vertical="top"/>
    </xf>
    <xf numFmtId="3" fontId="23" fillId="6" borderId="78" xfId="0" applyNumberFormat="1" applyFont="1" applyFill="1" applyBorder="1" applyAlignment="1">
      <alignment horizontal="center" vertical="top"/>
    </xf>
    <xf numFmtId="164" fontId="23" fillId="6" borderId="95" xfId="0" applyNumberFormat="1" applyFont="1" applyFill="1" applyBorder="1" applyAlignment="1">
      <alignment horizontal="center" vertical="top"/>
    </xf>
    <xf numFmtId="164" fontId="23" fillId="6" borderId="91" xfId="0" applyNumberFormat="1" applyFont="1" applyFill="1" applyBorder="1" applyAlignment="1">
      <alignment horizontal="center" vertical="top"/>
    </xf>
    <xf numFmtId="3" fontId="23" fillId="6" borderId="84" xfId="0" applyNumberFormat="1" applyFont="1" applyFill="1" applyBorder="1" applyAlignment="1">
      <alignment horizontal="center" vertical="top"/>
    </xf>
    <xf numFmtId="164" fontId="23" fillId="6" borderId="96" xfId="0" applyNumberFormat="1" applyFont="1" applyFill="1" applyBorder="1" applyAlignment="1">
      <alignment horizontal="center" vertical="top"/>
    </xf>
    <xf numFmtId="164" fontId="23" fillId="6" borderId="92"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6" borderId="13" xfId="0" applyNumberFormat="1" applyFont="1" applyFill="1" applyBorder="1" applyAlignment="1">
      <alignment horizontal="center" vertical="top" wrapText="1"/>
    </xf>
    <xf numFmtId="0" fontId="24" fillId="6" borderId="42" xfId="0" applyFont="1" applyFill="1" applyBorder="1" applyAlignment="1">
      <alignment horizontal="center" vertical="top" wrapText="1"/>
    </xf>
    <xf numFmtId="0" fontId="1" fillId="6" borderId="112" xfId="0" applyFont="1" applyFill="1" applyBorder="1" applyAlignment="1">
      <alignment horizontal="center" vertical="top" wrapText="1"/>
    </xf>
    <xf numFmtId="164" fontId="23" fillId="6" borderId="50" xfId="0" applyNumberFormat="1" applyFont="1" applyFill="1" applyBorder="1" applyAlignment="1">
      <alignment horizontal="center" vertical="top"/>
    </xf>
    <xf numFmtId="3" fontId="23" fillId="0" borderId="67" xfId="0" applyNumberFormat="1" applyFont="1" applyBorder="1" applyAlignment="1">
      <alignment horizontal="center" vertical="top" wrapText="1"/>
    </xf>
    <xf numFmtId="3" fontId="2" fillId="6" borderId="37" xfId="0" applyNumberFormat="1" applyFont="1" applyFill="1" applyBorder="1" applyAlignment="1">
      <alignment horizontal="center" vertical="top" wrapText="1"/>
    </xf>
    <xf numFmtId="49" fontId="1" fillId="7" borderId="37" xfId="0" applyNumberFormat="1" applyFont="1" applyFill="1" applyBorder="1" applyAlignment="1">
      <alignment horizontal="center" vertical="top"/>
    </xf>
    <xf numFmtId="49" fontId="1" fillId="7" borderId="43" xfId="0" applyNumberFormat="1" applyFont="1" applyFill="1" applyBorder="1" applyAlignment="1">
      <alignment horizontal="center" vertical="top"/>
    </xf>
    <xf numFmtId="3" fontId="25" fillId="6" borderId="115" xfId="0" applyNumberFormat="1" applyFont="1" applyFill="1" applyBorder="1" applyAlignment="1">
      <alignment horizontal="center" vertical="top" wrapText="1"/>
    </xf>
    <xf numFmtId="3" fontId="25" fillId="6" borderId="42" xfId="0" applyNumberFormat="1" applyFont="1" applyFill="1" applyBorder="1" applyAlignment="1">
      <alignment horizontal="center" vertical="top" wrapText="1"/>
    </xf>
    <xf numFmtId="3" fontId="1" fillId="6" borderId="116" xfId="0" applyNumberFormat="1" applyFont="1" applyFill="1" applyBorder="1" applyAlignment="1">
      <alignment horizontal="center" vertical="top" wrapText="1"/>
    </xf>
    <xf numFmtId="3" fontId="1" fillId="6" borderId="117" xfId="0" applyNumberFormat="1" applyFont="1" applyFill="1" applyBorder="1" applyAlignment="1">
      <alignment horizontal="center" vertical="top" wrapText="1"/>
    </xf>
    <xf numFmtId="49" fontId="1" fillId="7" borderId="35" xfId="0" applyNumberFormat="1" applyFont="1" applyFill="1" applyBorder="1" applyAlignment="1">
      <alignment horizontal="center" vertical="top"/>
    </xf>
    <xf numFmtId="164" fontId="2" fillId="8" borderId="1" xfId="0" applyNumberFormat="1" applyFont="1" applyFill="1" applyBorder="1" applyAlignment="1">
      <alignment horizontal="center" vertical="top"/>
    </xf>
    <xf numFmtId="3" fontId="2" fillId="6" borderId="13" xfId="0" applyNumberFormat="1" applyFont="1" applyFill="1" applyBorder="1" applyAlignment="1">
      <alignment horizontal="center" vertical="top" wrapText="1"/>
    </xf>
    <xf numFmtId="164" fontId="1" fillId="0" borderId="0" xfId="0" applyNumberFormat="1" applyFont="1" applyFill="1" applyBorder="1" applyAlignment="1">
      <alignment vertical="top"/>
    </xf>
    <xf numFmtId="3" fontId="2" fillId="5" borderId="12" xfId="0" applyNumberFormat="1" applyFont="1" applyFill="1" applyBorder="1" applyAlignment="1">
      <alignment horizontal="center" vertical="top"/>
    </xf>
    <xf numFmtId="3" fontId="1" fillId="6" borderId="20"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24" fillId="6" borderId="68" xfId="0" applyNumberFormat="1" applyFont="1" applyFill="1" applyBorder="1" applyAlignment="1">
      <alignment horizontal="center" vertical="top" wrapText="1"/>
    </xf>
    <xf numFmtId="3" fontId="24" fillId="6" borderId="20" xfId="0" applyNumberFormat="1" applyFont="1" applyFill="1" applyBorder="1" applyAlignment="1">
      <alignment horizontal="center" vertical="top" wrapText="1"/>
    </xf>
    <xf numFmtId="3" fontId="24" fillId="6" borderId="73" xfId="0" applyNumberFormat="1" applyFont="1" applyFill="1" applyBorder="1" applyAlignment="1">
      <alignment horizontal="center" vertical="top" wrapText="1"/>
    </xf>
    <xf numFmtId="3" fontId="24" fillId="6" borderId="35" xfId="0" applyNumberFormat="1" applyFont="1" applyFill="1" applyBorder="1" applyAlignment="1">
      <alignment horizontal="center" vertical="top" wrapText="1"/>
    </xf>
    <xf numFmtId="3" fontId="24" fillId="6" borderId="42" xfId="0" applyNumberFormat="1" applyFont="1" applyFill="1" applyBorder="1" applyAlignment="1">
      <alignment horizontal="center" vertical="top" wrapText="1"/>
    </xf>
    <xf numFmtId="3" fontId="24" fillId="6" borderId="37" xfId="0" applyNumberFormat="1" applyFont="1" applyFill="1" applyBorder="1" applyAlignment="1">
      <alignment horizontal="center" vertical="top" wrapText="1"/>
    </xf>
    <xf numFmtId="3" fontId="2" fillId="5" borderId="62" xfId="0" applyNumberFormat="1" applyFont="1" applyFill="1" applyBorder="1" applyAlignment="1">
      <alignment horizontal="left" vertical="top"/>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34" xfId="0" applyNumberFormat="1" applyFont="1" applyFill="1" applyBorder="1" applyAlignment="1">
      <alignment horizontal="left" vertical="top" wrapText="1"/>
    </xf>
    <xf numFmtId="49" fontId="1" fillId="6" borderId="43" xfId="0" applyNumberFormat="1" applyFont="1" applyFill="1" applyBorder="1" applyAlignment="1">
      <alignment horizontal="left" vertical="top" wrapText="1"/>
    </xf>
    <xf numFmtId="1" fontId="1" fillId="6" borderId="37" xfId="0" applyNumberFormat="1" applyFont="1" applyFill="1" applyBorder="1" applyAlignment="1">
      <alignment horizontal="left" vertical="top" wrapText="1"/>
    </xf>
    <xf numFmtId="1" fontId="1" fillId="6" borderId="74" xfId="0" applyNumberFormat="1" applyFont="1" applyFill="1" applyBorder="1" applyAlignment="1">
      <alignment horizontal="left" vertical="top" wrapText="1"/>
    </xf>
    <xf numFmtId="3" fontId="24" fillId="6" borderId="115" xfId="0" applyNumberFormat="1" applyFont="1" applyFill="1" applyBorder="1" applyAlignment="1">
      <alignment horizontal="center" vertical="top" wrapText="1"/>
    </xf>
    <xf numFmtId="49" fontId="24" fillId="6" borderId="75" xfId="0" applyNumberFormat="1" applyFont="1" applyFill="1" applyBorder="1" applyAlignment="1">
      <alignment horizontal="center" vertical="top"/>
    </xf>
    <xf numFmtId="0" fontId="1" fillId="0" borderId="20" xfId="0" applyFont="1" applyBorder="1" applyAlignment="1">
      <alignment horizontal="center" vertical="center" textRotation="90"/>
    </xf>
    <xf numFmtId="3" fontId="24" fillId="6" borderId="75" xfId="0" applyNumberFormat="1" applyFont="1" applyFill="1" applyBorder="1" applyAlignment="1">
      <alignment horizontal="center" vertical="top" wrapText="1"/>
    </xf>
    <xf numFmtId="0" fontId="24" fillId="10" borderId="20" xfId="0" applyFont="1" applyFill="1" applyBorder="1" applyAlignment="1">
      <alignment horizontal="center" vertical="top"/>
    </xf>
    <xf numFmtId="0" fontId="24" fillId="10" borderId="115" xfId="0" applyFont="1" applyFill="1" applyBorder="1" applyAlignment="1">
      <alignment horizontal="center" vertical="top"/>
    </xf>
    <xf numFmtId="0" fontId="24" fillId="6" borderId="37" xfId="0" applyFont="1" applyFill="1" applyBorder="1" applyAlignment="1">
      <alignment horizontal="center" vertical="top"/>
    </xf>
    <xf numFmtId="3" fontId="1" fillId="6" borderId="12" xfId="0" applyNumberFormat="1" applyFont="1" applyFill="1" applyBorder="1" applyAlignment="1">
      <alignment vertical="top" wrapText="1"/>
    </xf>
    <xf numFmtId="3" fontId="2" fillId="6" borderId="13"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0" fontId="1" fillId="6" borderId="51" xfId="0" applyFont="1" applyFill="1" applyBorder="1" applyAlignment="1">
      <alignment horizontal="center" vertical="top"/>
    </xf>
    <xf numFmtId="3" fontId="24" fillId="6" borderId="80" xfId="0" applyNumberFormat="1" applyFont="1" applyFill="1" applyBorder="1" applyAlignment="1">
      <alignment horizontal="center" vertical="top" wrapText="1"/>
    </xf>
    <xf numFmtId="3" fontId="1" fillId="6" borderId="67"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3" fontId="2" fillId="5" borderId="62" xfId="0" applyNumberFormat="1" applyFont="1" applyFill="1" applyBorder="1" applyAlignment="1">
      <alignment horizontal="left" vertical="top"/>
    </xf>
    <xf numFmtId="0" fontId="1" fillId="6" borderId="67" xfId="0" applyFont="1" applyFill="1" applyBorder="1" applyAlignment="1">
      <alignment vertical="top" wrapText="1"/>
    </xf>
    <xf numFmtId="0" fontId="1" fillId="6" borderId="16" xfId="0" applyFont="1" applyFill="1" applyBorder="1" applyAlignment="1">
      <alignment vertical="top" wrapText="1"/>
    </xf>
    <xf numFmtId="0" fontId="1" fillId="6" borderId="78" xfId="0" applyFont="1" applyFill="1" applyBorder="1" applyAlignment="1">
      <alignment horizontal="left" vertical="top" wrapText="1"/>
    </xf>
    <xf numFmtId="0" fontId="1" fillId="6" borderId="78" xfId="0" applyFont="1" applyFill="1" applyBorder="1" applyAlignment="1">
      <alignment vertical="top" wrapText="1"/>
    </xf>
    <xf numFmtId="0" fontId="1" fillId="6" borderId="16" xfId="1" applyFont="1" applyFill="1" applyBorder="1" applyAlignment="1">
      <alignment vertical="top" wrapText="1"/>
    </xf>
    <xf numFmtId="3" fontId="1" fillId="6" borderId="16" xfId="0" applyNumberFormat="1" applyFont="1" applyFill="1" applyBorder="1" applyAlignment="1">
      <alignment horizontal="left" vertical="top" wrapText="1"/>
    </xf>
    <xf numFmtId="0" fontId="1" fillId="6" borderId="67" xfId="0" applyFont="1" applyFill="1" applyBorder="1" applyAlignment="1">
      <alignment horizontal="left" vertical="top" wrapText="1"/>
    </xf>
    <xf numFmtId="0" fontId="1" fillId="6" borderId="50" xfId="0" applyFont="1" applyFill="1" applyBorder="1" applyAlignment="1">
      <alignment horizontal="left" vertical="top" wrapText="1"/>
    </xf>
    <xf numFmtId="3" fontId="1" fillId="6" borderId="78" xfId="0" applyNumberFormat="1" applyFont="1" applyFill="1" applyBorder="1" applyAlignment="1">
      <alignment horizontal="left" vertical="top" wrapText="1"/>
    </xf>
    <xf numFmtId="164" fontId="1" fillId="6" borderId="50" xfId="0" applyNumberFormat="1" applyFont="1" applyFill="1" applyBorder="1" applyAlignment="1">
      <alignment horizontal="left" vertical="top" wrapText="1"/>
    </xf>
    <xf numFmtId="3" fontId="1" fillId="5" borderId="61"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0" fontId="1" fillId="0" borderId="90" xfId="0" applyFont="1" applyBorder="1" applyAlignment="1">
      <alignment horizontal="center" vertical="center" textRotation="90"/>
    </xf>
    <xf numFmtId="49" fontId="1" fillId="7" borderId="51" xfId="0" applyNumberFormat="1" applyFont="1" applyFill="1" applyBorder="1" applyAlignment="1">
      <alignment horizontal="center" vertical="top"/>
    </xf>
    <xf numFmtId="3" fontId="1" fillId="6" borderId="91" xfId="0" applyNumberFormat="1" applyFont="1" applyFill="1" applyBorder="1" applyAlignment="1">
      <alignment horizontal="center" vertical="top" wrapText="1"/>
    </xf>
    <xf numFmtId="3" fontId="25" fillId="0" borderId="55" xfId="0" applyNumberFormat="1" applyFont="1" applyBorder="1" applyAlignment="1">
      <alignment vertical="top"/>
    </xf>
    <xf numFmtId="3" fontId="1" fillId="6" borderId="78" xfId="0" applyNumberFormat="1" applyFont="1" applyFill="1" applyBorder="1" applyAlignment="1">
      <alignment vertical="top" wrapText="1"/>
    </xf>
    <xf numFmtId="3" fontId="25" fillId="6" borderId="16" xfId="0" applyNumberFormat="1" applyFont="1" applyFill="1" applyBorder="1" applyAlignment="1">
      <alignment vertical="top" wrapText="1"/>
    </xf>
    <xf numFmtId="3" fontId="1" fillId="0" borderId="50" xfId="0" applyNumberFormat="1" applyFont="1" applyBorder="1" applyAlignment="1">
      <alignment vertical="top"/>
    </xf>
    <xf numFmtId="164" fontId="1" fillId="6" borderId="7" xfId="0" applyNumberFormat="1" applyFont="1" applyFill="1" applyBorder="1" applyAlignment="1">
      <alignment horizontal="center" vertical="top"/>
    </xf>
    <xf numFmtId="0" fontId="1" fillId="6" borderId="39" xfId="0" applyFont="1" applyFill="1" applyBorder="1" applyAlignment="1">
      <alignment horizontal="left" vertical="top" wrapText="1"/>
    </xf>
    <xf numFmtId="0" fontId="10" fillId="6" borderId="50" xfId="0" applyFont="1" applyFill="1" applyBorder="1" applyAlignment="1">
      <alignment vertical="top" wrapText="1"/>
    </xf>
    <xf numFmtId="0" fontId="1" fillId="0" borderId="50" xfId="0" applyFont="1" applyBorder="1" applyAlignment="1">
      <alignment vertical="top" wrapText="1"/>
    </xf>
    <xf numFmtId="0" fontId="11" fillId="6" borderId="28" xfId="0" applyFont="1" applyFill="1" applyBorder="1" applyAlignment="1"/>
    <xf numFmtId="3" fontId="2" fillId="5" borderId="53" xfId="0" applyNumberFormat="1" applyFont="1" applyFill="1" applyBorder="1" applyAlignment="1">
      <alignment horizontal="left" vertical="top" wrapText="1"/>
    </xf>
    <xf numFmtId="0" fontId="1" fillId="0" borderId="68" xfId="0" applyFont="1" applyBorder="1" applyAlignment="1">
      <alignment horizontal="center" vertical="center" textRotation="90"/>
    </xf>
    <xf numFmtId="49" fontId="1" fillId="7" borderId="104" xfId="0" applyNumberFormat="1" applyFont="1" applyFill="1" applyBorder="1" applyAlignment="1">
      <alignment horizontal="center" vertical="top"/>
    </xf>
    <xf numFmtId="3" fontId="1" fillId="6" borderId="93" xfId="0" applyNumberFormat="1" applyFont="1" applyFill="1" applyBorder="1" applyAlignment="1">
      <alignment horizontal="left" vertical="top" wrapText="1"/>
    </xf>
    <xf numFmtId="3" fontId="1" fillId="6" borderId="113" xfId="0" applyNumberFormat="1" applyFont="1" applyFill="1" applyBorder="1" applyAlignment="1">
      <alignment horizontal="left" vertical="top" wrapText="1"/>
    </xf>
    <xf numFmtId="3" fontId="1" fillId="6" borderId="17" xfId="0" applyNumberFormat="1" applyFont="1" applyFill="1" applyBorder="1" applyAlignment="1">
      <alignment vertical="top" wrapText="1"/>
    </xf>
    <xf numFmtId="3" fontId="1" fillId="6" borderId="76"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112" xfId="0" applyNumberFormat="1" applyFont="1" applyFill="1" applyBorder="1" applyAlignment="1">
      <alignment horizontal="left" vertical="top" wrapText="1"/>
    </xf>
    <xf numFmtId="3" fontId="1" fillId="7" borderId="11" xfId="0" applyNumberFormat="1" applyFont="1" applyFill="1" applyBorder="1" applyAlignment="1">
      <alignment horizontal="left" vertical="top" wrapText="1"/>
    </xf>
    <xf numFmtId="3" fontId="1" fillId="6" borderId="17" xfId="0" applyNumberFormat="1" applyFont="1" applyFill="1" applyBorder="1" applyAlignment="1">
      <alignment horizontal="left" vertical="top" wrapText="1"/>
    </xf>
    <xf numFmtId="0" fontId="1" fillId="6" borderId="113" xfId="0" applyFont="1" applyFill="1" applyBorder="1" applyAlignment="1">
      <alignment horizontal="left" vertical="top" wrapText="1"/>
    </xf>
    <xf numFmtId="3" fontId="1" fillId="6" borderId="11" xfId="0" applyNumberFormat="1" applyFont="1" applyFill="1" applyBorder="1" applyAlignment="1">
      <alignment vertical="top" wrapText="1"/>
    </xf>
    <xf numFmtId="0" fontId="1" fillId="6" borderId="35" xfId="0" applyFont="1" applyFill="1" applyBorder="1" applyAlignment="1">
      <alignment horizontal="left" vertical="top" wrapText="1"/>
    </xf>
    <xf numFmtId="3" fontId="11" fillId="6" borderId="23" xfId="0" applyNumberFormat="1" applyFont="1" applyFill="1" applyBorder="1" applyAlignment="1">
      <alignment vertical="top" wrapText="1"/>
    </xf>
    <xf numFmtId="0" fontId="1" fillId="6" borderId="32" xfId="0" applyFont="1" applyFill="1" applyBorder="1" applyAlignment="1">
      <alignment vertical="top" wrapText="1"/>
    </xf>
    <xf numFmtId="3" fontId="1" fillId="6" borderId="112" xfId="0" applyNumberFormat="1" applyFont="1" applyFill="1" applyBorder="1" applyAlignment="1">
      <alignment vertical="top" wrapText="1"/>
    </xf>
    <xf numFmtId="3" fontId="1" fillId="6" borderId="113" xfId="0" applyNumberFormat="1" applyFont="1" applyFill="1" applyBorder="1" applyAlignment="1">
      <alignment vertical="top" wrapText="1"/>
    </xf>
    <xf numFmtId="3" fontId="1" fillId="6" borderId="32" xfId="0" applyNumberFormat="1" applyFont="1" applyFill="1" applyBorder="1" applyAlignment="1">
      <alignment vertical="top" wrapText="1"/>
    </xf>
    <xf numFmtId="3" fontId="1" fillId="6" borderId="35" xfId="0" applyNumberFormat="1" applyFont="1" applyFill="1" applyBorder="1" applyAlignment="1">
      <alignment vertical="top" wrapText="1"/>
    </xf>
    <xf numFmtId="3" fontId="12" fillId="6" borderId="90" xfId="0" applyNumberFormat="1" applyFont="1" applyFill="1" applyBorder="1" applyAlignment="1">
      <alignment horizontal="left" wrapText="1"/>
    </xf>
    <xf numFmtId="3" fontId="1" fillId="6" borderId="2" xfId="0" applyNumberFormat="1" applyFont="1" applyFill="1" applyBorder="1" applyAlignment="1">
      <alignment vertical="top" wrapText="1"/>
    </xf>
    <xf numFmtId="3" fontId="20" fillId="6" borderId="35" xfId="0" applyNumberFormat="1" applyFont="1" applyFill="1" applyBorder="1" applyAlignment="1">
      <alignment vertical="top" wrapText="1"/>
    </xf>
    <xf numFmtId="0" fontId="1" fillId="6" borderId="112" xfId="0" applyFont="1" applyFill="1" applyBorder="1" applyAlignment="1">
      <alignment vertical="top" wrapText="1"/>
    </xf>
    <xf numFmtId="0" fontId="1" fillId="6" borderId="11" xfId="0" applyFont="1" applyFill="1" applyBorder="1" applyAlignment="1">
      <alignment vertical="top" wrapText="1"/>
    </xf>
    <xf numFmtId="0" fontId="1" fillId="6" borderId="93" xfId="0" applyFont="1" applyFill="1" applyBorder="1" applyAlignment="1">
      <alignment vertical="top" wrapText="1"/>
    </xf>
    <xf numFmtId="3" fontId="11" fillId="6" borderId="90" xfId="0" applyNumberFormat="1" applyFont="1" applyFill="1" applyBorder="1" applyAlignment="1">
      <alignment vertical="top" wrapText="1"/>
    </xf>
    <xf numFmtId="0" fontId="1" fillId="10" borderId="95" xfId="0" applyFont="1" applyFill="1" applyBorder="1" applyAlignment="1">
      <alignment horizontal="center" vertical="top"/>
    </xf>
    <xf numFmtId="0" fontId="1" fillId="6" borderId="19" xfId="0" applyFont="1" applyFill="1" applyBorder="1" applyAlignment="1">
      <alignment horizontal="center" vertical="top"/>
    </xf>
    <xf numFmtId="0" fontId="22" fillId="6" borderId="86" xfId="0" applyFont="1" applyFill="1" applyBorder="1" applyAlignment="1">
      <alignment horizontal="left" vertical="top" wrapText="1"/>
    </xf>
    <xf numFmtId="0" fontId="22" fillId="6" borderId="35" xfId="0" applyFont="1" applyFill="1" applyBorder="1" applyAlignment="1">
      <alignment horizontal="left" vertical="top" wrapText="1"/>
    </xf>
    <xf numFmtId="164" fontId="1" fillId="6" borderId="112" xfId="0" applyNumberFormat="1" applyFont="1" applyFill="1" applyBorder="1" applyAlignment="1">
      <alignment horizontal="left" vertical="top" wrapText="1"/>
    </xf>
    <xf numFmtId="0" fontId="11" fillId="6" borderId="90" xfId="0" applyFont="1" applyFill="1" applyBorder="1" applyAlignment="1">
      <alignment vertical="top"/>
    </xf>
    <xf numFmtId="164" fontId="1" fillId="6" borderId="93" xfId="0" applyNumberFormat="1" applyFont="1" applyFill="1" applyBorder="1" applyAlignment="1">
      <alignment horizontal="left" vertical="top" wrapText="1"/>
    </xf>
    <xf numFmtId="0" fontId="10" fillId="6" borderId="11" xfId="0" applyFont="1" applyFill="1" applyBorder="1" applyAlignment="1">
      <alignment vertical="top" wrapText="1"/>
    </xf>
    <xf numFmtId="164" fontId="1" fillId="6" borderId="76" xfId="0" applyNumberFormat="1" applyFont="1" applyFill="1" applyBorder="1" applyAlignment="1">
      <alignment horizontal="left" vertical="top" wrapText="1"/>
    </xf>
    <xf numFmtId="164" fontId="1" fillId="6" borderId="113" xfId="0" applyNumberFormat="1" applyFont="1" applyFill="1" applyBorder="1" applyAlignment="1">
      <alignment horizontal="left" vertical="top" wrapText="1"/>
    </xf>
    <xf numFmtId="0" fontId="1" fillId="6" borderId="112" xfId="1" applyFont="1" applyFill="1" applyBorder="1" applyAlignment="1">
      <alignment vertical="top" wrapText="1"/>
    </xf>
    <xf numFmtId="0" fontId="1" fillId="6" borderId="11" xfId="1" applyFont="1" applyFill="1" applyBorder="1" applyAlignment="1">
      <alignment vertical="top" wrapText="1"/>
    </xf>
    <xf numFmtId="0" fontId="1" fillId="0" borderId="35" xfId="0" applyFont="1" applyBorder="1" applyAlignment="1">
      <alignment vertical="top" wrapText="1"/>
    </xf>
    <xf numFmtId="0" fontId="11" fillId="6" borderId="23" xfId="0" applyFont="1" applyFill="1" applyBorder="1" applyAlignment="1"/>
    <xf numFmtId="3" fontId="1" fillId="6" borderId="112" xfId="0" applyNumberFormat="1" applyFont="1" applyFill="1" applyBorder="1" applyAlignment="1">
      <alignment vertical="top"/>
    </xf>
    <xf numFmtId="3" fontId="1" fillId="6" borderId="32" xfId="0" applyNumberFormat="1" applyFont="1" applyFill="1" applyBorder="1" applyAlignment="1">
      <alignment horizontal="left" vertical="top" wrapText="1"/>
    </xf>
    <xf numFmtId="0" fontId="11" fillId="6" borderId="90" xfId="0" applyFont="1" applyFill="1" applyBorder="1" applyAlignment="1"/>
    <xf numFmtId="0" fontId="1" fillId="6" borderId="17" xfId="0" applyFont="1" applyFill="1" applyBorder="1" applyAlignment="1">
      <alignment vertical="top" wrapText="1"/>
    </xf>
    <xf numFmtId="3" fontId="1" fillId="6" borderId="2" xfId="0" applyNumberFormat="1" applyFont="1" applyFill="1" applyBorder="1" applyAlignment="1">
      <alignment horizontal="left" vertical="top" wrapText="1"/>
    </xf>
    <xf numFmtId="164" fontId="1" fillId="6" borderId="112" xfId="0" applyNumberFormat="1" applyFont="1" applyFill="1" applyBorder="1" applyAlignment="1">
      <alignment vertical="top" wrapText="1"/>
    </xf>
    <xf numFmtId="164" fontId="1" fillId="6" borderId="35" xfId="0" applyNumberFormat="1" applyFont="1" applyFill="1" applyBorder="1" applyAlignment="1">
      <alignment horizontal="left" vertical="top" wrapText="1"/>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67" xfId="0" applyNumberFormat="1" applyFont="1" applyFill="1" applyBorder="1" applyAlignment="1">
      <alignment horizontal="left" vertical="top" wrapText="1"/>
    </xf>
    <xf numFmtId="164" fontId="1" fillId="6" borderId="36"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0" fontId="1" fillId="6" borderId="68" xfId="0" applyNumberFormat="1" applyFont="1" applyFill="1" applyBorder="1" applyAlignment="1">
      <alignment horizontal="center" vertical="top" wrapText="1"/>
    </xf>
    <xf numFmtId="0" fontId="1" fillId="6" borderId="19" xfId="0" applyNumberFormat="1" applyFont="1" applyFill="1" applyBorder="1" applyAlignment="1">
      <alignment horizontal="center" vertical="top" wrapText="1"/>
    </xf>
    <xf numFmtId="0" fontId="1" fillId="7" borderId="68" xfId="0" applyNumberFormat="1" applyFont="1" applyFill="1" applyBorder="1" applyAlignment="1">
      <alignment horizontal="center" vertical="top" wrapText="1"/>
    </xf>
    <xf numFmtId="164" fontId="1" fillId="6" borderId="20" xfId="1" applyNumberFormat="1" applyFont="1" applyFill="1" applyBorder="1" applyAlignment="1">
      <alignment horizontal="center" vertical="top"/>
    </xf>
    <xf numFmtId="3" fontId="1" fillId="6" borderId="16" xfId="1" applyNumberFormat="1" applyFont="1" applyFill="1" applyBorder="1" applyAlignment="1">
      <alignment horizontal="center" vertical="top"/>
    </xf>
    <xf numFmtId="164" fontId="1" fillId="6" borderId="42" xfId="1" applyNumberFormat="1" applyFont="1" applyFill="1" applyBorder="1" applyAlignment="1">
      <alignment horizontal="center" vertical="top"/>
    </xf>
    <xf numFmtId="0" fontId="1" fillId="6" borderId="95" xfId="0" applyNumberFormat="1" applyFont="1" applyFill="1" applyBorder="1" applyAlignment="1">
      <alignment horizontal="center" vertical="top"/>
    </xf>
    <xf numFmtId="0" fontId="1" fillId="6" borderId="93" xfId="0" applyNumberFormat="1" applyFont="1" applyFill="1" applyBorder="1" applyAlignment="1">
      <alignment horizontal="center" vertical="top"/>
    </xf>
    <xf numFmtId="0" fontId="1" fillId="7" borderId="32" xfId="0" applyNumberFormat="1" applyFont="1" applyFill="1" applyBorder="1" applyAlignment="1">
      <alignment horizontal="center" vertical="top"/>
    </xf>
    <xf numFmtId="0" fontId="1" fillId="6" borderId="104" xfId="0" applyNumberFormat="1" applyFont="1" applyFill="1" applyBorder="1" applyAlignment="1">
      <alignment horizontal="center" vertical="top" wrapText="1"/>
    </xf>
    <xf numFmtId="0" fontId="1" fillId="6" borderId="76" xfId="0" applyNumberFormat="1" applyFont="1" applyFill="1" applyBorder="1" applyAlignment="1">
      <alignment horizontal="center" vertical="top" wrapText="1"/>
    </xf>
    <xf numFmtId="0" fontId="1" fillId="6" borderId="11" xfId="0" applyNumberFormat="1" applyFont="1" applyFill="1" applyBorder="1" applyAlignment="1">
      <alignment horizontal="center" vertical="top"/>
    </xf>
    <xf numFmtId="0" fontId="1" fillId="6" borderId="110" xfId="0" applyNumberFormat="1" applyFont="1" applyFill="1" applyBorder="1" applyAlignment="1">
      <alignment horizontal="center" vertical="top" wrapText="1"/>
    </xf>
    <xf numFmtId="0" fontId="1" fillId="6" borderId="55" xfId="0" applyNumberFormat="1" applyFont="1" applyFill="1" applyBorder="1" applyAlignment="1">
      <alignment horizontal="center" vertical="top" wrapText="1"/>
    </xf>
    <xf numFmtId="0" fontId="1" fillId="6" borderId="95" xfId="0" applyNumberFormat="1" applyFont="1" applyFill="1" applyBorder="1" applyAlignment="1">
      <alignment horizontal="center" vertical="top" wrapText="1"/>
    </xf>
    <xf numFmtId="164" fontId="24" fillId="6" borderId="16" xfId="0" applyNumberFormat="1" applyFont="1" applyFill="1" applyBorder="1" applyAlignment="1">
      <alignment horizontal="center" vertical="top"/>
    </xf>
    <xf numFmtId="164" fontId="24" fillId="6" borderId="20" xfId="0" applyNumberFormat="1" applyFont="1" applyFill="1" applyBorder="1" applyAlignment="1">
      <alignment horizontal="center" vertical="top"/>
    </xf>
    <xf numFmtId="3" fontId="24" fillId="6" borderId="16" xfId="0" applyNumberFormat="1" applyFont="1" applyFill="1" applyBorder="1" applyAlignment="1">
      <alignment horizontal="center" vertical="top"/>
    </xf>
    <xf numFmtId="164" fontId="24" fillId="6" borderId="12" xfId="0" applyNumberFormat="1" applyFont="1" applyFill="1" applyBorder="1" applyAlignment="1">
      <alignment horizontal="center" vertical="top"/>
    </xf>
    <xf numFmtId="164" fontId="24" fillId="6" borderId="42" xfId="0" applyNumberFormat="1" applyFont="1" applyFill="1" applyBorder="1" applyAlignment="1">
      <alignment horizontal="center" vertical="top"/>
    </xf>
    <xf numFmtId="164" fontId="24" fillId="6" borderId="40" xfId="0" applyNumberFormat="1" applyFont="1" applyFill="1" applyBorder="1" applyAlignment="1">
      <alignment horizontal="center" vertical="top"/>
    </xf>
    <xf numFmtId="3" fontId="24" fillId="6" borderId="55" xfId="0" applyNumberFormat="1" applyFont="1" applyFill="1" applyBorder="1" applyAlignment="1">
      <alignment horizontal="center" vertical="top" wrapText="1"/>
    </xf>
    <xf numFmtId="0" fontId="1" fillId="6" borderId="97" xfId="0" applyNumberFormat="1" applyFont="1" applyFill="1" applyBorder="1" applyAlignment="1">
      <alignment horizontal="center" vertical="top" wrapText="1"/>
    </xf>
    <xf numFmtId="0" fontId="1" fillId="6" borderId="80" xfId="0" applyNumberFormat="1" applyFont="1" applyFill="1" applyBorder="1" applyAlignment="1">
      <alignment horizontal="center" vertical="top" wrapText="1"/>
    </xf>
    <xf numFmtId="0" fontId="1" fillId="6" borderId="91" xfId="0" applyNumberFormat="1" applyFont="1" applyFill="1" applyBorder="1" applyAlignment="1">
      <alignment horizontal="center" vertical="top"/>
    </xf>
    <xf numFmtId="0" fontId="1" fillId="6" borderId="82" xfId="0" applyNumberFormat="1" applyFont="1" applyFill="1" applyBorder="1" applyAlignment="1">
      <alignment horizontal="center" vertical="top"/>
    </xf>
    <xf numFmtId="0" fontId="1" fillId="6" borderId="15" xfId="0" applyNumberFormat="1" applyFont="1" applyFill="1" applyBorder="1" applyAlignment="1">
      <alignment horizontal="center" vertical="top"/>
    </xf>
    <xf numFmtId="3" fontId="24" fillId="6" borderId="16" xfId="0" applyNumberFormat="1" applyFont="1" applyFill="1" applyBorder="1" applyAlignment="1">
      <alignment horizontal="center" vertical="top" wrapText="1"/>
    </xf>
    <xf numFmtId="164" fontId="24" fillId="6" borderId="83" xfId="0" applyNumberFormat="1" applyFont="1" applyFill="1" applyBorder="1" applyAlignment="1">
      <alignment horizontal="center" vertical="top"/>
    </xf>
    <xf numFmtId="0" fontId="1" fillId="7" borderId="68"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0" fontId="1" fillId="7" borderId="17" xfId="0" applyNumberFormat="1" applyFont="1" applyFill="1" applyBorder="1" applyAlignment="1">
      <alignment horizontal="center" vertical="top"/>
    </xf>
    <xf numFmtId="3" fontId="24" fillId="6" borderId="50" xfId="0" applyNumberFormat="1" applyFont="1" applyFill="1" applyBorder="1" applyAlignment="1">
      <alignment horizontal="center" vertical="top" wrapText="1"/>
    </xf>
    <xf numFmtId="164" fontId="24" fillId="6" borderId="11" xfId="0" applyNumberFormat="1" applyFont="1" applyFill="1" applyBorder="1" applyAlignment="1">
      <alignment horizontal="center" vertical="top"/>
    </xf>
    <xf numFmtId="164" fontId="24" fillId="6" borderId="55" xfId="0" applyNumberFormat="1" applyFont="1" applyFill="1" applyBorder="1" applyAlignment="1">
      <alignment horizontal="center" vertical="top"/>
    </xf>
    <xf numFmtId="0" fontId="24" fillId="7" borderId="19" xfId="0" applyNumberFormat="1" applyFont="1" applyFill="1" applyBorder="1" applyAlignment="1">
      <alignment horizontal="center" vertical="top"/>
    </xf>
    <xf numFmtId="0" fontId="24" fillId="7" borderId="57" xfId="0" applyNumberFormat="1" applyFont="1" applyFill="1" applyBorder="1" applyAlignment="1">
      <alignment horizontal="center" vertical="top"/>
    </xf>
    <xf numFmtId="3" fontId="24" fillId="6" borderId="18" xfId="0" applyNumberFormat="1" applyFont="1" applyFill="1" applyBorder="1" applyAlignment="1">
      <alignment horizontal="left" vertical="top" wrapText="1"/>
    </xf>
    <xf numFmtId="0" fontId="26" fillId="6" borderId="33" xfId="0" applyFont="1" applyFill="1" applyBorder="1" applyAlignment="1">
      <alignment horizontal="center" vertical="top" wrapText="1"/>
    </xf>
    <xf numFmtId="3" fontId="24" fillId="6" borderId="34" xfId="0" applyNumberFormat="1" applyFont="1" applyFill="1" applyBorder="1" applyAlignment="1">
      <alignment horizontal="center" vertical="top"/>
    </xf>
    <xf numFmtId="164" fontId="24" fillId="6" borderId="18" xfId="0" applyNumberFormat="1" applyFont="1" applyFill="1" applyBorder="1" applyAlignment="1">
      <alignment horizontal="center" vertical="top"/>
    </xf>
    <xf numFmtId="164" fontId="24" fillId="6" borderId="43" xfId="0" applyNumberFormat="1" applyFont="1" applyFill="1" applyBorder="1" applyAlignment="1">
      <alignment horizontal="center" vertical="top"/>
    </xf>
    <xf numFmtId="164" fontId="24" fillId="6" borderId="31" xfId="0" applyNumberFormat="1" applyFont="1" applyFill="1" applyBorder="1" applyAlignment="1">
      <alignment horizontal="center" vertical="top"/>
    </xf>
    <xf numFmtId="164" fontId="24" fillId="6" borderId="19" xfId="0" applyNumberFormat="1" applyFont="1" applyFill="1" applyBorder="1" applyAlignment="1">
      <alignment horizontal="center" vertical="top"/>
    </xf>
    <xf numFmtId="164" fontId="24" fillId="6" borderId="33" xfId="0" applyNumberFormat="1" applyFont="1" applyFill="1" applyBorder="1" applyAlignment="1">
      <alignment horizontal="center" vertical="top"/>
    </xf>
    <xf numFmtId="164" fontId="24" fillId="6" borderId="21" xfId="0" applyNumberFormat="1" applyFont="1" applyFill="1" applyBorder="1" applyAlignment="1">
      <alignment horizontal="center" vertical="top"/>
    </xf>
    <xf numFmtId="3" fontId="24" fillId="6" borderId="34" xfId="0" applyNumberFormat="1" applyFont="1" applyFill="1" applyBorder="1" applyAlignment="1">
      <alignment vertical="top" wrapText="1"/>
    </xf>
    <xf numFmtId="3" fontId="24" fillId="6" borderId="19" xfId="0" applyNumberFormat="1" applyFont="1" applyFill="1" applyBorder="1" applyAlignment="1">
      <alignment horizontal="center" vertical="top" wrapText="1"/>
    </xf>
    <xf numFmtId="3" fontId="24" fillId="6" borderId="43" xfId="0" applyNumberFormat="1" applyFont="1" applyFill="1" applyBorder="1" applyAlignment="1">
      <alignment horizontal="center" vertical="top" wrapText="1"/>
    </xf>
    <xf numFmtId="3" fontId="24" fillId="6" borderId="22" xfId="0" applyNumberFormat="1" applyFont="1" applyFill="1" applyBorder="1" applyAlignment="1">
      <alignment horizontal="center" vertical="top" wrapText="1"/>
    </xf>
    <xf numFmtId="3" fontId="1" fillId="6" borderId="43" xfId="0" applyNumberFormat="1" applyFont="1" applyFill="1" applyBorder="1" applyAlignment="1">
      <alignment horizontal="left" vertical="top" wrapText="1"/>
    </xf>
    <xf numFmtId="164" fontId="24" fillId="6" borderId="0" xfId="0" applyNumberFormat="1" applyFont="1" applyFill="1" applyBorder="1" applyAlignment="1">
      <alignment horizontal="center" vertical="top"/>
    </xf>
    <xf numFmtId="3" fontId="24" fillId="6" borderId="67" xfId="1" applyNumberFormat="1" applyFont="1" applyFill="1" applyBorder="1" applyAlignment="1">
      <alignment horizontal="center" vertical="top"/>
    </xf>
    <xf numFmtId="164" fontId="24" fillId="6" borderId="68" xfId="1" applyNumberFormat="1" applyFont="1" applyFill="1" applyBorder="1" applyAlignment="1">
      <alignment horizontal="center" vertical="top"/>
    </xf>
    <xf numFmtId="164" fontId="24" fillId="6" borderId="20" xfId="1" applyNumberFormat="1" applyFont="1" applyFill="1" applyBorder="1" applyAlignment="1">
      <alignment horizontal="center" vertical="top"/>
    </xf>
    <xf numFmtId="164" fontId="24" fillId="6" borderId="3" xfId="0" applyNumberFormat="1" applyFont="1" applyFill="1" applyBorder="1" applyAlignment="1">
      <alignment horizontal="center" vertical="top"/>
    </xf>
    <xf numFmtId="164" fontId="24" fillId="6" borderId="54" xfId="0" applyNumberFormat="1" applyFont="1" applyFill="1" applyBorder="1" applyAlignment="1">
      <alignment horizontal="center" vertical="top"/>
    </xf>
    <xf numFmtId="164" fontId="24" fillId="6" borderId="106" xfId="0" applyNumberFormat="1" applyFont="1" applyFill="1" applyBorder="1" applyAlignment="1">
      <alignment horizontal="center" vertical="top"/>
    </xf>
    <xf numFmtId="3" fontId="24" fillId="6" borderId="68" xfId="0" applyNumberFormat="1" applyFont="1" applyFill="1" applyBorder="1" applyAlignment="1">
      <alignment horizontal="center" vertical="top"/>
    </xf>
    <xf numFmtId="3" fontId="24" fillId="6" borderId="20" xfId="0" applyNumberFormat="1" applyFont="1" applyFill="1" applyBorder="1" applyAlignment="1">
      <alignment horizontal="center" vertical="top"/>
    </xf>
    <xf numFmtId="3" fontId="24" fillId="6" borderId="7" xfId="0" applyNumberFormat="1" applyFont="1" applyFill="1" applyBorder="1" applyAlignment="1">
      <alignment horizontal="center" vertical="top"/>
    </xf>
    <xf numFmtId="164" fontId="24" fillId="6" borderId="58" xfId="0" applyNumberFormat="1" applyFont="1" applyFill="1" applyBorder="1" applyAlignment="1">
      <alignment horizontal="center" vertical="top"/>
    </xf>
    <xf numFmtId="164" fontId="24" fillId="6" borderId="36" xfId="0" applyNumberFormat="1" applyFont="1" applyFill="1" applyBorder="1" applyAlignment="1">
      <alignment horizontal="center" vertical="top"/>
    </xf>
    <xf numFmtId="164" fontId="24" fillId="6" borderId="37" xfId="0" applyNumberFormat="1" applyFont="1" applyFill="1" applyBorder="1" applyAlignment="1">
      <alignment horizontal="center" vertical="top"/>
    </xf>
    <xf numFmtId="164" fontId="1" fillId="6" borderId="7" xfId="0" applyNumberFormat="1" applyFont="1" applyFill="1" applyBorder="1" applyAlignment="1">
      <alignment vertical="top" wrapText="1"/>
    </xf>
    <xf numFmtId="164" fontId="1" fillId="6" borderId="16" xfId="0" applyNumberFormat="1" applyFont="1" applyFill="1" applyBorder="1" applyAlignment="1">
      <alignment vertical="top" wrapText="1"/>
    </xf>
    <xf numFmtId="164" fontId="1" fillId="6" borderId="84" xfId="0" applyNumberFormat="1" applyFont="1" applyFill="1" applyBorder="1" applyAlignment="1">
      <alignment vertical="top" wrapText="1"/>
    </xf>
    <xf numFmtId="164" fontId="1" fillId="6" borderId="50" xfId="0" applyNumberFormat="1" applyFont="1" applyFill="1" applyBorder="1" applyAlignment="1">
      <alignment vertical="top" wrapText="1"/>
    </xf>
    <xf numFmtId="164" fontId="23" fillId="6" borderId="32" xfId="0" applyNumberFormat="1" applyFont="1" applyFill="1" applyBorder="1" applyAlignment="1">
      <alignment horizontal="center" vertical="top"/>
    </xf>
    <xf numFmtId="164" fontId="23" fillId="6" borderId="20" xfId="0" applyNumberFormat="1" applyFont="1" applyFill="1" applyBorder="1" applyAlignment="1">
      <alignment horizontal="center" vertical="top"/>
    </xf>
    <xf numFmtId="164" fontId="23" fillId="6" borderId="37" xfId="0" applyNumberFormat="1" applyFont="1" applyFill="1" applyBorder="1" applyAlignment="1">
      <alignment horizontal="center" vertical="top"/>
    </xf>
    <xf numFmtId="3" fontId="23" fillId="6" borderId="67" xfId="0" applyNumberFormat="1" applyFont="1" applyFill="1" applyBorder="1" applyAlignment="1">
      <alignment horizontal="center" vertical="top"/>
    </xf>
    <xf numFmtId="3" fontId="23" fillId="6" borderId="50"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164" fontId="23" fillId="6" borderId="51" xfId="0" applyNumberFormat="1" applyFont="1" applyFill="1" applyBorder="1" applyAlignment="1">
      <alignment horizontal="center" vertical="top"/>
    </xf>
    <xf numFmtId="164" fontId="23" fillId="6" borderId="38" xfId="0" applyNumberFormat="1" applyFont="1" applyFill="1" applyBorder="1" applyAlignment="1">
      <alignment horizontal="center" vertical="top"/>
    </xf>
    <xf numFmtId="164" fontId="23" fillId="6" borderId="36"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57" xfId="0" applyNumberFormat="1" applyFont="1" applyFill="1" applyBorder="1" applyAlignment="1">
      <alignment horizontal="center" vertical="top"/>
    </xf>
    <xf numFmtId="3" fontId="1" fillId="6" borderId="42" xfId="0" applyNumberFormat="1" applyFont="1" applyFill="1" applyBorder="1" applyAlignment="1">
      <alignment horizontal="center" vertical="top" wrapText="1"/>
    </xf>
    <xf numFmtId="164" fontId="23" fillId="0" borderId="93" xfId="0" applyNumberFormat="1" applyFont="1" applyFill="1" applyBorder="1" applyAlignment="1">
      <alignment horizontal="center" vertical="top"/>
    </xf>
    <xf numFmtId="164" fontId="23" fillId="0" borderId="75" xfId="0" applyNumberFormat="1" applyFont="1" applyFill="1" applyBorder="1" applyAlignment="1">
      <alignment horizontal="center" vertical="top"/>
    </xf>
    <xf numFmtId="164" fontId="23" fillId="0" borderId="102" xfId="0" applyNumberFormat="1" applyFont="1" applyFill="1" applyBorder="1" applyAlignment="1">
      <alignment horizontal="center" vertical="top"/>
    </xf>
    <xf numFmtId="164" fontId="23" fillId="0" borderId="12" xfId="0" applyNumberFormat="1" applyFont="1" applyFill="1" applyBorder="1" applyAlignment="1">
      <alignment horizontal="center" vertical="top"/>
    </xf>
    <xf numFmtId="164" fontId="23" fillId="0" borderId="37" xfId="0" applyNumberFormat="1" applyFont="1" applyFill="1" applyBorder="1" applyAlignment="1">
      <alignment horizontal="center" vertical="top"/>
    </xf>
    <xf numFmtId="164" fontId="23" fillId="0" borderId="36" xfId="0" applyNumberFormat="1" applyFont="1" applyFill="1" applyBorder="1" applyAlignment="1">
      <alignment horizontal="center" vertical="top"/>
    </xf>
    <xf numFmtId="164" fontId="23" fillId="0" borderId="35" xfId="0" applyNumberFormat="1" applyFont="1" applyFill="1" applyBorder="1" applyAlignment="1">
      <alignment horizontal="center" vertical="top"/>
    </xf>
    <xf numFmtId="3" fontId="23" fillId="0" borderId="67" xfId="0" applyNumberFormat="1" applyFont="1" applyBorder="1" applyAlignment="1">
      <alignment horizontal="center" vertical="top"/>
    </xf>
    <xf numFmtId="164" fontId="23" fillId="6" borderId="73" xfId="0" applyNumberFormat="1" applyFont="1" applyFill="1" applyBorder="1" applyAlignment="1">
      <alignment horizontal="center" vertical="top"/>
    </xf>
    <xf numFmtId="3" fontId="23" fillId="0" borderId="84" xfId="0" applyNumberFormat="1" applyFont="1" applyBorder="1" applyAlignment="1">
      <alignment vertical="top"/>
    </xf>
    <xf numFmtId="3" fontId="23" fillId="0" borderId="86" xfId="0" applyNumberFormat="1" applyFont="1" applyBorder="1" applyAlignment="1">
      <alignment vertical="top"/>
    </xf>
    <xf numFmtId="3" fontId="23" fillId="0" borderId="83" xfId="0" applyNumberFormat="1" applyFont="1" applyBorder="1" applyAlignment="1">
      <alignment vertical="top"/>
    </xf>
    <xf numFmtId="3" fontId="23" fillId="0" borderId="71" xfId="0" applyNumberFormat="1" applyFont="1" applyBorder="1" applyAlignment="1">
      <alignment vertical="top"/>
    </xf>
    <xf numFmtId="164" fontId="23" fillId="6" borderId="86" xfId="0" applyNumberFormat="1" applyFont="1" applyFill="1" applyBorder="1" applyAlignment="1">
      <alignment horizontal="center" vertical="top"/>
    </xf>
    <xf numFmtId="3" fontId="23" fillId="6" borderId="88" xfId="0" applyNumberFormat="1" applyFont="1" applyFill="1" applyBorder="1" applyAlignment="1">
      <alignment horizontal="center" vertical="top"/>
    </xf>
    <xf numFmtId="164" fontId="23" fillId="6" borderId="97" xfId="0" applyNumberFormat="1" applyFont="1" applyFill="1" applyBorder="1" applyAlignment="1">
      <alignment horizontal="center" vertical="top"/>
    </xf>
    <xf numFmtId="164" fontId="23" fillId="6" borderId="115" xfId="0" applyNumberFormat="1" applyFont="1" applyFill="1" applyBorder="1" applyAlignment="1">
      <alignment horizontal="center" vertical="top"/>
    </xf>
    <xf numFmtId="164" fontId="23" fillId="6" borderId="93" xfId="0" applyNumberFormat="1" applyFont="1" applyFill="1" applyBorder="1" applyAlignment="1">
      <alignment horizontal="center" vertical="top"/>
    </xf>
    <xf numFmtId="164" fontId="23" fillId="6" borderId="57" xfId="0" applyNumberFormat="1" applyFont="1" applyFill="1" applyBorder="1" applyAlignment="1">
      <alignment horizontal="center" vertical="top"/>
    </xf>
    <xf numFmtId="164" fontId="23" fillId="0" borderId="0" xfId="0" applyNumberFormat="1" applyFont="1" applyBorder="1" applyAlignment="1">
      <alignment horizontal="center" vertical="top"/>
    </xf>
    <xf numFmtId="164" fontId="23" fillId="6" borderId="102" xfId="0" applyNumberFormat="1" applyFont="1" applyFill="1" applyBorder="1" applyAlignment="1">
      <alignment horizontal="center" vertical="top"/>
    </xf>
    <xf numFmtId="164" fontId="23" fillId="6" borderId="14" xfId="0" applyNumberFormat="1" applyFont="1" applyFill="1" applyBorder="1" applyAlignment="1">
      <alignment horizontal="center" vertical="top"/>
    </xf>
    <xf numFmtId="164" fontId="23" fillId="6" borderId="81" xfId="0" applyNumberFormat="1" applyFont="1" applyFill="1" applyBorder="1" applyAlignment="1">
      <alignment horizontal="center" vertical="top"/>
    </xf>
    <xf numFmtId="164" fontId="1" fillId="0" borderId="14" xfId="0" applyNumberFormat="1" applyFont="1" applyBorder="1" applyAlignment="1">
      <alignment vertical="top"/>
    </xf>
    <xf numFmtId="0" fontId="1" fillId="7" borderId="109" xfId="0" applyNumberFormat="1" applyFont="1" applyFill="1" applyBorder="1" applyAlignment="1">
      <alignment horizontal="center" vertical="top"/>
    </xf>
    <xf numFmtId="0" fontId="1" fillId="6" borderId="73" xfId="0" applyNumberFormat="1" applyFont="1" applyFill="1" applyBorder="1" applyAlignment="1">
      <alignment horizontal="center" vertical="top" wrapText="1"/>
    </xf>
    <xf numFmtId="0" fontId="1" fillId="6" borderId="108" xfId="0" applyNumberFormat="1" applyFont="1" applyFill="1" applyBorder="1" applyAlignment="1">
      <alignment horizontal="center" vertical="top" wrapText="1"/>
    </xf>
    <xf numFmtId="0" fontId="1" fillId="6" borderId="12" xfId="0" applyNumberFormat="1" applyFont="1" applyFill="1" applyBorder="1" applyAlignment="1">
      <alignment horizontal="center" vertical="top" wrapText="1"/>
    </xf>
    <xf numFmtId="0" fontId="1" fillId="6" borderId="75" xfId="0" applyNumberFormat="1" applyFont="1" applyFill="1" applyBorder="1" applyAlignment="1">
      <alignment horizontal="center" vertical="top" wrapText="1"/>
    </xf>
    <xf numFmtId="3" fontId="23" fillId="6" borderId="67"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164" fontId="23" fillId="6" borderId="38" xfId="0" applyNumberFormat="1" applyFont="1" applyFill="1" applyBorder="1" applyAlignment="1">
      <alignment horizontal="center" vertical="top"/>
    </xf>
    <xf numFmtId="164" fontId="23" fillId="6" borderId="20" xfId="0" applyNumberFormat="1" applyFont="1" applyFill="1" applyBorder="1" applyAlignment="1">
      <alignment horizontal="center" vertical="top"/>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23" fillId="6" borderId="20" xfId="0" applyNumberFormat="1" applyFont="1" applyFill="1" applyBorder="1" applyAlignment="1">
      <alignment horizontal="center" vertical="top"/>
    </xf>
    <xf numFmtId="3" fontId="23" fillId="6" borderId="67"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164" fontId="23" fillId="6" borderId="38" xfId="0" applyNumberFormat="1" applyFont="1" applyFill="1" applyBorder="1" applyAlignment="1">
      <alignment horizontal="center" vertical="top"/>
    </xf>
    <xf numFmtId="164" fontId="23" fillId="6" borderId="73" xfId="0" applyNumberFormat="1" applyFont="1" applyFill="1" applyBorder="1" applyAlignment="1">
      <alignment horizontal="center" vertical="top"/>
    </xf>
    <xf numFmtId="164" fontId="1" fillId="6" borderId="73" xfId="0" applyNumberFormat="1" applyFont="1" applyFill="1" applyBorder="1" applyAlignment="1">
      <alignment horizontal="center" vertical="top"/>
    </xf>
    <xf numFmtId="0" fontId="16" fillId="0" borderId="0" xfId="0" applyFont="1" applyFill="1" applyAlignment="1">
      <alignment horizontal="center" vertical="top" wrapText="1"/>
    </xf>
    <xf numFmtId="3" fontId="14" fillId="0" borderId="0" xfId="0" applyNumberFormat="1" applyFont="1" applyAlignment="1">
      <alignment horizontal="center" vertical="top" wrapText="1"/>
    </xf>
    <xf numFmtId="3" fontId="13" fillId="0" borderId="0" xfId="0" applyNumberFormat="1" applyFont="1" applyAlignment="1">
      <alignment horizontal="center" vertical="top"/>
    </xf>
    <xf numFmtId="0" fontId="1" fillId="6" borderId="38"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6" borderId="36" xfId="0" applyFont="1" applyFill="1" applyBorder="1" applyAlignment="1">
      <alignment horizontal="left" vertical="top" wrapText="1"/>
    </xf>
    <xf numFmtId="0" fontId="16" fillId="0" borderId="0" xfId="0" applyFont="1" applyFill="1" applyBorder="1" applyAlignment="1">
      <alignment horizontal="left" vertical="top" wrapText="1"/>
    </xf>
    <xf numFmtId="3" fontId="1" fillId="0" borderId="1" xfId="0" applyNumberFormat="1" applyFont="1" applyBorder="1" applyAlignment="1">
      <alignment horizontal="right" vertical="top" wrapText="1"/>
    </xf>
    <xf numFmtId="3" fontId="1" fillId="0" borderId="2"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25" xfId="0" applyNumberFormat="1" applyFont="1" applyBorder="1" applyAlignment="1">
      <alignment horizontal="center" vertical="center" shrinkToFit="1"/>
    </xf>
    <xf numFmtId="3" fontId="2" fillId="4" borderId="18" xfId="0" applyNumberFormat="1" applyFont="1" applyFill="1" applyBorder="1" applyAlignment="1">
      <alignment horizontal="left" vertical="top"/>
    </xf>
    <xf numFmtId="3" fontId="2" fillId="4" borderId="21" xfId="0" applyNumberFormat="1" applyFont="1" applyFill="1" applyBorder="1" applyAlignment="1">
      <alignment horizontal="left" vertical="top"/>
    </xf>
    <xf numFmtId="3" fontId="2" fillId="4" borderId="22" xfId="0" applyNumberFormat="1" applyFont="1" applyFill="1" applyBorder="1" applyAlignment="1">
      <alignment horizontal="left" vertical="top"/>
    </xf>
    <xf numFmtId="3" fontId="2" fillId="5" borderId="56" xfId="0" applyNumberFormat="1" applyFont="1" applyFill="1" applyBorder="1" applyAlignment="1">
      <alignment horizontal="left" vertical="top" wrapText="1"/>
    </xf>
    <xf numFmtId="3" fontId="2" fillId="5" borderId="58" xfId="0" applyNumberFormat="1" applyFont="1" applyFill="1" applyBorder="1" applyAlignment="1">
      <alignment horizontal="left" vertical="top" wrapText="1"/>
    </xf>
    <xf numFmtId="3" fontId="2" fillId="5" borderId="57" xfId="0" applyNumberFormat="1" applyFont="1" applyFill="1" applyBorder="1" applyAlignment="1">
      <alignment horizontal="left" vertical="top" wrapText="1"/>
    </xf>
    <xf numFmtId="49" fontId="2" fillId="4" borderId="11"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0" fontId="1" fillId="0" borderId="70"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2" fillId="3" borderId="14" xfId="0" applyNumberFormat="1" applyFont="1" applyFill="1" applyBorder="1" applyAlignment="1">
      <alignment horizontal="left" vertical="top" wrapText="1"/>
    </xf>
    <xf numFmtId="3" fontId="2" fillId="3" borderId="0" xfId="0" applyNumberFormat="1" applyFont="1" applyFill="1" applyBorder="1" applyAlignment="1">
      <alignment horizontal="left" vertical="top" wrapText="1"/>
    </xf>
    <xf numFmtId="3" fontId="2" fillId="3" borderId="15" xfId="0" applyNumberFormat="1" applyFont="1" applyFill="1" applyBorder="1" applyAlignment="1">
      <alignment horizontal="left" vertical="top" wrapText="1"/>
    </xf>
    <xf numFmtId="3" fontId="1" fillId="0" borderId="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wrapText="1" shrinkToFit="1"/>
    </xf>
    <xf numFmtId="3" fontId="1" fillId="0" borderId="16" xfId="0" applyNumberFormat="1" applyFont="1" applyBorder="1" applyAlignment="1">
      <alignment horizontal="center" vertical="center" textRotation="90" wrapText="1" shrinkToFit="1"/>
    </xf>
    <xf numFmtId="3" fontId="1" fillId="0" borderId="28" xfId="0" applyNumberFormat="1" applyFont="1" applyBorder="1" applyAlignment="1">
      <alignment horizontal="center" vertical="center" textRotation="90" wrapText="1" shrinkToFi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3" fontId="5" fillId="6" borderId="82" xfId="0" applyNumberFormat="1" applyFont="1" applyFill="1" applyBorder="1" applyAlignment="1">
      <alignment horizontal="left" vertical="top" wrapText="1"/>
    </xf>
    <xf numFmtId="3" fontId="11" fillId="0" borderId="83" xfId="0" applyNumberFormat="1" applyFont="1" applyBorder="1" applyAlignment="1">
      <alignment horizontal="left" vertical="top" wrapText="1"/>
    </xf>
    <xf numFmtId="3" fontId="1" fillId="6" borderId="12" xfId="0" applyNumberFormat="1" applyFont="1" applyFill="1" applyBorder="1" applyAlignment="1">
      <alignment vertical="top" wrapText="1"/>
    </xf>
    <xf numFmtId="3" fontId="1" fillId="6" borderId="36" xfId="0" applyNumberFormat="1" applyFont="1" applyFill="1" applyBorder="1" applyAlignment="1">
      <alignment vertical="top" wrapText="1"/>
    </xf>
    <xf numFmtId="3" fontId="1" fillId="6" borderId="13" xfId="0" applyNumberFormat="1" applyFont="1" applyFill="1" applyBorder="1" applyAlignment="1">
      <alignment horizontal="left" vertical="top" wrapText="1"/>
    </xf>
    <xf numFmtId="3" fontId="1" fillId="6" borderId="38" xfId="0" applyNumberFormat="1" applyFont="1" applyFill="1" applyBorder="1" applyAlignment="1">
      <alignment vertical="top" wrapText="1"/>
    </xf>
    <xf numFmtId="3" fontId="2" fillId="0" borderId="40"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1" fillId="6" borderId="17"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38" xfId="0" applyNumberFormat="1" applyFont="1" applyFill="1" applyBorder="1" applyAlignment="1">
      <alignment horizontal="left" vertical="top" wrapText="1"/>
    </xf>
    <xf numFmtId="3" fontId="1" fillId="6" borderId="36" xfId="0" applyNumberFormat="1" applyFont="1" applyFill="1" applyBorder="1" applyAlignment="1">
      <alignment horizontal="left" vertical="top" wrapText="1"/>
    </xf>
    <xf numFmtId="3" fontId="2" fillId="5" borderId="65" xfId="0" applyNumberFormat="1" applyFont="1" applyFill="1" applyBorder="1" applyAlignment="1">
      <alignment horizontal="right" vertical="center"/>
    </xf>
    <xf numFmtId="3" fontId="2" fillId="5" borderId="61" xfId="0" applyNumberFormat="1" applyFont="1" applyFill="1" applyBorder="1" applyAlignment="1">
      <alignment horizontal="right" vertical="center"/>
    </xf>
    <xf numFmtId="3" fontId="2" fillId="5" borderId="62" xfId="0" applyNumberFormat="1" applyFont="1" applyFill="1" applyBorder="1" applyAlignment="1">
      <alignment horizontal="right" vertical="center"/>
    </xf>
    <xf numFmtId="3" fontId="2" fillId="5" borderId="65" xfId="0" applyNumberFormat="1" applyFont="1" applyFill="1" applyBorder="1" applyAlignment="1">
      <alignment horizontal="left" vertical="top"/>
    </xf>
    <xf numFmtId="3" fontId="2" fillId="5" borderId="61" xfId="0" applyNumberFormat="1" applyFont="1" applyFill="1" applyBorder="1" applyAlignment="1">
      <alignment horizontal="left" vertical="top"/>
    </xf>
    <xf numFmtId="3" fontId="2" fillId="5" borderId="62" xfId="0" applyNumberFormat="1" applyFont="1" applyFill="1" applyBorder="1" applyAlignment="1">
      <alignment horizontal="left" vertical="top"/>
    </xf>
    <xf numFmtId="49" fontId="2" fillId="4" borderId="2"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3" fontId="2" fillId="0" borderId="38" xfId="0" applyNumberFormat="1" applyFont="1" applyFill="1" applyBorder="1" applyAlignment="1">
      <alignment horizontal="center" vertical="top" wrapText="1"/>
    </xf>
    <xf numFmtId="0" fontId="18" fillId="0" borderId="36" xfId="0" applyFont="1" applyBorder="1" applyAlignment="1">
      <alignment horizontal="center" vertical="top" wrapText="1"/>
    </xf>
    <xf numFmtId="0" fontId="10" fillId="6" borderId="12" xfId="0" applyFont="1" applyFill="1" applyBorder="1" applyAlignment="1">
      <alignment vertical="top" wrapText="1"/>
    </xf>
    <xf numFmtId="0" fontId="1" fillId="6" borderId="17" xfId="0" applyFont="1" applyFill="1" applyBorder="1" applyAlignment="1">
      <alignment vertical="top" wrapText="1"/>
    </xf>
    <xf numFmtId="0" fontId="1" fillId="6" borderId="11" xfId="0" applyFont="1" applyFill="1" applyBorder="1" applyAlignment="1">
      <alignment vertical="top" wrapText="1"/>
    </xf>
    <xf numFmtId="0" fontId="1" fillId="6" borderId="35" xfId="0" applyFont="1" applyFill="1" applyBorder="1" applyAlignment="1">
      <alignment vertical="top" wrapText="1"/>
    </xf>
    <xf numFmtId="0" fontId="1" fillId="6" borderId="93" xfId="0" applyFont="1" applyFill="1" applyBorder="1" applyAlignment="1">
      <alignment horizontal="left" vertical="top" wrapText="1"/>
    </xf>
    <xf numFmtId="0" fontId="1" fillId="6" borderId="86"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36" xfId="0" applyFont="1" applyFill="1" applyBorder="1" applyAlignment="1">
      <alignment horizontal="left" vertical="top" wrapText="1"/>
    </xf>
    <xf numFmtId="3" fontId="1" fillId="5" borderId="64" xfId="0" applyNumberFormat="1" applyFont="1" applyFill="1" applyBorder="1" applyAlignment="1">
      <alignment horizontal="center" vertical="top" wrapText="1"/>
    </xf>
    <xf numFmtId="3" fontId="1" fillId="5" borderId="61"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2" fillId="5" borderId="1" xfId="0" applyNumberFormat="1" applyFont="1" applyFill="1" applyBorder="1" applyAlignment="1">
      <alignment horizontal="left" vertical="top"/>
    </xf>
    <xf numFmtId="3" fontId="2" fillId="5" borderId="27" xfId="0" applyNumberFormat="1" applyFont="1" applyFill="1" applyBorder="1" applyAlignment="1">
      <alignment horizontal="left" vertical="top"/>
    </xf>
    <xf numFmtId="0" fontId="10" fillId="0" borderId="36" xfId="0" applyFont="1" applyBorder="1" applyAlignment="1">
      <alignment horizontal="left" vertical="top" wrapText="1"/>
    </xf>
    <xf numFmtId="0" fontId="10" fillId="0" borderId="35" xfId="0" applyFont="1" applyBorder="1" applyAlignment="1">
      <alignment horizontal="left" vertical="top" wrapText="1"/>
    </xf>
    <xf numFmtId="3" fontId="2" fillId="0" borderId="3" xfId="0" applyNumberFormat="1" applyFont="1" applyFill="1" applyBorder="1" applyAlignment="1">
      <alignment horizontal="left" vertical="top" wrapText="1"/>
    </xf>
    <xf numFmtId="3" fontId="2" fillId="0" borderId="12" xfId="0" applyNumberFormat="1" applyFont="1" applyFill="1" applyBorder="1" applyAlignment="1">
      <alignment horizontal="left" vertical="top" wrapText="1"/>
    </xf>
    <xf numFmtId="3" fontId="7" fillId="6" borderId="12" xfId="0" applyNumberFormat="1" applyFont="1" applyFill="1" applyBorder="1" applyAlignment="1">
      <alignment horizontal="left" vertical="top" wrapText="1"/>
    </xf>
    <xf numFmtId="3" fontId="1" fillId="6" borderId="13" xfId="0" applyNumberFormat="1" applyFont="1" applyFill="1" applyBorder="1" applyAlignment="1">
      <alignment horizontal="center" vertical="center" textRotation="90" wrapText="1"/>
    </xf>
    <xf numFmtId="3" fontId="1" fillId="6" borderId="56" xfId="0" applyNumberFormat="1" applyFont="1" applyFill="1" applyBorder="1" applyAlignment="1">
      <alignment horizontal="center" vertical="center" textRotation="90" wrapText="1"/>
    </xf>
    <xf numFmtId="0" fontId="1" fillId="6" borderId="93" xfId="0" applyFont="1" applyFill="1" applyBorder="1" applyAlignment="1">
      <alignment vertical="top" wrapText="1"/>
    </xf>
    <xf numFmtId="0" fontId="10" fillId="6" borderId="86" xfId="0" applyFont="1" applyFill="1" applyBorder="1" applyAlignment="1">
      <alignment vertical="top" wrapText="1"/>
    </xf>
    <xf numFmtId="164" fontId="23" fillId="6" borderId="20" xfId="0" applyNumberFormat="1" applyFont="1" applyFill="1" applyBorder="1" applyAlignment="1">
      <alignment horizontal="center" vertical="top"/>
    </xf>
    <xf numFmtId="164" fontId="23" fillId="6" borderId="37" xfId="0" applyNumberFormat="1" applyFont="1" applyFill="1" applyBorder="1" applyAlignment="1">
      <alignment horizontal="center" vertical="top"/>
    </xf>
    <xf numFmtId="3" fontId="6" fillId="4" borderId="41" xfId="0" applyNumberFormat="1" applyFont="1" applyFill="1" applyBorder="1" applyAlignment="1">
      <alignment horizontal="center" vertical="top"/>
    </xf>
    <xf numFmtId="3" fontId="6" fillId="4" borderId="31" xfId="0" applyNumberFormat="1" applyFont="1" applyFill="1" applyBorder="1" applyAlignment="1">
      <alignment horizontal="center" vertical="top"/>
    </xf>
    <xf numFmtId="3" fontId="6" fillId="4" borderId="66" xfId="0" applyNumberFormat="1" applyFont="1" applyFill="1" applyBorder="1" applyAlignment="1">
      <alignment horizontal="center" vertical="top"/>
    </xf>
    <xf numFmtId="3" fontId="6" fillId="4" borderId="44" xfId="0" applyNumberFormat="1" applyFont="1" applyFill="1" applyBorder="1" applyAlignment="1">
      <alignment horizontal="center" vertical="top"/>
    </xf>
    <xf numFmtId="3" fontId="6" fillId="5" borderId="36" xfId="0" applyNumberFormat="1" applyFont="1" applyFill="1" applyBorder="1" applyAlignment="1">
      <alignment horizontal="center" vertical="top"/>
    </xf>
    <xf numFmtId="3" fontId="6" fillId="5" borderId="33" xfId="0" applyNumberFormat="1" applyFont="1" applyFill="1" applyBorder="1" applyAlignment="1">
      <alignment horizontal="center" vertical="top"/>
    </xf>
    <xf numFmtId="3" fontId="6" fillId="5" borderId="38" xfId="0" applyNumberFormat="1" applyFont="1" applyFill="1" applyBorder="1" applyAlignment="1">
      <alignment horizontal="center" vertical="top"/>
    </xf>
    <xf numFmtId="3" fontId="6" fillId="5" borderId="72" xfId="0" applyNumberFormat="1" applyFont="1" applyFill="1" applyBorder="1" applyAlignment="1">
      <alignment horizontal="center" vertical="top"/>
    </xf>
    <xf numFmtId="3" fontId="6" fillId="8" borderId="36" xfId="0" applyNumberFormat="1" applyFont="1" applyFill="1" applyBorder="1" applyAlignment="1">
      <alignment horizontal="center" vertical="top"/>
    </xf>
    <xf numFmtId="3" fontId="6" fillId="8" borderId="33" xfId="0" applyNumberFormat="1" applyFont="1" applyFill="1" applyBorder="1" applyAlignment="1">
      <alignment horizontal="center" vertical="top"/>
    </xf>
    <xf numFmtId="3" fontId="6" fillId="8" borderId="38" xfId="0" applyNumberFormat="1" applyFont="1" applyFill="1" applyBorder="1" applyAlignment="1">
      <alignment horizontal="center" vertical="top"/>
    </xf>
    <xf numFmtId="3" fontId="6" fillId="8" borderId="72" xfId="0" applyNumberFormat="1" applyFont="1" applyFill="1" applyBorder="1" applyAlignment="1">
      <alignment horizontal="center" vertical="top"/>
    </xf>
    <xf numFmtId="3" fontId="7" fillId="6" borderId="38" xfId="0" applyNumberFormat="1" applyFont="1" applyFill="1" applyBorder="1" applyAlignment="1">
      <alignment horizontal="left" vertical="top" wrapText="1"/>
    </xf>
    <xf numFmtId="0" fontId="11" fillId="6" borderId="36" xfId="0" applyFont="1" applyFill="1" applyBorder="1" applyAlignment="1">
      <alignment vertical="top"/>
    </xf>
    <xf numFmtId="0" fontId="10" fillId="6" borderId="11" xfId="0" applyFont="1" applyFill="1" applyBorder="1" applyAlignment="1">
      <alignment vertical="top" wrapText="1"/>
    </xf>
    <xf numFmtId="0" fontId="1" fillId="6" borderId="17" xfId="1" applyFont="1" applyFill="1" applyBorder="1" applyAlignment="1">
      <alignment vertical="top" wrapText="1"/>
    </xf>
    <xf numFmtId="0" fontId="1" fillId="6" borderId="11" xfId="1" applyFont="1" applyFill="1" applyBorder="1" applyAlignment="1">
      <alignment vertical="top" wrapText="1"/>
    </xf>
    <xf numFmtId="0" fontId="11" fillId="6" borderId="11" xfId="0" applyFont="1" applyFill="1" applyBorder="1" applyAlignment="1">
      <alignment vertical="top" wrapText="1"/>
    </xf>
    <xf numFmtId="0" fontId="11" fillId="6" borderId="35" xfId="0" applyFont="1" applyFill="1" applyBorder="1" applyAlignment="1">
      <alignment vertical="top" wrapText="1"/>
    </xf>
    <xf numFmtId="0" fontId="1" fillId="6" borderId="12" xfId="0" applyFont="1" applyFill="1" applyBorder="1" applyAlignment="1">
      <alignment vertical="top" wrapText="1"/>
    </xf>
    <xf numFmtId="0" fontId="3" fillId="6" borderId="12" xfId="0" applyFont="1" applyFill="1" applyBorder="1" applyAlignment="1">
      <alignment vertical="top" wrapText="1"/>
    </xf>
    <xf numFmtId="0" fontId="3" fillId="6" borderId="36" xfId="0" applyFont="1" applyFill="1" applyBorder="1" applyAlignment="1">
      <alignment vertical="top" wrapText="1"/>
    </xf>
    <xf numFmtId="3" fontId="1" fillId="6" borderId="11" xfId="0" applyNumberFormat="1" applyFont="1" applyFill="1" applyBorder="1" applyAlignment="1">
      <alignment horizontal="left" vertical="top" wrapText="1"/>
    </xf>
    <xf numFmtId="0" fontId="10" fillId="6" borderId="35"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6" borderId="11" xfId="0" applyFont="1" applyFill="1" applyBorder="1" applyAlignment="1">
      <alignment horizontal="left" vertical="top" wrapText="1"/>
    </xf>
    <xf numFmtId="0" fontId="11" fillId="6" borderId="86" xfId="0"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10" fillId="6" borderId="36" xfId="0" applyFont="1" applyFill="1" applyBorder="1" applyAlignment="1">
      <alignment horizontal="left" vertical="top" wrapText="1"/>
    </xf>
    <xf numFmtId="164" fontId="2" fillId="6" borderId="54" xfId="0" applyNumberFormat="1" applyFont="1" applyFill="1" applyBorder="1" applyAlignment="1">
      <alignment horizontal="center" vertical="top" wrapText="1"/>
    </xf>
    <xf numFmtId="0" fontId="10" fillId="6" borderId="42" xfId="0" applyFont="1" applyFill="1" applyBorder="1" applyAlignment="1">
      <alignment horizontal="center" vertical="top" wrapText="1"/>
    </xf>
    <xf numFmtId="0" fontId="1" fillId="6" borderId="38" xfId="0" applyFont="1" applyFill="1" applyBorder="1" applyAlignment="1">
      <alignment horizontal="left" vertical="top"/>
    </xf>
    <xf numFmtId="0" fontId="1" fillId="6" borderId="12" xfId="0" applyFont="1" applyFill="1" applyBorder="1" applyAlignment="1">
      <alignment horizontal="left" vertical="top"/>
    </xf>
    <xf numFmtId="0" fontId="10" fillId="0" borderId="12" xfId="0" applyFont="1" applyBorder="1" applyAlignment="1">
      <alignment horizontal="left" vertical="top" wrapText="1"/>
    </xf>
    <xf numFmtId="0" fontId="2" fillId="6" borderId="38" xfId="0" applyFont="1" applyFill="1" applyBorder="1" applyAlignment="1">
      <alignment horizontal="center" vertical="top" wrapText="1"/>
    </xf>
    <xf numFmtId="0" fontId="2" fillId="6" borderId="36" xfId="0" applyFont="1" applyFill="1" applyBorder="1" applyAlignment="1">
      <alignment horizontal="center" vertical="top" wrapText="1"/>
    </xf>
    <xf numFmtId="3" fontId="1" fillId="0" borderId="31"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3" fontId="2" fillId="5" borderId="65" xfId="0" applyNumberFormat="1" applyFont="1" applyFill="1" applyBorder="1" applyAlignment="1">
      <alignment horizontal="right" vertical="top"/>
    </xf>
    <xf numFmtId="3" fontId="2" fillId="5" borderId="61" xfId="0" applyNumberFormat="1" applyFont="1" applyFill="1" applyBorder="1" applyAlignment="1">
      <alignment horizontal="right" vertical="top"/>
    </xf>
    <xf numFmtId="3" fontId="2" fillId="5" borderId="62" xfId="0" applyNumberFormat="1" applyFont="1" applyFill="1" applyBorder="1" applyAlignment="1">
      <alignment horizontal="right" vertical="top"/>
    </xf>
    <xf numFmtId="3" fontId="2" fillId="8" borderId="31" xfId="0" applyNumberFormat="1" applyFont="1" applyFill="1" applyBorder="1" applyAlignment="1">
      <alignment horizontal="right" wrapText="1"/>
    </xf>
    <xf numFmtId="3" fontId="11" fillId="8" borderId="21" xfId="0" applyNumberFormat="1" applyFont="1" applyFill="1" applyBorder="1" applyAlignment="1">
      <alignment horizontal="right" wrapText="1"/>
    </xf>
    <xf numFmtId="3" fontId="11" fillId="8" borderId="22" xfId="0" applyNumberFormat="1" applyFont="1" applyFill="1" applyBorder="1" applyAlignment="1">
      <alignment horizontal="right" wrapText="1"/>
    </xf>
    <xf numFmtId="3" fontId="2" fillId="5" borderId="1" xfId="0" applyNumberFormat="1" applyFont="1" applyFill="1" applyBorder="1" applyAlignment="1">
      <alignment horizontal="left" vertical="top" wrapText="1"/>
    </xf>
    <xf numFmtId="3" fontId="2" fillId="5" borderId="27" xfId="0" applyNumberFormat="1" applyFont="1" applyFill="1" applyBorder="1" applyAlignment="1">
      <alignment horizontal="left" vertical="top" wrapText="1"/>
    </xf>
    <xf numFmtId="0" fontId="10" fillId="6" borderId="12" xfId="0" applyFont="1" applyFill="1" applyBorder="1" applyAlignment="1">
      <alignment horizontal="left" vertical="top" wrapText="1"/>
    </xf>
    <xf numFmtId="3" fontId="2" fillId="4" borderId="65" xfId="0" applyNumberFormat="1" applyFont="1" applyFill="1" applyBorder="1" applyAlignment="1">
      <alignment horizontal="right" vertical="top"/>
    </xf>
    <xf numFmtId="3" fontId="2" fillId="4" borderId="61" xfId="0" applyNumberFormat="1" applyFont="1" applyFill="1" applyBorder="1" applyAlignment="1">
      <alignment horizontal="right" vertical="top"/>
    </xf>
    <xf numFmtId="3" fontId="2" fillId="4" borderId="62" xfId="0" applyNumberFormat="1" applyFont="1" applyFill="1" applyBorder="1" applyAlignment="1">
      <alignment horizontal="right" vertical="top"/>
    </xf>
    <xf numFmtId="3" fontId="2" fillId="3" borderId="65" xfId="0" applyNumberFormat="1" applyFont="1" applyFill="1" applyBorder="1" applyAlignment="1">
      <alignment horizontal="right" vertical="top"/>
    </xf>
    <xf numFmtId="3" fontId="2" fillId="3" borderId="61" xfId="0" applyNumberFormat="1" applyFont="1" applyFill="1" applyBorder="1" applyAlignment="1">
      <alignment horizontal="right" vertical="top"/>
    </xf>
    <xf numFmtId="3" fontId="2" fillId="3" borderId="62" xfId="0" applyNumberFormat="1" applyFont="1" applyFill="1" applyBorder="1" applyAlignment="1">
      <alignment horizontal="right" vertical="top"/>
    </xf>
    <xf numFmtId="3" fontId="1" fillId="0" borderId="70" xfId="0" applyNumberFormat="1" applyFont="1" applyFill="1" applyBorder="1" applyAlignment="1">
      <alignment horizontal="left" vertical="top" wrapText="1"/>
    </xf>
    <xf numFmtId="0" fontId="11" fillId="0" borderId="70"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165" fontId="1" fillId="9" borderId="17" xfId="2" applyFont="1" applyFill="1" applyBorder="1" applyAlignment="1">
      <alignment horizontal="left" vertical="top" wrapText="1"/>
    </xf>
    <xf numFmtId="165" fontId="1" fillId="9" borderId="11" xfId="2" applyFont="1" applyFill="1" applyBorder="1" applyAlignment="1">
      <alignment horizontal="left" vertical="top" wrapText="1"/>
    </xf>
    <xf numFmtId="165" fontId="1" fillId="9" borderId="35" xfId="2" applyFont="1" applyFill="1" applyBorder="1" applyAlignment="1">
      <alignment horizontal="left" vertical="top" wrapText="1"/>
    </xf>
    <xf numFmtId="3" fontId="23" fillId="6" borderId="67" xfId="0" applyNumberFormat="1" applyFont="1" applyFill="1" applyBorder="1" applyAlignment="1">
      <alignment horizontal="center" vertical="top"/>
    </xf>
    <xf numFmtId="3" fontId="23" fillId="6" borderId="50" xfId="0" applyNumberFormat="1" applyFont="1" applyFill="1" applyBorder="1" applyAlignment="1">
      <alignment horizontal="center" vertical="top"/>
    </xf>
    <xf numFmtId="164" fontId="23" fillId="6" borderId="68" xfId="0" applyNumberFormat="1" applyFont="1" applyFill="1" applyBorder="1" applyAlignment="1">
      <alignment horizontal="center" vertical="top"/>
    </xf>
    <xf numFmtId="164" fontId="23" fillId="6" borderId="51" xfId="0" applyNumberFormat="1" applyFont="1" applyFill="1" applyBorder="1" applyAlignment="1">
      <alignment horizontal="center" vertical="top"/>
    </xf>
    <xf numFmtId="164" fontId="23" fillId="6" borderId="38" xfId="0" applyNumberFormat="1" applyFont="1" applyFill="1" applyBorder="1" applyAlignment="1">
      <alignment horizontal="center" vertical="top"/>
    </xf>
    <xf numFmtId="164" fontId="23" fillId="6" borderId="36" xfId="0" applyNumberFormat="1" applyFont="1" applyFill="1" applyBorder="1" applyAlignment="1">
      <alignment horizontal="center" vertical="top"/>
    </xf>
    <xf numFmtId="3" fontId="6" fillId="4" borderId="14"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8" borderId="51" xfId="0" applyNumberFormat="1" applyFont="1" applyFill="1" applyBorder="1" applyAlignment="1">
      <alignment horizontal="center" vertical="top"/>
    </xf>
    <xf numFmtId="3" fontId="6" fillId="8" borderId="55" xfId="0" applyNumberFormat="1" applyFont="1" applyFill="1" applyBorder="1" applyAlignment="1">
      <alignment horizontal="center" vertical="top"/>
    </xf>
    <xf numFmtId="3" fontId="2" fillId="8" borderId="26"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3" fontId="4" fillId="0" borderId="38" xfId="0" applyNumberFormat="1" applyFont="1" applyBorder="1" applyAlignment="1">
      <alignment horizontal="left" vertical="top" wrapText="1"/>
    </xf>
    <xf numFmtId="3" fontId="4" fillId="0" borderId="12" xfId="0" applyNumberFormat="1" applyFont="1" applyBorder="1" applyAlignment="1">
      <alignment horizontal="left" vertical="top" wrapText="1"/>
    </xf>
    <xf numFmtId="3" fontId="1" fillId="8" borderId="31" xfId="0" applyNumberFormat="1" applyFont="1" applyFill="1" applyBorder="1" applyAlignment="1">
      <alignment horizontal="left" vertical="top" wrapText="1"/>
    </xf>
    <xf numFmtId="3" fontId="1" fillId="8" borderId="21"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2" fillId="3" borderId="31"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3" fontId="2" fillId="3" borderId="22" xfId="0" applyNumberFormat="1" applyFont="1" applyFill="1" applyBorder="1" applyAlignment="1">
      <alignment horizontal="right" vertical="top" wrapText="1"/>
    </xf>
    <xf numFmtId="3" fontId="1" fillId="7" borderId="32" xfId="0" applyNumberFormat="1" applyFont="1" applyFill="1" applyBorder="1" applyAlignment="1">
      <alignment horizontal="left" vertical="top" wrapText="1"/>
    </xf>
    <xf numFmtId="3" fontId="1" fillId="7" borderId="33"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32" xfId="0" applyNumberFormat="1" applyFont="1" applyBorder="1" applyAlignment="1">
      <alignment horizontal="left" vertical="top" wrapText="1"/>
    </xf>
    <xf numFmtId="3" fontId="1" fillId="0" borderId="33" xfId="0" applyNumberFormat="1" applyFont="1" applyBorder="1" applyAlignment="1">
      <alignment horizontal="left" vertical="top" wrapText="1"/>
    </xf>
    <xf numFmtId="3" fontId="1" fillId="0" borderId="43" xfId="0" applyNumberFormat="1" applyFont="1" applyBorder="1" applyAlignment="1">
      <alignment horizontal="left" vertical="top" wrapText="1"/>
    </xf>
    <xf numFmtId="164" fontId="1" fillId="8" borderId="31" xfId="0" applyNumberFormat="1" applyFont="1" applyFill="1" applyBorder="1" applyAlignment="1">
      <alignment horizontal="left" vertical="top" wrapText="1"/>
    </xf>
    <xf numFmtId="164" fontId="1" fillId="8" borderId="21" xfId="0" applyNumberFormat="1" applyFont="1" applyFill="1" applyBorder="1" applyAlignment="1">
      <alignment horizontal="left" vertical="top" wrapText="1"/>
    </xf>
    <xf numFmtId="164" fontId="1" fillId="8" borderId="22" xfId="0" applyNumberFormat="1" applyFont="1" applyFill="1" applyBorder="1" applyAlignment="1">
      <alignment horizontal="left" vertical="top" wrapText="1"/>
    </xf>
    <xf numFmtId="3" fontId="2" fillId="0" borderId="64" xfId="0" applyNumberFormat="1" applyFont="1" applyBorder="1" applyAlignment="1">
      <alignment horizontal="center" vertical="center" wrapText="1"/>
    </xf>
    <xf numFmtId="3" fontId="2" fillId="0" borderId="61"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6" borderId="12" xfId="0" applyNumberFormat="1" applyFont="1" applyFill="1" applyBorder="1" applyAlignment="1">
      <alignment horizontal="left" vertical="top" wrapText="1"/>
    </xf>
    <xf numFmtId="3" fontId="2" fillId="6" borderId="36" xfId="0" applyNumberFormat="1" applyFont="1" applyFill="1" applyBorder="1" applyAlignment="1">
      <alignment horizontal="left" vertical="top" wrapText="1"/>
    </xf>
    <xf numFmtId="3" fontId="1" fillId="0" borderId="41" xfId="0" applyNumberFormat="1" applyFont="1" applyBorder="1" applyAlignment="1">
      <alignment horizontal="left" vertical="top" wrapText="1"/>
    </xf>
    <xf numFmtId="3" fontId="1" fillId="0" borderId="58"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3" fontId="1" fillId="6" borderId="31" xfId="0" applyNumberFormat="1" applyFont="1" applyFill="1" applyBorder="1" applyAlignment="1">
      <alignment horizontal="left" vertical="top" wrapText="1"/>
    </xf>
    <xf numFmtId="3" fontId="1" fillId="6" borderId="21" xfId="0" applyNumberFormat="1" applyFont="1" applyFill="1" applyBorder="1" applyAlignment="1">
      <alignment horizontal="left" vertical="top" wrapText="1"/>
    </xf>
    <xf numFmtId="3" fontId="1" fillId="6" borderId="22" xfId="0" applyNumberFormat="1" applyFont="1" applyFill="1" applyBorder="1" applyAlignment="1">
      <alignment horizontal="left" vertical="top" wrapText="1"/>
    </xf>
    <xf numFmtId="164" fontId="1" fillId="6" borderId="7" xfId="0" applyNumberFormat="1" applyFont="1" applyFill="1" applyBorder="1" applyAlignment="1">
      <alignment horizontal="left" vertical="top" wrapText="1"/>
    </xf>
    <xf numFmtId="164" fontId="1" fillId="6" borderId="16" xfId="0" applyNumberFormat="1" applyFont="1" applyFill="1" applyBorder="1" applyAlignment="1">
      <alignment horizontal="left" vertical="top" wrapText="1"/>
    </xf>
    <xf numFmtId="164" fontId="1" fillId="6" borderId="50" xfId="0" applyNumberFormat="1" applyFont="1" applyFill="1" applyBorder="1" applyAlignment="1">
      <alignment horizontal="left" vertical="top" wrapText="1"/>
    </xf>
    <xf numFmtId="3" fontId="1" fillId="6" borderId="67"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1" fillId="6" borderId="50" xfId="0" applyNumberFormat="1" applyFont="1" applyFill="1" applyBorder="1" applyAlignment="1">
      <alignment horizontal="left" vertical="top" wrapText="1"/>
    </xf>
    <xf numFmtId="0" fontId="1" fillId="6" borderId="7"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6" borderId="50" xfId="0" applyFont="1" applyFill="1" applyBorder="1" applyAlignment="1">
      <alignment horizontal="left" vertical="top" wrapText="1"/>
    </xf>
    <xf numFmtId="164" fontId="1" fillId="6" borderId="84" xfId="0" applyNumberFormat="1" applyFont="1" applyFill="1" applyBorder="1" applyAlignment="1">
      <alignment horizontal="left" vertical="top" wrapText="1"/>
    </xf>
    <xf numFmtId="0" fontId="27" fillId="6" borderId="67" xfId="0" applyFont="1" applyFill="1" applyBorder="1" applyAlignment="1">
      <alignment horizontal="left" vertical="top" wrapText="1"/>
    </xf>
    <xf numFmtId="0" fontId="27" fillId="6" borderId="16" xfId="0" applyFont="1" applyFill="1" applyBorder="1" applyAlignment="1">
      <alignment horizontal="left" vertical="top" wrapText="1"/>
    </xf>
    <xf numFmtId="0" fontId="27" fillId="6" borderId="50" xfId="0" applyFont="1" applyFill="1" applyBorder="1" applyAlignment="1">
      <alignment horizontal="left" vertical="top" wrapText="1"/>
    </xf>
    <xf numFmtId="3" fontId="1" fillId="6" borderId="82" xfId="0" applyNumberFormat="1" applyFont="1" applyFill="1" applyBorder="1" applyAlignment="1">
      <alignment horizontal="left" vertical="top" wrapText="1"/>
    </xf>
    <xf numFmtId="49" fontId="1" fillId="6" borderId="7" xfId="0" applyNumberFormat="1" applyFont="1" applyFill="1" applyBorder="1" applyAlignment="1">
      <alignment horizontal="left" vertical="top" wrapText="1"/>
    </xf>
    <xf numFmtId="49" fontId="1" fillId="6" borderId="16" xfId="0" applyNumberFormat="1" applyFont="1" applyFill="1" applyBorder="1" applyAlignment="1">
      <alignment horizontal="left" vertical="top" wrapText="1"/>
    </xf>
    <xf numFmtId="49" fontId="1" fillId="6" borderId="50" xfId="0" applyNumberFormat="1" applyFont="1" applyFill="1" applyBorder="1" applyAlignment="1">
      <alignment horizontal="left" vertical="top" wrapText="1"/>
    </xf>
    <xf numFmtId="3" fontId="2" fillId="5" borderId="101" xfId="0" applyNumberFormat="1" applyFont="1" applyFill="1" applyBorder="1" applyAlignment="1">
      <alignment horizontal="left" vertical="top" wrapText="1"/>
    </xf>
    <xf numFmtId="3" fontId="2" fillId="5" borderId="52" xfId="0" applyNumberFormat="1" applyFont="1" applyFill="1" applyBorder="1" applyAlignment="1">
      <alignment horizontal="left" vertical="top" wrapText="1"/>
    </xf>
    <xf numFmtId="0" fontId="1" fillId="0" borderId="14" xfId="0" applyFont="1" applyBorder="1" applyAlignment="1">
      <alignment horizontal="center" vertical="center" wrapText="1"/>
    </xf>
    <xf numFmtId="0" fontId="2" fillId="0" borderId="54" xfId="0" applyFont="1" applyBorder="1" applyAlignment="1">
      <alignment horizontal="center" vertical="center" textRotation="90" shrinkToFit="1"/>
    </xf>
    <xf numFmtId="0" fontId="2" fillId="0" borderId="42" xfId="0" applyFont="1" applyBorder="1" applyAlignment="1">
      <alignment horizontal="center" vertical="center" textRotation="90" shrinkToFit="1"/>
    </xf>
    <xf numFmtId="0" fontId="2" fillId="0" borderId="6" xfId="0" applyFont="1" applyBorder="1" applyAlignment="1">
      <alignment horizontal="center" vertical="center" textRotation="90" shrinkToFit="1"/>
    </xf>
    <xf numFmtId="0" fontId="2" fillId="0" borderId="15" xfId="0" applyFont="1" applyBorder="1" applyAlignment="1">
      <alignment horizontal="center" vertical="center" textRotation="90" shrinkToFit="1"/>
    </xf>
    <xf numFmtId="0" fontId="1" fillId="0" borderId="4"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3" fontId="20" fillId="6" borderId="36" xfId="0" applyNumberFormat="1" applyFont="1" applyFill="1" applyBorder="1" applyAlignment="1">
      <alignment horizontal="left" vertical="top" wrapText="1"/>
    </xf>
    <xf numFmtId="0" fontId="1" fillId="6" borderId="36" xfId="0" applyFont="1" applyFill="1" applyBorder="1" applyAlignment="1">
      <alignment vertical="top"/>
    </xf>
    <xf numFmtId="0" fontId="1" fillId="6" borderId="36" xfId="0" applyFont="1" applyFill="1" applyBorder="1" applyAlignment="1">
      <alignment horizontal="left" vertical="top"/>
    </xf>
    <xf numFmtId="0" fontId="1" fillId="10" borderId="67" xfId="0" applyFont="1" applyFill="1" applyBorder="1" applyAlignment="1">
      <alignment horizontal="left" vertical="top" wrapText="1"/>
    </xf>
    <xf numFmtId="0" fontId="1" fillId="10" borderId="16" xfId="0" applyFont="1" applyFill="1" applyBorder="1" applyAlignment="1">
      <alignment horizontal="left" vertical="top" wrapText="1"/>
    </xf>
    <xf numFmtId="0" fontId="1" fillId="10" borderId="50" xfId="0" applyFont="1" applyFill="1" applyBorder="1" applyAlignment="1">
      <alignment horizontal="left" vertical="top" wrapText="1"/>
    </xf>
    <xf numFmtId="3" fontId="1" fillId="6" borderId="78" xfId="0" applyNumberFormat="1" applyFont="1" applyFill="1" applyBorder="1" applyAlignment="1">
      <alignment horizontal="left" vertical="top" wrapText="1"/>
    </xf>
    <xf numFmtId="0" fontId="1" fillId="6" borderId="78" xfId="0" applyFont="1" applyFill="1" applyBorder="1" applyAlignment="1">
      <alignment vertical="top" wrapText="1"/>
    </xf>
    <xf numFmtId="0" fontId="10" fillId="6" borderId="84" xfId="0" applyFont="1" applyFill="1" applyBorder="1" applyAlignment="1">
      <alignment vertical="top" wrapText="1"/>
    </xf>
    <xf numFmtId="165" fontId="1" fillId="9" borderId="67" xfId="2" applyFont="1" applyFill="1" applyBorder="1" applyAlignment="1">
      <alignment horizontal="left" vertical="top" wrapText="1"/>
    </xf>
    <xf numFmtId="165" fontId="1" fillId="9" borderId="16" xfId="2" applyFont="1" applyFill="1" applyBorder="1" applyAlignment="1">
      <alignment horizontal="left" vertical="top" wrapText="1"/>
    </xf>
    <xf numFmtId="165" fontId="1" fillId="9" borderId="50" xfId="2" applyFont="1" applyFill="1" applyBorder="1" applyAlignment="1">
      <alignment horizontal="left" vertical="top" wrapText="1"/>
    </xf>
    <xf numFmtId="0" fontId="1" fillId="6" borderId="67" xfId="0" applyFont="1" applyFill="1" applyBorder="1" applyAlignment="1">
      <alignment vertical="top" wrapText="1"/>
    </xf>
    <xf numFmtId="0" fontId="1" fillId="6" borderId="16" xfId="0" applyFont="1" applyFill="1" applyBorder="1" applyAlignment="1">
      <alignment vertical="top" wrapText="1"/>
    </xf>
    <xf numFmtId="0" fontId="1" fillId="6" borderId="50" xfId="0" applyFont="1" applyFill="1" applyBorder="1" applyAlignment="1">
      <alignment vertical="top" wrapText="1"/>
    </xf>
    <xf numFmtId="0" fontId="10" fillId="6" borderId="50" xfId="0" applyFont="1" applyFill="1" applyBorder="1" applyAlignment="1">
      <alignment vertical="top" wrapText="1"/>
    </xf>
    <xf numFmtId="0" fontId="1" fillId="6" borderId="67" xfId="1" applyFont="1" applyFill="1" applyBorder="1" applyAlignment="1">
      <alignment vertical="top" wrapText="1"/>
    </xf>
    <xf numFmtId="0" fontId="1" fillId="6" borderId="16" xfId="1" applyFont="1" applyFill="1" applyBorder="1" applyAlignment="1">
      <alignment vertical="top" wrapText="1"/>
    </xf>
    <xf numFmtId="0" fontId="11" fillId="6" borderId="16" xfId="0" applyFont="1" applyFill="1" applyBorder="1" applyAlignment="1">
      <alignment vertical="top" wrapText="1"/>
    </xf>
    <xf numFmtId="0" fontId="11" fillId="6" borderId="50" xfId="0" applyFont="1" applyFill="1" applyBorder="1" applyAlignment="1">
      <alignment vertical="top" wrapText="1"/>
    </xf>
    <xf numFmtId="0" fontId="1" fillId="6" borderId="67" xfId="0" applyFont="1" applyFill="1" applyBorder="1" applyAlignment="1">
      <alignment horizontal="left" vertical="top" wrapText="1"/>
    </xf>
    <xf numFmtId="0" fontId="11" fillId="6" borderId="84" xfId="0" applyFont="1" applyFill="1" applyBorder="1" applyAlignment="1">
      <alignment horizontal="left" vertical="top" wrapText="1"/>
    </xf>
    <xf numFmtId="0" fontId="19" fillId="0" borderId="0" xfId="0" applyFont="1" applyFill="1" applyAlignment="1">
      <alignment horizontal="right" vertical="top"/>
    </xf>
    <xf numFmtId="164" fontId="23" fillId="6" borderId="73" xfId="0" applyNumberFormat="1" applyFont="1" applyFill="1" applyBorder="1" applyAlignment="1">
      <alignment horizontal="center" vertical="top"/>
    </xf>
    <xf numFmtId="164" fontId="23" fillId="6" borderId="57" xfId="0" applyNumberFormat="1" applyFont="1" applyFill="1" applyBorder="1" applyAlignment="1">
      <alignment horizontal="center" vertical="top"/>
    </xf>
    <xf numFmtId="0" fontId="1" fillId="0" borderId="31"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10" fillId="6" borderId="50" xfId="0" applyFont="1" applyFill="1" applyBorder="1" applyAlignment="1">
      <alignment horizontal="left" vertical="top" wrapText="1"/>
    </xf>
    <xf numFmtId="0" fontId="10" fillId="0" borderId="50" xfId="0" applyFont="1" applyBorder="1" applyAlignment="1">
      <alignment horizontal="left" vertical="top" wrapText="1"/>
    </xf>
    <xf numFmtId="0" fontId="1" fillId="6" borderId="78" xfId="0" applyFont="1" applyFill="1" applyBorder="1" applyAlignment="1">
      <alignment horizontal="left" vertical="top" wrapText="1"/>
    </xf>
    <xf numFmtId="0" fontId="1" fillId="6" borderId="84" xfId="0" applyFont="1" applyFill="1" applyBorder="1" applyAlignment="1">
      <alignment horizontal="left" vertical="top" wrapText="1"/>
    </xf>
    <xf numFmtId="49" fontId="2" fillId="6" borderId="38"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0" fontId="16" fillId="6" borderId="42" xfId="0" applyFont="1" applyFill="1" applyBorder="1" applyAlignment="1">
      <alignment horizontal="center" vertical="top" wrapText="1"/>
    </xf>
    <xf numFmtId="165" fontId="1" fillId="9" borderId="15" xfId="2" applyFont="1" applyFill="1" applyBorder="1" applyAlignment="1">
      <alignment horizontal="left" vertical="top" wrapText="1"/>
    </xf>
    <xf numFmtId="0" fontId="10" fillId="0" borderId="15" xfId="0" applyFont="1" applyBorder="1" applyAlignment="1">
      <alignment horizontal="left" vertical="top" wrapText="1"/>
    </xf>
    <xf numFmtId="3" fontId="2" fillId="6" borderId="33"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3" fontId="1" fillId="0" borderId="42" xfId="0" applyNumberFormat="1" applyFont="1" applyBorder="1" applyAlignment="1">
      <alignment horizontal="center" vertical="top" wrapText="1"/>
    </xf>
    <xf numFmtId="3" fontId="1" fillId="0" borderId="37" xfId="0" applyNumberFormat="1" applyFont="1" applyBorder="1" applyAlignment="1">
      <alignment horizontal="center" vertical="top" wrapText="1"/>
    </xf>
    <xf numFmtId="0" fontId="10" fillId="6" borderId="77"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3" fontId="1" fillId="6" borderId="56" xfId="0" applyNumberFormat="1" applyFont="1" applyFill="1" applyBorder="1" applyAlignment="1">
      <alignment horizontal="left" vertical="top" wrapText="1"/>
    </xf>
    <xf numFmtId="3" fontId="1" fillId="0" borderId="18" xfId="0" applyNumberFormat="1" applyFont="1" applyBorder="1" applyAlignment="1">
      <alignment horizontal="left" vertical="top" wrapText="1"/>
    </xf>
    <xf numFmtId="3" fontId="1" fillId="7" borderId="18" xfId="0" applyNumberFormat="1" applyFont="1" applyFill="1" applyBorder="1" applyAlignment="1">
      <alignment horizontal="left" vertical="top" wrapText="1"/>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18" fillId="6" borderId="13"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3" fillId="6" borderId="42"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164" fontId="1" fillId="6" borderId="20"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wrapText="1"/>
    </xf>
    <xf numFmtId="164" fontId="1" fillId="6" borderId="37" xfId="0" applyNumberFormat="1" applyFont="1" applyFill="1" applyBorder="1" applyAlignment="1">
      <alignment horizontal="center" vertical="top" wrapText="1"/>
    </xf>
    <xf numFmtId="0" fontId="11" fillId="6" borderId="37" xfId="0" applyFont="1" applyFill="1" applyBorder="1" applyAlignment="1">
      <alignment horizontal="center" vertical="top" wrapText="1"/>
    </xf>
    <xf numFmtId="0" fontId="11" fillId="6" borderId="50" xfId="0" applyFont="1" applyFill="1" applyBorder="1" applyAlignment="1">
      <alignment horizontal="left" vertical="top" wrapText="1"/>
    </xf>
    <xf numFmtId="49" fontId="17" fillId="6" borderId="13" xfId="0" applyNumberFormat="1" applyFont="1" applyFill="1" applyBorder="1" applyAlignment="1">
      <alignment horizontal="center" vertical="top" wrapText="1"/>
    </xf>
    <xf numFmtId="0" fontId="21" fillId="6" borderId="56" xfId="0" applyFont="1" applyFill="1" applyBorder="1" applyAlignment="1">
      <alignment horizontal="center" vertical="top" wrapText="1"/>
    </xf>
    <xf numFmtId="164" fontId="2" fillId="6" borderId="3" xfId="0" applyNumberFormat="1" applyFont="1" applyFill="1" applyBorder="1" applyAlignment="1">
      <alignment horizontal="center" vertical="top" wrapText="1"/>
    </xf>
    <xf numFmtId="0" fontId="10" fillId="6" borderId="12" xfId="0" applyFont="1" applyFill="1" applyBorder="1" applyAlignment="1">
      <alignment horizontal="center" vertical="top" wrapText="1"/>
    </xf>
    <xf numFmtId="3" fontId="1" fillId="0" borderId="42" xfId="0" applyNumberFormat="1" applyFont="1" applyFill="1" applyBorder="1" applyAlignment="1">
      <alignment horizontal="center" vertical="top" wrapText="1"/>
    </xf>
    <xf numFmtId="3" fontId="1" fillId="0" borderId="37"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68"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3" fontId="1" fillId="6" borderId="42" xfId="0" applyNumberFormat="1" applyFont="1" applyFill="1" applyBorder="1" applyAlignment="1">
      <alignment horizontal="center" wrapText="1"/>
    </xf>
    <xf numFmtId="3" fontId="1" fillId="6" borderId="75" xfId="0" applyNumberFormat="1" applyFont="1" applyFill="1" applyBorder="1" applyAlignment="1">
      <alignment horizontal="center" vertical="center" wrapText="1"/>
    </xf>
    <xf numFmtId="3" fontId="1" fillId="6" borderId="42" xfId="0" applyNumberFormat="1" applyFont="1" applyFill="1" applyBorder="1" applyAlignment="1">
      <alignment horizontal="center" vertical="center" wrapText="1"/>
    </xf>
    <xf numFmtId="0" fontId="11" fillId="6" borderId="42" xfId="0" applyFont="1" applyFill="1" applyBorder="1" applyAlignment="1">
      <alignment horizontal="center" wrapText="1"/>
    </xf>
    <xf numFmtId="0" fontId="11" fillId="6" borderId="12" xfId="0" applyFont="1" applyFill="1" applyBorder="1" applyAlignment="1">
      <alignment vertical="top"/>
    </xf>
    <xf numFmtId="0" fontId="11" fillId="6" borderId="42" xfId="0" applyFont="1" applyFill="1" applyBorder="1" applyAlignment="1">
      <alignment vertical="top"/>
    </xf>
    <xf numFmtId="0" fontId="10" fillId="6" borderId="16" xfId="0" applyFont="1" applyFill="1" applyBorder="1" applyAlignment="1">
      <alignment vertical="top" wrapText="1"/>
    </xf>
    <xf numFmtId="49" fontId="2" fillId="6" borderId="68" xfId="0" applyNumberFormat="1" applyFont="1" applyFill="1" applyBorder="1" applyAlignment="1">
      <alignment horizontal="center" vertical="top" wrapText="1"/>
    </xf>
    <xf numFmtId="49" fontId="2" fillId="6" borderId="55" xfId="0" applyNumberFormat="1" applyFont="1" applyFill="1" applyBorder="1" applyAlignment="1">
      <alignment horizontal="center" vertical="top" wrapText="1"/>
    </xf>
    <xf numFmtId="49" fontId="2" fillId="6" borderId="51" xfId="0" applyNumberFormat="1" applyFont="1" applyFill="1" applyBorder="1" applyAlignment="1">
      <alignment horizontal="center" vertical="top" wrapText="1"/>
    </xf>
    <xf numFmtId="0" fontId="1" fillId="6" borderId="40"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56" xfId="0" applyFont="1" applyFill="1" applyBorder="1" applyAlignment="1">
      <alignment horizontal="left" vertical="top" wrapText="1"/>
    </xf>
    <xf numFmtId="49" fontId="1" fillId="6" borderId="20" xfId="0" applyNumberFormat="1" applyFont="1" applyFill="1" applyBorder="1" applyAlignment="1">
      <alignment horizontal="center" vertical="center" wrapText="1"/>
    </xf>
    <xf numFmtId="49" fontId="1" fillId="6" borderId="42" xfId="0" applyNumberFormat="1" applyFont="1" applyFill="1" applyBorder="1" applyAlignment="1">
      <alignment horizontal="center" vertical="center" wrapText="1"/>
    </xf>
    <xf numFmtId="49" fontId="1" fillId="6" borderId="71" xfId="0" applyNumberFormat="1" applyFont="1" applyFill="1" applyBorder="1" applyAlignment="1">
      <alignment horizontal="center" vertical="center" wrapText="1"/>
    </xf>
    <xf numFmtId="0" fontId="1" fillId="6" borderId="42" xfId="0" applyFont="1" applyFill="1" applyBorder="1" applyAlignment="1">
      <alignment horizontal="center" vertical="top" wrapText="1"/>
    </xf>
    <xf numFmtId="0" fontId="1" fillId="6" borderId="37" xfId="0" applyFont="1" applyFill="1" applyBorder="1" applyAlignment="1">
      <alignment horizontal="center" vertical="top" wrapText="1"/>
    </xf>
    <xf numFmtId="49" fontId="1" fillId="6" borderId="20" xfId="0" applyNumberFormat="1" applyFont="1" applyFill="1" applyBorder="1" applyAlignment="1">
      <alignment horizontal="center" vertical="top" wrapText="1"/>
    </xf>
    <xf numFmtId="49" fontId="1" fillId="6" borderId="71" xfId="0" applyNumberFormat="1" applyFont="1" applyFill="1" applyBorder="1" applyAlignment="1">
      <alignment horizontal="center" vertical="top" wrapText="1"/>
    </xf>
    <xf numFmtId="0" fontId="11" fillId="6" borderId="42" xfId="0" applyFont="1" applyFill="1" applyBorder="1" applyAlignment="1">
      <alignment horizontal="center" vertical="top" wrapText="1"/>
    </xf>
    <xf numFmtId="3" fontId="2" fillId="0" borderId="4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18" fillId="6" borderId="56" xfId="0" applyFont="1" applyFill="1" applyBorder="1" applyAlignment="1">
      <alignment horizontal="center" vertical="top" wrapText="1"/>
    </xf>
    <xf numFmtId="0" fontId="18" fillId="0" borderId="56" xfId="0" applyFont="1" applyBorder="1" applyAlignment="1">
      <alignment horizontal="center" vertical="top" wrapText="1"/>
    </xf>
    <xf numFmtId="3" fontId="5" fillId="0" borderId="54" xfId="0" applyNumberFormat="1" applyFont="1" applyBorder="1" applyAlignment="1">
      <alignment horizontal="center" vertical="center" wrapText="1"/>
    </xf>
    <xf numFmtId="3" fontId="5" fillId="0" borderId="42" xfId="0" applyNumberFormat="1" applyFont="1" applyBorder="1" applyAlignment="1">
      <alignment horizontal="center" vertical="center" wrapText="1"/>
    </xf>
    <xf numFmtId="3" fontId="11" fillId="0" borderId="42" xfId="0" applyNumberFormat="1" applyFont="1" applyBorder="1" applyAlignment="1">
      <alignment horizontal="center" vertical="center" wrapText="1"/>
    </xf>
    <xf numFmtId="3" fontId="1" fillId="6" borderId="66"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3" fontId="4" fillId="6" borderId="13" xfId="0" applyNumberFormat="1" applyFont="1" applyFill="1" applyBorder="1" applyAlignment="1">
      <alignment horizontal="center" vertical="top" wrapText="1"/>
    </xf>
    <xf numFmtId="3" fontId="5" fillId="6" borderId="42" xfId="0" applyNumberFormat="1" applyFont="1" applyFill="1" applyBorder="1" applyAlignment="1">
      <alignment horizontal="center" vertical="top" wrapText="1"/>
    </xf>
    <xf numFmtId="3" fontId="11" fillId="6" borderId="42" xfId="0" applyNumberFormat="1" applyFont="1" applyFill="1" applyBorder="1" applyAlignment="1">
      <alignment horizontal="center" vertical="top" wrapText="1"/>
    </xf>
    <xf numFmtId="0" fontId="16" fillId="6" borderId="0" xfId="0" applyFont="1" applyFill="1" applyAlignment="1">
      <alignment horizontal="right" vertical="top" wrapText="1"/>
    </xf>
    <xf numFmtId="0" fontId="1" fillId="0" borderId="67" xfId="0" applyFont="1" applyBorder="1" applyAlignment="1">
      <alignment horizontal="center" vertical="center" wrapText="1"/>
    </xf>
    <xf numFmtId="0" fontId="1" fillId="0" borderId="28" xfId="0" applyFont="1" applyBorder="1" applyAlignment="1">
      <alignment horizontal="center" vertical="center" wrapText="1"/>
    </xf>
    <xf numFmtId="3" fontId="1" fillId="0" borderId="54" xfId="0" applyNumberFormat="1" applyFont="1" applyFill="1" applyBorder="1" applyAlignment="1">
      <alignment horizontal="center" vertical="center" wrapText="1" shrinkToFit="1"/>
    </xf>
    <xf numFmtId="3" fontId="1" fillId="0" borderId="42" xfId="0" applyNumberFormat="1" applyFont="1" applyFill="1" applyBorder="1" applyAlignment="1">
      <alignment horizontal="center" vertical="center" wrapText="1" shrinkToFit="1"/>
    </xf>
    <xf numFmtId="3" fontId="1" fillId="0" borderId="29" xfId="0" applyNumberFormat="1" applyFont="1" applyFill="1" applyBorder="1" applyAlignment="1">
      <alignment horizontal="center" vertical="center" wrapText="1" shrinkToFit="1"/>
    </xf>
    <xf numFmtId="0" fontId="1" fillId="0" borderId="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55" xfId="0" applyFont="1" applyBorder="1" applyAlignment="1">
      <alignment horizontal="center" vertical="center" textRotation="90" wrapText="1"/>
    </xf>
    <xf numFmtId="0" fontId="1" fillId="0" borderId="87"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1" fillId="0" borderId="36" xfId="0" applyFont="1" applyBorder="1" applyAlignment="1">
      <alignment vertical="top" wrapText="1"/>
    </xf>
    <xf numFmtId="3" fontId="1" fillId="0" borderId="20" xfId="0" applyNumberFormat="1" applyFont="1" applyBorder="1" applyAlignment="1">
      <alignment horizontal="center" vertical="top" wrapText="1"/>
    </xf>
    <xf numFmtId="0" fontId="11" fillId="0" borderId="37" xfId="0" applyFont="1" applyBorder="1" applyAlignment="1">
      <alignment horizontal="center" vertical="top" wrapText="1"/>
    </xf>
    <xf numFmtId="3" fontId="1" fillId="6" borderId="41" xfId="0" applyNumberFormat="1" applyFont="1" applyFill="1" applyBorder="1" applyAlignment="1">
      <alignment horizontal="left" vertical="top" wrapText="1"/>
    </xf>
    <xf numFmtId="0" fontId="1" fillId="0" borderId="42" xfId="0" applyFont="1" applyBorder="1" applyAlignment="1">
      <alignment horizontal="center" vertical="center" textRotation="90" wrapText="1"/>
    </xf>
    <xf numFmtId="0" fontId="1" fillId="0" borderId="29" xfId="0" applyFont="1" applyBorder="1" applyAlignment="1">
      <alignment horizontal="center" vertical="center" textRotation="90" wrapText="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FFCCFF"/>
      <color rgb="FFCCFFCC"/>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82"/>
  <sheetViews>
    <sheetView tabSelected="1" zoomScaleNormal="100" zoomScaleSheetLayoutView="100" workbookViewId="0">
      <selection activeCell="L118" sqref="L118"/>
    </sheetView>
  </sheetViews>
  <sheetFormatPr defaultColWidth="9.1796875" defaultRowHeight="13" x14ac:dyDescent="0.3"/>
  <cols>
    <col min="1" max="1" width="2.81640625" style="72" customWidth="1"/>
    <col min="2" max="2" width="3.1796875" style="72" customWidth="1"/>
    <col min="3" max="3" width="2.81640625" style="72" customWidth="1"/>
    <col min="4" max="4" width="32.1796875" style="72" customWidth="1"/>
    <col min="5" max="5" width="4.26953125" style="137" customWidth="1"/>
    <col min="6" max="6" width="8.54296875" style="72" customWidth="1"/>
    <col min="7" max="7" width="9.7265625" style="72" customWidth="1"/>
    <col min="8" max="8" width="9.26953125" style="72" customWidth="1"/>
    <col min="9" max="9" width="9.54296875" style="72" customWidth="1"/>
    <col min="10" max="10" width="34" style="72" customWidth="1"/>
    <col min="11" max="13" width="5.453125" style="72" customWidth="1"/>
    <col min="14" max="16384" width="9.1796875" style="72"/>
  </cols>
  <sheetData>
    <row r="1" spans="1:24" s="11" customFormat="1" ht="31.5" customHeight="1" x14ac:dyDescent="0.35">
      <c r="A1" s="61"/>
      <c r="B1" s="61"/>
      <c r="C1" s="61"/>
      <c r="D1" s="61"/>
      <c r="E1" s="142"/>
      <c r="F1" s="132"/>
      <c r="G1" s="762"/>
      <c r="H1" s="762"/>
      <c r="I1" s="762"/>
      <c r="J1" s="1300" t="s">
        <v>216</v>
      </c>
      <c r="K1" s="1300"/>
      <c r="L1" s="1300"/>
      <c r="M1" s="1300"/>
    </row>
    <row r="2" spans="1:24" s="11" customFormat="1" ht="15.75" customHeight="1" x14ac:dyDescent="0.35">
      <c r="A2" s="61"/>
      <c r="B2" s="61"/>
      <c r="C2" s="61"/>
      <c r="D2" s="61"/>
      <c r="E2" s="142"/>
      <c r="F2" s="132"/>
      <c r="G2" s="762"/>
      <c r="H2" s="762"/>
      <c r="I2" s="762"/>
      <c r="J2" s="1300" t="s">
        <v>217</v>
      </c>
      <c r="K2" s="1300"/>
      <c r="L2" s="1300"/>
      <c r="M2" s="762"/>
    </row>
    <row r="3" spans="1:24" s="11" customFormat="1" ht="17.25" customHeight="1" x14ac:dyDescent="0.35">
      <c r="A3" s="61"/>
      <c r="B3" s="61"/>
      <c r="C3" s="61"/>
      <c r="D3" s="61"/>
      <c r="E3" s="142"/>
      <c r="F3" s="132"/>
      <c r="G3" s="762"/>
      <c r="H3" s="762"/>
      <c r="I3" s="762"/>
      <c r="J3" s="762"/>
      <c r="K3" s="762"/>
      <c r="L3" s="762"/>
      <c r="M3" s="762"/>
    </row>
    <row r="4" spans="1:24" s="61" customFormat="1" ht="15" customHeight="1" x14ac:dyDescent="0.35">
      <c r="A4" s="1294" t="s">
        <v>231</v>
      </c>
      <c r="B4" s="1294"/>
      <c r="C4" s="1294"/>
      <c r="D4" s="1294"/>
      <c r="E4" s="1294"/>
      <c r="F4" s="1294"/>
      <c r="G4" s="1294"/>
      <c r="H4" s="1294"/>
      <c r="I4" s="1294"/>
      <c r="J4" s="1294"/>
      <c r="K4" s="1294"/>
      <c r="L4" s="1294"/>
      <c r="M4" s="1294"/>
    </row>
    <row r="5" spans="1:24" s="65" customFormat="1" ht="15" customHeight="1" x14ac:dyDescent="0.35">
      <c r="A5" s="1295" t="s">
        <v>0</v>
      </c>
      <c r="B5" s="1295"/>
      <c r="C5" s="1295"/>
      <c r="D5" s="1295"/>
      <c r="E5" s="1295"/>
      <c r="F5" s="1295"/>
      <c r="G5" s="1295"/>
      <c r="H5" s="1295"/>
      <c r="I5" s="1295"/>
      <c r="J5" s="1295"/>
      <c r="K5" s="1295"/>
      <c r="L5" s="1295"/>
      <c r="M5" s="1295"/>
    </row>
    <row r="6" spans="1:24" s="65" customFormat="1" ht="16.5" customHeight="1" x14ac:dyDescent="0.35">
      <c r="A6" s="1296" t="s">
        <v>1</v>
      </c>
      <c r="B6" s="1296"/>
      <c r="C6" s="1296"/>
      <c r="D6" s="1296"/>
      <c r="E6" s="1296"/>
      <c r="F6" s="1296"/>
      <c r="G6" s="1296"/>
      <c r="H6" s="1296"/>
      <c r="I6" s="1296"/>
      <c r="J6" s="1296"/>
      <c r="K6" s="1296"/>
      <c r="L6" s="1296"/>
      <c r="M6" s="1296"/>
    </row>
    <row r="7" spans="1:24" s="65" customFormat="1" ht="13.5" thickBot="1" x14ac:dyDescent="0.4">
      <c r="A7" s="1"/>
      <c r="B7" s="1"/>
      <c r="C7" s="1"/>
      <c r="D7" s="1"/>
      <c r="E7" s="48"/>
      <c r="F7" s="48"/>
      <c r="G7" s="172"/>
      <c r="H7" s="172"/>
      <c r="I7" s="172"/>
      <c r="K7" s="58"/>
      <c r="L7" s="1301" t="s">
        <v>60</v>
      </c>
      <c r="M7" s="1301"/>
    </row>
    <row r="8" spans="1:24" s="65" customFormat="1" ht="24" customHeight="1" x14ac:dyDescent="0.35">
      <c r="A8" s="1302" t="s">
        <v>2</v>
      </c>
      <c r="B8" s="1305" t="s">
        <v>3</v>
      </c>
      <c r="C8" s="1305" t="s">
        <v>4</v>
      </c>
      <c r="D8" s="1308" t="s">
        <v>6</v>
      </c>
      <c r="E8" s="1335" t="s">
        <v>7</v>
      </c>
      <c r="F8" s="1338" t="s">
        <v>8</v>
      </c>
      <c r="G8" s="1320" t="s">
        <v>241</v>
      </c>
      <c r="H8" s="1341" t="s">
        <v>242</v>
      </c>
      <c r="I8" s="1320" t="s">
        <v>243</v>
      </c>
      <c r="J8" s="1322" t="s">
        <v>245</v>
      </c>
      <c r="K8" s="1323"/>
      <c r="L8" s="1323"/>
      <c r="M8" s="1324"/>
    </row>
    <row r="9" spans="1:24" s="65" customFormat="1" ht="18.75" customHeight="1" x14ac:dyDescent="0.35">
      <c r="A9" s="1303"/>
      <c r="B9" s="1306"/>
      <c r="C9" s="1306"/>
      <c r="D9" s="1309"/>
      <c r="E9" s="1336"/>
      <c r="F9" s="1339"/>
      <c r="G9" s="1321"/>
      <c r="H9" s="1342"/>
      <c r="I9" s="1321"/>
      <c r="J9" s="1325" t="s">
        <v>6</v>
      </c>
      <c r="K9" s="1327" t="s">
        <v>244</v>
      </c>
      <c r="L9" s="1327"/>
      <c r="M9" s="1328"/>
    </row>
    <row r="10" spans="1:24" s="65" customFormat="1" ht="110.15" customHeight="1" thickBot="1" x14ac:dyDescent="0.4">
      <c r="A10" s="1304"/>
      <c r="B10" s="1307"/>
      <c r="C10" s="1307"/>
      <c r="D10" s="1310"/>
      <c r="E10" s="1337"/>
      <c r="F10" s="1340"/>
      <c r="G10" s="1321"/>
      <c r="H10" s="1343"/>
      <c r="I10" s="1321"/>
      <c r="J10" s="1326"/>
      <c r="K10" s="1105" t="s">
        <v>163</v>
      </c>
      <c r="L10" s="815" t="s">
        <v>164</v>
      </c>
      <c r="M10" s="1062" t="s">
        <v>165</v>
      </c>
    </row>
    <row r="11" spans="1:24" s="3" customFormat="1" ht="13.5" customHeight="1" x14ac:dyDescent="0.25">
      <c r="A11" s="1329" t="s">
        <v>9</v>
      </c>
      <c r="B11" s="1330"/>
      <c r="C11" s="1330"/>
      <c r="D11" s="1330"/>
      <c r="E11" s="1330"/>
      <c r="F11" s="1330"/>
      <c r="G11" s="1330"/>
      <c r="H11" s="1330"/>
      <c r="I11" s="1330"/>
      <c r="J11" s="1330"/>
      <c r="K11" s="1330"/>
      <c r="L11" s="1330"/>
      <c r="M11" s="1331"/>
    </row>
    <row r="12" spans="1:24" s="3" customFormat="1" ht="12.75" customHeight="1" x14ac:dyDescent="0.25">
      <c r="A12" s="1332" t="s">
        <v>10</v>
      </c>
      <c r="B12" s="1333"/>
      <c r="C12" s="1333"/>
      <c r="D12" s="1333"/>
      <c r="E12" s="1333"/>
      <c r="F12" s="1333"/>
      <c r="G12" s="1333"/>
      <c r="H12" s="1333"/>
      <c r="I12" s="1333"/>
      <c r="J12" s="1333"/>
      <c r="K12" s="1333"/>
      <c r="L12" s="1333"/>
      <c r="M12" s="1334"/>
    </row>
    <row r="13" spans="1:24" s="65" customFormat="1" ht="15" customHeight="1" x14ac:dyDescent="0.35">
      <c r="A13" s="241" t="s">
        <v>11</v>
      </c>
      <c r="B13" s="1311" t="s">
        <v>12</v>
      </c>
      <c r="C13" s="1312"/>
      <c r="D13" s="1312"/>
      <c r="E13" s="1312"/>
      <c r="F13" s="1312"/>
      <c r="G13" s="1312"/>
      <c r="H13" s="1312"/>
      <c r="I13" s="1312"/>
      <c r="J13" s="1312"/>
      <c r="K13" s="1312"/>
      <c r="L13" s="1312"/>
      <c r="M13" s="1313"/>
    </row>
    <row r="14" spans="1:24" s="65" customFormat="1" ht="14.25" customHeight="1" x14ac:dyDescent="0.35">
      <c r="A14" s="240" t="s">
        <v>11</v>
      </c>
      <c r="B14" s="239" t="s">
        <v>11</v>
      </c>
      <c r="C14" s="1314" t="s">
        <v>13</v>
      </c>
      <c r="D14" s="1315"/>
      <c r="E14" s="1315"/>
      <c r="F14" s="1315"/>
      <c r="G14" s="1315"/>
      <c r="H14" s="1315"/>
      <c r="I14" s="1315"/>
      <c r="J14" s="1315"/>
      <c r="K14" s="1315"/>
      <c r="L14" s="1315"/>
      <c r="M14" s="1316"/>
    </row>
    <row r="15" spans="1:24" s="65" customFormat="1" ht="15" customHeight="1" x14ac:dyDescent="0.35">
      <c r="A15" s="1317" t="s">
        <v>11</v>
      </c>
      <c r="B15" s="1318" t="s">
        <v>11</v>
      </c>
      <c r="C15" s="1319" t="s">
        <v>11</v>
      </c>
      <c r="D15" s="1468" t="s">
        <v>14</v>
      </c>
      <c r="E15" s="796"/>
      <c r="F15" s="161" t="s">
        <v>23</v>
      </c>
      <c r="G15" s="806">
        <v>99.7</v>
      </c>
      <c r="H15" s="800">
        <v>99.7</v>
      </c>
      <c r="I15" s="802">
        <v>99.7</v>
      </c>
      <c r="J15" s="581"/>
      <c r="K15" s="468"/>
      <c r="L15" s="231"/>
      <c r="M15" s="831"/>
      <c r="O15" s="58"/>
      <c r="P15" s="58"/>
      <c r="Q15" s="58"/>
      <c r="R15" s="58"/>
      <c r="S15" s="58"/>
      <c r="T15" s="58"/>
      <c r="U15" s="58"/>
      <c r="V15" s="58"/>
      <c r="W15" s="58"/>
      <c r="X15" s="58"/>
    </row>
    <row r="16" spans="1:24" s="65" customFormat="1" ht="15" customHeight="1" x14ac:dyDescent="0.35">
      <c r="A16" s="1317"/>
      <c r="B16" s="1318"/>
      <c r="C16" s="1319"/>
      <c r="D16" s="1469"/>
      <c r="E16" s="796"/>
      <c r="F16" s="669" t="s">
        <v>17</v>
      </c>
      <c r="G16" s="734">
        <f>4880</f>
        <v>4880</v>
      </c>
      <c r="H16" s="25">
        <f>4838</f>
        <v>4838</v>
      </c>
      <c r="I16" s="319">
        <f>4838</f>
        <v>4838</v>
      </c>
      <c r="J16" s="670"/>
      <c r="K16" s="462"/>
      <c r="L16" s="294"/>
      <c r="M16" s="287"/>
      <c r="O16" s="58"/>
      <c r="P16" s="58"/>
      <c r="Q16" s="58"/>
      <c r="R16" s="58"/>
      <c r="S16" s="58"/>
      <c r="T16" s="58"/>
      <c r="U16" s="58"/>
      <c r="V16" s="58"/>
      <c r="W16" s="58"/>
      <c r="X16" s="58"/>
    </row>
    <row r="17" spans="1:24" s="65" customFormat="1" ht="15" customHeight="1" x14ac:dyDescent="0.35">
      <c r="A17" s="1317"/>
      <c r="B17" s="1318"/>
      <c r="C17" s="1319"/>
      <c r="D17" s="292"/>
      <c r="E17" s="796"/>
      <c r="F17" s="97" t="s">
        <v>18</v>
      </c>
      <c r="G17" s="210">
        <f>384.5+390.6+13.9</f>
        <v>789</v>
      </c>
      <c r="H17" s="202">
        <f>286.3+351.8</f>
        <v>638.1</v>
      </c>
      <c r="I17" s="319">
        <v>351.8</v>
      </c>
      <c r="J17" s="670"/>
      <c r="K17" s="462"/>
      <c r="L17" s="294"/>
      <c r="M17" s="464"/>
      <c r="O17" s="58"/>
      <c r="P17" s="58"/>
      <c r="Q17" s="58"/>
      <c r="R17" s="58"/>
      <c r="S17" s="58"/>
      <c r="T17" s="58"/>
      <c r="U17" s="58"/>
      <c r="V17" s="58"/>
      <c r="W17" s="58"/>
      <c r="X17" s="58"/>
    </row>
    <row r="18" spans="1:24" s="65" customFormat="1" ht="28.5" customHeight="1" x14ac:dyDescent="0.35">
      <c r="A18" s="1317"/>
      <c r="B18" s="1318"/>
      <c r="C18" s="1319"/>
      <c r="D18" s="721" t="s">
        <v>16</v>
      </c>
      <c r="E18" s="797"/>
      <c r="F18" s="1010" t="s">
        <v>218</v>
      </c>
      <c r="G18" s="1011">
        <v>4758.2</v>
      </c>
      <c r="H18" s="1012">
        <v>4755</v>
      </c>
      <c r="I18" s="1013">
        <v>4755</v>
      </c>
      <c r="J18" s="1107" t="s">
        <v>67</v>
      </c>
      <c r="K18" s="1106" t="s">
        <v>261</v>
      </c>
      <c r="L18" s="722" t="s">
        <v>261</v>
      </c>
      <c r="M18" s="217" t="s">
        <v>261</v>
      </c>
    </row>
    <row r="19" spans="1:24" s="65" customFormat="1" ht="41.25" customHeight="1" x14ac:dyDescent="0.35">
      <c r="A19" s="155"/>
      <c r="B19" s="156"/>
      <c r="C19" s="157"/>
      <c r="D19" s="772" t="s">
        <v>19</v>
      </c>
      <c r="E19" s="798"/>
      <c r="F19" s="1014" t="s">
        <v>218</v>
      </c>
      <c r="G19" s="1015">
        <v>73</v>
      </c>
      <c r="H19" s="1016">
        <v>73</v>
      </c>
      <c r="I19" s="1017">
        <v>73</v>
      </c>
      <c r="J19" s="1108" t="s">
        <v>67</v>
      </c>
      <c r="K19" s="1272">
        <v>1.7</v>
      </c>
      <c r="L19" s="230" t="s">
        <v>127</v>
      </c>
      <c r="M19" s="723" t="s">
        <v>127</v>
      </c>
    </row>
    <row r="20" spans="1:24" s="65" customFormat="1" ht="40.5" customHeight="1" x14ac:dyDescent="0.35">
      <c r="A20" s="155"/>
      <c r="B20" s="156"/>
      <c r="C20" s="158"/>
      <c r="D20" s="159" t="s">
        <v>22</v>
      </c>
      <c r="E20" s="795"/>
      <c r="F20" s="1007"/>
      <c r="G20" s="956"/>
      <c r="H20" s="962"/>
      <c r="I20" s="963"/>
      <c r="J20" s="1109"/>
      <c r="K20" s="468"/>
      <c r="L20" s="231"/>
      <c r="M20" s="218"/>
    </row>
    <row r="21" spans="1:24" s="65" customFormat="1" ht="26.5" customHeight="1" x14ac:dyDescent="0.35">
      <c r="A21" s="1317"/>
      <c r="B21" s="1318"/>
      <c r="C21" s="1319"/>
      <c r="D21" s="1344" t="s">
        <v>24</v>
      </c>
      <c r="E21" s="716"/>
      <c r="F21" s="1018" t="s">
        <v>220</v>
      </c>
      <c r="G21" s="997">
        <v>70</v>
      </c>
      <c r="H21" s="1019">
        <v>70</v>
      </c>
      <c r="I21" s="1020">
        <v>70</v>
      </c>
      <c r="J21" s="1110" t="s">
        <v>100</v>
      </c>
      <c r="K21" s="1176">
        <v>1000</v>
      </c>
      <c r="L21" s="1189">
        <v>1000</v>
      </c>
      <c r="M21" s="1190">
        <v>1000</v>
      </c>
    </row>
    <row r="22" spans="1:24" s="65" customFormat="1" ht="16.5" customHeight="1" x14ac:dyDescent="0.35">
      <c r="A22" s="1317"/>
      <c r="B22" s="1318"/>
      <c r="C22" s="1319"/>
      <c r="D22" s="1345"/>
      <c r="E22" s="716"/>
      <c r="F22" s="1021" t="s">
        <v>221</v>
      </c>
      <c r="G22" s="1000"/>
      <c r="H22" s="1022"/>
      <c r="I22" s="1023"/>
      <c r="J22" s="844" t="s">
        <v>25</v>
      </c>
      <c r="K22" s="455">
        <v>190</v>
      </c>
      <c r="L22" s="233">
        <v>190</v>
      </c>
      <c r="M22" s="125">
        <v>190</v>
      </c>
    </row>
    <row r="23" spans="1:24" s="65" customFormat="1" ht="16.5" customHeight="1" x14ac:dyDescent="0.35">
      <c r="A23" s="1317"/>
      <c r="B23" s="1318"/>
      <c r="C23" s="1319"/>
      <c r="D23" s="90" t="s">
        <v>26</v>
      </c>
      <c r="E23" s="716"/>
      <c r="F23" s="988" t="s">
        <v>220</v>
      </c>
      <c r="G23" s="958">
        <v>29.7</v>
      </c>
      <c r="H23" s="964">
        <v>29.7</v>
      </c>
      <c r="I23" s="965">
        <v>29.7</v>
      </c>
      <c r="J23" s="1111" t="s">
        <v>101</v>
      </c>
      <c r="K23" s="1191">
        <v>3.5</v>
      </c>
      <c r="L23" s="1192">
        <v>3.5</v>
      </c>
      <c r="M23" s="1193">
        <v>3.5</v>
      </c>
    </row>
    <row r="24" spans="1:24" s="65" customFormat="1" ht="16.5" customHeight="1" x14ac:dyDescent="0.35">
      <c r="A24" s="765"/>
      <c r="B24" s="766"/>
      <c r="C24" s="767"/>
      <c r="D24" s="163"/>
      <c r="E24" s="814"/>
      <c r="F24" s="993" t="s">
        <v>221</v>
      </c>
      <c r="G24" s="960"/>
      <c r="H24" s="966"/>
      <c r="I24" s="967"/>
      <c r="J24" s="1112"/>
      <c r="K24" s="654"/>
      <c r="L24" s="234"/>
      <c r="M24" s="221"/>
    </row>
    <row r="25" spans="1:24" s="65" customFormat="1" ht="27" customHeight="1" x14ac:dyDescent="0.35">
      <c r="A25" s="1317"/>
      <c r="B25" s="1318"/>
      <c r="C25" s="1319"/>
      <c r="D25" s="1348" t="s">
        <v>29</v>
      </c>
      <c r="E25" s="795"/>
      <c r="F25" s="996" t="s">
        <v>219</v>
      </c>
      <c r="G25" s="958"/>
      <c r="H25" s="964"/>
      <c r="I25" s="965"/>
      <c r="J25" s="1113" t="s">
        <v>102</v>
      </c>
      <c r="K25" s="655">
        <v>6</v>
      </c>
      <c r="L25" s="481">
        <v>6</v>
      </c>
      <c r="M25" s="222">
        <v>6</v>
      </c>
    </row>
    <row r="26" spans="1:24" s="65" customFormat="1" ht="24.65" customHeight="1" x14ac:dyDescent="0.35">
      <c r="A26" s="1317"/>
      <c r="B26" s="1318"/>
      <c r="C26" s="1319"/>
      <c r="D26" s="1348"/>
      <c r="E26" s="796"/>
      <c r="F26" s="996" t="s">
        <v>219</v>
      </c>
      <c r="G26" s="958"/>
      <c r="H26" s="964"/>
      <c r="I26" s="965"/>
      <c r="J26" s="1111" t="s">
        <v>95</v>
      </c>
      <c r="K26" s="656">
        <v>150</v>
      </c>
      <c r="L26" s="513"/>
      <c r="M26" s="664"/>
    </row>
    <row r="27" spans="1:24" s="65" customFormat="1" ht="17.149999999999999" customHeight="1" x14ac:dyDescent="0.35">
      <c r="A27" s="1317"/>
      <c r="B27" s="1318"/>
      <c r="C27" s="1319"/>
      <c r="D27" s="1348"/>
      <c r="E27" s="808"/>
      <c r="F27" s="996" t="s">
        <v>218</v>
      </c>
      <c r="G27" s="958">
        <v>39.1</v>
      </c>
      <c r="H27" s="964">
        <v>10</v>
      </c>
      <c r="I27" s="965">
        <v>10</v>
      </c>
      <c r="J27" s="1114"/>
      <c r="K27" s="657"/>
      <c r="L27" s="235"/>
      <c r="M27" s="223"/>
    </row>
    <row r="28" spans="1:24" s="65" customFormat="1" ht="26.25" customHeight="1" x14ac:dyDescent="0.35">
      <c r="A28" s="1317"/>
      <c r="B28" s="1318"/>
      <c r="C28" s="1319"/>
      <c r="D28" s="1349" t="s">
        <v>93</v>
      </c>
      <c r="E28" s="795" t="s">
        <v>140</v>
      </c>
      <c r="F28" s="981" t="s">
        <v>219</v>
      </c>
      <c r="G28" s="956">
        <v>384.5</v>
      </c>
      <c r="H28" s="962">
        <v>286.3</v>
      </c>
      <c r="I28" s="963"/>
      <c r="J28" s="1115" t="s">
        <v>91</v>
      </c>
      <c r="K28" s="468">
        <v>170</v>
      </c>
      <c r="L28" s="231">
        <v>73</v>
      </c>
      <c r="M28" s="218"/>
    </row>
    <row r="29" spans="1:24" s="65" customFormat="1" ht="26.25" customHeight="1" x14ac:dyDescent="0.35">
      <c r="A29" s="1317"/>
      <c r="B29" s="1318"/>
      <c r="C29" s="1319"/>
      <c r="D29" s="1347"/>
      <c r="E29" s="726" t="s">
        <v>31</v>
      </c>
      <c r="F29" s="993"/>
      <c r="G29" s="960"/>
      <c r="H29" s="966"/>
      <c r="I29" s="967"/>
      <c r="J29" s="1116" t="s">
        <v>92</v>
      </c>
      <c r="K29" s="458"/>
      <c r="L29" s="293"/>
      <c r="M29" s="478"/>
    </row>
    <row r="30" spans="1:24" s="65" customFormat="1" ht="26.25" customHeight="1" x14ac:dyDescent="0.35">
      <c r="A30" s="1317"/>
      <c r="B30" s="1318"/>
      <c r="C30" s="1319"/>
      <c r="D30" s="1346" t="s">
        <v>232</v>
      </c>
      <c r="E30" s="796"/>
      <c r="F30" s="996" t="s">
        <v>218</v>
      </c>
      <c r="G30" s="958">
        <v>9.6999999999999993</v>
      </c>
      <c r="H30" s="964"/>
      <c r="I30" s="965"/>
      <c r="J30" s="1117" t="s">
        <v>153</v>
      </c>
      <c r="K30" s="263">
        <v>1</v>
      </c>
      <c r="L30" s="798"/>
      <c r="M30" s="128"/>
    </row>
    <row r="31" spans="1:24" s="65" customFormat="1" ht="14.25" customHeight="1" x14ac:dyDescent="0.35">
      <c r="A31" s="1317"/>
      <c r="B31" s="1318"/>
      <c r="C31" s="1319"/>
      <c r="D31" s="1347"/>
      <c r="E31" s="808"/>
      <c r="F31" s="97"/>
      <c r="G31" s="202"/>
      <c r="H31" s="210"/>
      <c r="I31" s="25"/>
      <c r="J31" s="1118"/>
      <c r="K31" s="348"/>
      <c r="L31" s="236"/>
      <c r="M31" s="224"/>
    </row>
    <row r="32" spans="1:24" s="65" customFormat="1" ht="14.25" customHeight="1" thickBot="1" x14ac:dyDescent="0.35">
      <c r="A32" s="148"/>
      <c r="B32" s="149"/>
      <c r="C32" s="50"/>
      <c r="D32" s="273"/>
      <c r="E32" s="274"/>
      <c r="F32" s="501" t="s">
        <v>20</v>
      </c>
      <c r="G32" s="269">
        <f>+G15+G16+G17</f>
        <v>5768.7</v>
      </c>
      <c r="H32" s="269">
        <f>+H15+H16+H17</f>
        <v>5575.8</v>
      </c>
      <c r="I32" s="269">
        <f>+I15+I16+I17</f>
        <v>5289.5</v>
      </c>
      <c r="J32" s="1119"/>
      <c r="K32" s="340"/>
      <c r="L32" s="267"/>
      <c r="M32" s="268"/>
    </row>
    <row r="33" spans="1:24" s="65" customFormat="1" ht="15" customHeight="1" thickBot="1" x14ac:dyDescent="0.4">
      <c r="A33" s="8" t="s">
        <v>11</v>
      </c>
      <c r="B33" s="9" t="s">
        <v>11</v>
      </c>
      <c r="C33" s="1356" t="s">
        <v>33</v>
      </c>
      <c r="D33" s="1357"/>
      <c r="E33" s="1357"/>
      <c r="F33" s="1358"/>
      <c r="G33" s="271">
        <f>G32</f>
        <v>5768.7</v>
      </c>
      <c r="H33" s="270">
        <f t="shared" ref="H33:I33" si="0">H32</f>
        <v>5575.8</v>
      </c>
      <c r="I33" s="271">
        <f t="shared" si="0"/>
        <v>5289.5</v>
      </c>
      <c r="J33" s="1091"/>
      <c r="K33" s="1089"/>
      <c r="L33" s="1089"/>
      <c r="M33" s="1090"/>
    </row>
    <row r="34" spans="1:24" s="65" customFormat="1" ht="18" customHeight="1" thickBot="1" x14ac:dyDescent="0.4">
      <c r="A34" s="8" t="s">
        <v>11</v>
      </c>
      <c r="B34" s="9" t="s">
        <v>21</v>
      </c>
      <c r="C34" s="1359" t="s">
        <v>34</v>
      </c>
      <c r="D34" s="1360"/>
      <c r="E34" s="1360"/>
      <c r="F34" s="1360"/>
      <c r="G34" s="1360"/>
      <c r="H34" s="1360"/>
      <c r="I34" s="1360"/>
      <c r="J34" s="1360"/>
      <c r="K34" s="1360"/>
      <c r="L34" s="1360"/>
      <c r="M34" s="1361"/>
    </row>
    <row r="35" spans="1:24" s="65" customFormat="1" ht="16.5" customHeight="1" x14ac:dyDescent="0.35">
      <c r="A35" s="1362" t="s">
        <v>11</v>
      </c>
      <c r="B35" s="1363" t="s">
        <v>21</v>
      </c>
      <c r="C35" s="1365" t="s">
        <v>11</v>
      </c>
      <c r="D35" s="1422" t="s">
        <v>64</v>
      </c>
      <c r="E35" s="676"/>
      <c r="F35" s="804" t="s">
        <v>23</v>
      </c>
      <c r="G35" s="671">
        <f>105.6+2.7</f>
        <v>108.3</v>
      </c>
      <c r="H35" s="672">
        <f>225+12</f>
        <v>237</v>
      </c>
      <c r="I35" s="673">
        <v>227.2</v>
      </c>
      <c r="J35" s="1126"/>
      <c r="K35" s="673"/>
      <c r="L35" s="672"/>
      <c r="M35" s="675"/>
      <c r="O35" s="58"/>
      <c r="P35" s="58"/>
      <c r="Q35" s="58"/>
      <c r="R35" s="58"/>
      <c r="S35" s="58"/>
      <c r="T35" s="58"/>
      <c r="U35" s="58"/>
      <c r="V35" s="58"/>
      <c r="W35" s="58"/>
      <c r="X35" s="58"/>
    </row>
    <row r="36" spans="1:24" s="65" customFormat="1" ht="16.5" customHeight="1" x14ac:dyDescent="0.35">
      <c r="A36" s="1317"/>
      <c r="B36" s="1364"/>
      <c r="C36" s="1366"/>
      <c r="D36" s="1491"/>
      <c r="E36" s="408"/>
      <c r="F36" s="669" t="s">
        <v>32</v>
      </c>
      <c r="G36" s="210">
        <f>237.8-2.7+387+211+1.1</f>
        <v>834.2</v>
      </c>
      <c r="H36" s="202">
        <f>311.2+6.3</f>
        <v>317.5</v>
      </c>
      <c r="I36" s="25">
        <v>6.3</v>
      </c>
      <c r="J36" s="1117"/>
      <c r="K36" s="25"/>
      <c r="L36" s="202"/>
      <c r="M36" s="319"/>
      <c r="O36" s="58"/>
      <c r="P36" s="58"/>
      <c r="Q36" s="58"/>
      <c r="R36" s="58"/>
      <c r="S36" s="58"/>
      <c r="T36" s="58"/>
      <c r="U36" s="58"/>
      <c r="V36" s="58"/>
      <c r="W36" s="58"/>
      <c r="X36" s="58"/>
    </row>
    <row r="37" spans="1:24" s="65" customFormat="1" ht="16.5" customHeight="1" x14ac:dyDescent="0.35">
      <c r="A37" s="1317"/>
      <c r="B37" s="1364"/>
      <c r="C37" s="1366"/>
      <c r="D37" s="1491"/>
      <c r="E37" s="408"/>
      <c r="F37" s="639" t="s">
        <v>27</v>
      </c>
      <c r="G37" s="210">
        <v>20.2</v>
      </c>
      <c r="H37" s="202"/>
      <c r="I37" s="25"/>
      <c r="J37" s="1117"/>
      <c r="K37" s="25"/>
      <c r="L37" s="202"/>
      <c r="M37" s="319"/>
      <c r="O37" s="58"/>
      <c r="P37" s="58"/>
      <c r="Q37" s="58"/>
      <c r="R37" s="58"/>
      <c r="S37" s="58"/>
      <c r="T37" s="58"/>
      <c r="U37" s="58"/>
      <c r="V37" s="58"/>
      <c r="W37" s="58"/>
      <c r="X37" s="58"/>
    </row>
    <row r="38" spans="1:24" s="65" customFormat="1" ht="16.5" customHeight="1" x14ac:dyDescent="0.35">
      <c r="A38" s="1317"/>
      <c r="B38" s="1364"/>
      <c r="C38" s="1366"/>
      <c r="D38" s="1492"/>
      <c r="E38" s="202"/>
      <c r="F38" s="1024" t="s">
        <v>201</v>
      </c>
      <c r="G38" s="210"/>
      <c r="H38" s="202"/>
      <c r="I38" s="319">
        <v>182.3</v>
      </c>
      <c r="J38" s="1117"/>
      <c r="K38" s="210"/>
      <c r="L38" s="202"/>
      <c r="M38" s="319"/>
      <c r="O38" s="58"/>
      <c r="P38" s="58"/>
      <c r="Q38" s="58"/>
      <c r="R38" s="58"/>
      <c r="S38" s="58"/>
      <c r="T38" s="58"/>
      <c r="U38" s="58"/>
      <c r="V38" s="58"/>
      <c r="W38" s="58"/>
      <c r="X38" s="58"/>
    </row>
    <row r="39" spans="1:24" s="65" customFormat="1" ht="16.5" customHeight="1" x14ac:dyDescent="0.35">
      <c r="A39" s="1317"/>
      <c r="B39" s="1364"/>
      <c r="C39" s="1366"/>
      <c r="D39" s="1367" t="s">
        <v>35</v>
      </c>
      <c r="E39" s="1368" t="s">
        <v>141</v>
      </c>
      <c r="F39" s="981" t="s">
        <v>220</v>
      </c>
      <c r="G39" s="955">
        <v>37.700000000000003</v>
      </c>
      <c r="H39" s="956">
        <v>40</v>
      </c>
      <c r="I39" s="957">
        <v>40</v>
      </c>
      <c r="J39" s="1109" t="s">
        <v>36</v>
      </c>
      <c r="K39" s="437">
        <v>6</v>
      </c>
      <c r="L39" s="642">
        <v>4</v>
      </c>
      <c r="M39" s="1054">
        <v>4</v>
      </c>
    </row>
    <row r="40" spans="1:24" s="65" customFormat="1" ht="13.5" customHeight="1" x14ac:dyDescent="0.35">
      <c r="A40" s="1317"/>
      <c r="B40" s="1364"/>
      <c r="C40" s="1366"/>
      <c r="D40" s="1355"/>
      <c r="E40" s="1369"/>
      <c r="F40" s="1006"/>
      <c r="G40" s="958"/>
      <c r="H40" s="958"/>
      <c r="I40" s="965"/>
      <c r="J40" s="1127"/>
      <c r="K40" s="251"/>
      <c r="L40" s="643"/>
      <c r="M40" s="1055"/>
    </row>
    <row r="41" spans="1:24" s="65" customFormat="1" ht="26.5" customHeight="1" x14ac:dyDescent="0.35">
      <c r="A41" s="114"/>
      <c r="B41" s="777"/>
      <c r="C41" s="779"/>
      <c r="D41" s="29" t="s">
        <v>37</v>
      </c>
      <c r="E41" s="1350" t="s">
        <v>140</v>
      </c>
      <c r="F41" s="1007" t="s">
        <v>220</v>
      </c>
      <c r="G41" s="956">
        <v>15.8</v>
      </c>
      <c r="H41" s="956">
        <v>15</v>
      </c>
      <c r="I41" s="963">
        <v>15</v>
      </c>
      <c r="J41" s="1352" t="s">
        <v>233</v>
      </c>
      <c r="K41" s="252">
        <v>10</v>
      </c>
      <c r="L41" s="252">
        <v>10</v>
      </c>
      <c r="M41" s="121">
        <v>10</v>
      </c>
    </row>
    <row r="42" spans="1:24" s="65" customFormat="1" ht="26.5" customHeight="1" x14ac:dyDescent="0.35">
      <c r="A42" s="114"/>
      <c r="B42" s="777"/>
      <c r="C42" s="779"/>
      <c r="D42" s="34"/>
      <c r="E42" s="1351"/>
      <c r="F42" s="988"/>
      <c r="G42" s="958"/>
      <c r="H42" s="958"/>
      <c r="I42" s="965"/>
      <c r="J42" s="1353"/>
      <c r="K42" s="438"/>
      <c r="L42" s="255"/>
      <c r="M42" s="122"/>
    </row>
    <row r="43" spans="1:24" s="65" customFormat="1" ht="28.5" customHeight="1" x14ac:dyDescent="0.35">
      <c r="A43" s="114"/>
      <c r="B43" s="777"/>
      <c r="C43" s="767"/>
      <c r="D43" s="52" t="s">
        <v>79</v>
      </c>
      <c r="E43" s="99"/>
      <c r="F43" s="1008" t="s">
        <v>220</v>
      </c>
      <c r="G43" s="973">
        <f>10-5</f>
        <v>5</v>
      </c>
      <c r="H43" s="973">
        <v>10</v>
      </c>
      <c r="I43" s="1003">
        <v>10</v>
      </c>
      <c r="J43" s="1120" t="s">
        <v>80</v>
      </c>
      <c r="K43" s="253">
        <v>100</v>
      </c>
      <c r="L43" s="253">
        <v>200</v>
      </c>
      <c r="M43" s="123">
        <v>200</v>
      </c>
    </row>
    <row r="44" spans="1:24" s="65" customFormat="1" ht="26.25" customHeight="1" x14ac:dyDescent="0.35">
      <c r="A44" s="765"/>
      <c r="B44" s="777"/>
      <c r="C44" s="779"/>
      <c r="D44" s="1354" t="s">
        <v>259</v>
      </c>
      <c r="E44" s="795" t="s">
        <v>123</v>
      </c>
      <c r="F44" s="981" t="s">
        <v>220</v>
      </c>
      <c r="G44" s="997">
        <v>14.6</v>
      </c>
      <c r="H44" s="956"/>
      <c r="I44" s="957"/>
      <c r="J44" s="1121" t="s">
        <v>169</v>
      </c>
      <c r="K44" s="848">
        <v>8</v>
      </c>
      <c r="L44" s="405">
        <v>2</v>
      </c>
      <c r="M44" s="406"/>
    </row>
    <row r="45" spans="1:24" s="65" customFormat="1" ht="26.25" customHeight="1" x14ac:dyDescent="0.35">
      <c r="A45" s="1025"/>
      <c r="B45" s="1026"/>
      <c r="C45" s="1027"/>
      <c r="D45" s="1367"/>
      <c r="E45" s="1028"/>
      <c r="F45" s="988"/>
      <c r="G45" s="964"/>
      <c r="H45" s="958"/>
      <c r="I45" s="969"/>
      <c r="J45" s="844" t="s">
        <v>136</v>
      </c>
      <c r="K45" s="848"/>
      <c r="L45" s="405">
        <v>2</v>
      </c>
      <c r="M45" s="874"/>
    </row>
    <row r="46" spans="1:24" s="65" customFormat="1" ht="18.75" customHeight="1" x14ac:dyDescent="0.35">
      <c r="A46" s="765"/>
      <c r="B46" s="777"/>
      <c r="C46" s="779"/>
      <c r="D46" s="1355"/>
      <c r="E46" s="666"/>
      <c r="F46" s="993" t="s">
        <v>220</v>
      </c>
      <c r="G46" s="989"/>
      <c r="H46" s="960">
        <v>100</v>
      </c>
      <c r="I46" s="961">
        <v>100</v>
      </c>
      <c r="J46" s="1122" t="s">
        <v>180</v>
      </c>
      <c r="K46" s="856">
        <v>2</v>
      </c>
      <c r="L46" s="490">
        <v>1</v>
      </c>
      <c r="M46" s="177">
        <v>1</v>
      </c>
    </row>
    <row r="47" spans="1:24" s="65" customFormat="1" ht="40.5" customHeight="1" x14ac:dyDescent="0.35">
      <c r="A47" s="765"/>
      <c r="B47" s="777"/>
      <c r="C47" s="407"/>
      <c r="D47" s="409" t="s">
        <v>182</v>
      </c>
      <c r="E47" s="410"/>
      <c r="F47" s="993" t="s">
        <v>220</v>
      </c>
      <c r="G47" s="1005">
        <f>60-30</f>
        <v>30</v>
      </c>
      <c r="H47" s="973">
        <f>60</f>
        <v>60</v>
      </c>
      <c r="I47" s="1003">
        <v>30</v>
      </c>
      <c r="J47" s="1123" t="s">
        <v>171</v>
      </c>
      <c r="K47" s="253"/>
      <c r="L47" s="256">
        <v>50</v>
      </c>
      <c r="M47" s="423">
        <v>100</v>
      </c>
    </row>
    <row r="48" spans="1:24" s="65" customFormat="1" ht="39.75" customHeight="1" x14ac:dyDescent="0.35">
      <c r="A48" s="765"/>
      <c r="B48" s="777"/>
      <c r="C48" s="407"/>
      <c r="D48" s="409" t="s">
        <v>234</v>
      </c>
      <c r="E48" s="451"/>
      <c r="F48" s="988" t="s">
        <v>220</v>
      </c>
      <c r="G48" s="973">
        <v>2.5</v>
      </c>
      <c r="H48" s="960"/>
      <c r="I48" s="1003"/>
      <c r="J48" s="1123" t="s">
        <v>172</v>
      </c>
      <c r="K48" s="253">
        <v>1</v>
      </c>
      <c r="L48" s="256"/>
      <c r="M48" s="123"/>
    </row>
    <row r="49" spans="1:13" s="65" customFormat="1" ht="29.15" customHeight="1" x14ac:dyDescent="0.35">
      <c r="A49" s="765"/>
      <c r="B49" s="777"/>
      <c r="C49" s="407"/>
      <c r="D49" s="1354" t="s">
        <v>200</v>
      </c>
      <c r="E49" s="724" t="s">
        <v>123</v>
      </c>
      <c r="F49" s="981" t="s">
        <v>222</v>
      </c>
      <c r="G49" s="956"/>
      <c r="H49" s="956"/>
      <c r="I49" s="968">
        <v>182.3</v>
      </c>
      <c r="J49" s="1121" t="s">
        <v>202</v>
      </c>
      <c r="K49" s="424"/>
      <c r="L49" s="402"/>
      <c r="M49" s="403">
        <v>2</v>
      </c>
    </row>
    <row r="50" spans="1:13" s="65" customFormat="1" ht="29.15" customHeight="1" x14ac:dyDescent="0.35">
      <c r="A50" s="765"/>
      <c r="B50" s="777"/>
      <c r="C50" s="407"/>
      <c r="D50" s="1355"/>
      <c r="E50" s="726" t="s">
        <v>31</v>
      </c>
      <c r="F50" s="993" t="s">
        <v>220</v>
      </c>
      <c r="G50" s="1009"/>
      <c r="H50" s="1009"/>
      <c r="I50" s="961">
        <v>32.200000000000003</v>
      </c>
      <c r="J50" s="1124" t="s">
        <v>203</v>
      </c>
      <c r="K50" s="251"/>
      <c r="L50" s="643"/>
      <c r="M50" s="789">
        <v>3</v>
      </c>
    </row>
    <row r="51" spans="1:13" s="65" customFormat="1" ht="29.15" customHeight="1" x14ac:dyDescent="0.35">
      <c r="A51" s="765"/>
      <c r="B51" s="777"/>
      <c r="C51" s="407"/>
      <c r="D51" s="772" t="s">
        <v>215</v>
      </c>
      <c r="E51" s="451"/>
      <c r="F51" s="988" t="s">
        <v>220</v>
      </c>
      <c r="G51" s="1235"/>
      <c r="H51" s="973">
        <v>12</v>
      </c>
      <c r="I51" s="974"/>
      <c r="J51" s="1124" t="s">
        <v>104</v>
      </c>
      <c r="K51" s="256"/>
      <c r="L51" s="798">
        <v>1</v>
      </c>
      <c r="M51" s="423"/>
    </row>
    <row r="52" spans="1:13" s="65" customFormat="1" ht="41.15" customHeight="1" x14ac:dyDescent="0.35">
      <c r="A52" s="1161"/>
      <c r="B52" s="1162"/>
      <c r="C52" s="407"/>
      <c r="D52" s="421" t="s">
        <v>267</v>
      </c>
      <c r="E52" s="1205"/>
      <c r="F52" s="1206"/>
      <c r="G52" s="1004">
        <v>1.1000000000000001</v>
      </c>
      <c r="H52" s="1004"/>
      <c r="I52" s="1004"/>
      <c r="J52" s="1117" t="s">
        <v>268</v>
      </c>
      <c r="K52" s="263">
        <v>6</v>
      </c>
      <c r="L52" s="256">
        <v>6</v>
      </c>
      <c r="M52" s="1247">
        <v>6</v>
      </c>
    </row>
    <row r="53" spans="1:13" s="65" customFormat="1" ht="18" customHeight="1" thickBot="1" x14ac:dyDescent="0.35">
      <c r="A53" s="148"/>
      <c r="B53" s="149"/>
      <c r="C53" s="49"/>
      <c r="D53" s="278"/>
      <c r="E53" s="280"/>
      <c r="F53" s="501" t="s">
        <v>20</v>
      </c>
      <c r="G53" s="260">
        <f>+G35+G38+G36+G37</f>
        <v>962.7</v>
      </c>
      <c r="H53" s="260">
        <f>+H35+H38+H36+H37</f>
        <v>554.5</v>
      </c>
      <c r="I53" s="260">
        <f>+I35+I38+I36+I37</f>
        <v>415.8</v>
      </c>
      <c r="J53" s="1125"/>
      <c r="K53" s="340"/>
      <c r="L53" s="267"/>
      <c r="M53" s="453"/>
    </row>
    <row r="54" spans="1:13" s="65" customFormat="1" ht="17.25" customHeight="1" thickBot="1" x14ac:dyDescent="0.4">
      <c r="A54" s="12" t="s">
        <v>11</v>
      </c>
      <c r="B54" s="9" t="s">
        <v>21</v>
      </c>
      <c r="C54" s="1357" t="s">
        <v>33</v>
      </c>
      <c r="D54" s="1357"/>
      <c r="E54" s="1357"/>
      <c r="F54" s="1358"/>
      <c r="G54" s="261">
        <f t="shared" ref="G54:I54" si="1">G53</f>
        <v>962.7</v>
      </c>
      <c r="H54" s="261">
        <f t="shared" si="1"/>
        <v>554.5</v>
      </c>
      <c r="I54" s="259">
        <f t="shared" si="1"/>
        <v>415.8</v>
      </c>
      <c r="J54" s="1379"/>
      <c r="K54" s="1380"/>
      <c r="L54" s="1380"/>
      <c r="M54" s="1381"/>
    </row>
    <row r="55" spans="1:13" s="65" customFormat="1" ht="16.5" customHeight="1" thickBot="1" x14ac:dyDescent="0.4">
      <c r="A55" s="8" t="s">
        <v>11</v>
      </c>
      <c r="B55" s="9" t="s">
        <v>28</v>
      </c>
      <c r="C55" s="1382" t="s">
        <v>38</v>
      </c>
      <c r="D55" s="1382"/>
      <c r="E55" s="1382"/>
      <c r="F55" s="1382"/>
      <c r="G55" s="1382"/>
      <c r="H55" s="1382"/>
      <c r="I55" s="1382"/>
      <c r="J55" s="1382"/>
      <c r="K55" s="1382"/>
      <c r="L55" s="1382"/>
      <c r="M55" s="1383"/>
    </row>
    <row r="56" spans="1:13" s="65" customFormat="1" ht="17.25" customHeight="1" x14ac:dyDescent="0.35">
      <c r="A56" s="117" t="s">
        <v>11</v>
      </c>
      <c r="B56" s="776" t="s">
        <v>28</v>
      </c>
      <c r="C56" s="619" t="s">
        <v>11</v>
      </c>
      <c r="D56" s="41" t="s">
        <v>62</v>
      </c>
      <c r="E56" s="681"/>
      <c r="F56" s="94" t="s">
        <v>32</v>
      </c>
      <c r="G56" s="672"/>
      <c r="H56" s="672"/>
      <c r="I56" s="675">
        <v>500</v>
      </c>
      <c r="J56" s="671"/>
      <c r="K56" s="677"/>
      <c r="L56" s="672"/>
      <c r="M56" s="675"/>
    </row>
    <row r="57" spans="1:13" s="65" customFormat="1" ht="17.25" customHeight="1" x14ac:dyDescent="0.35">
      <c r="A57" s="114"/>
      <c r="B57" s="777"/>
      <c r="C57" s="678"/>
      <c r="D57" s="665"/>
      <c r="E57" s="255"/>
      <c r="F57" s="639" t="s">
        <v>23</v>
      </c>
      <c r="G57" s="734">
        <v>68.3</v>
      </c>
      <c r="H57" s="202">
        <v>163.5</v>
      </c>
      <c r="I57" s="319">
        <v>233.5</v>
      </c>
      <c r="J57" s="734"/>
      <c r="K57" s="210"/>
      <c r="L57" s="202"/>
      <c r="M57" s="377"/>
    </row>
    <row r="58" spans="1:13" s="65" customFormat="1" ht="17.25" customHeight="1" x14ac:dyDescent="0.35">
      <c r="A58" s="114"/>
      <c r="B58" s="777"/>
      <c r="C58" s="678"/>
      <c r="D58" s="665"/>
      <c r="E58" s="679"/>
      <c r="F58" s="38" t="s">
        <v>27</v>
      </c>
      <c r="G58" s="648">
        <f>84.7-20.2</f>
        <v>64.5</v>
      </c>
      <c r="H58" s="202"/>
      <c r="I58" s="803"/>
      <c r="J58" s="648"/>
      <c r="K58" s="33"/>
      <c r="L58" s="801"/>
      <c r="M58" s="378"/>
    </row>
    <row r="59" spans="1:13" s="65" customFormat="1" ht="17.25" customHeight="1" x14ac:dyDescent="0.35">
      <c r="A59" s="114"/>
      <c r="B59" s="777"/>
      <c r="C59" s="281"/>
      <c r="D59" s="773" t="s">
        <v>39</v>
      </c>
      <c r="E59" s="790" t="s">
        <v>140</v>
      </c>
      <c r="F59" s="988" t="s">
        <v>220</v>
      </c>
      <c r="G59" s="958">
        <v>11</v>
      </c>
      <c r="H59" s="956">
        <v>11</v>
      </c>
      <c r="I59" s="965">
        <v>11</v>
      </c>
      <c r="J59" s="1111" t="s">
        <v>68</v>
      </c>
      <c r="K59" s="437">
        <v>17</v>
      </c>
      <c r="L59" s="263">
        <v>17</v>
      </c>
      <c r="M59" s="124">
        <v>17</v>
      </c>
    </row>
    <row r="60" spans="1:13" s="65" customFormat="1" ht="15" customHeight="1" x14ac:dyDescent="0.35">
      <c r="A60" s="114"/>
      <c r="B60" s="777"/>
      <c r="C60" s="779"/>
      <c r="D60" s="86"/>
      <c r="E60" s="784"/>
      <c r="F60" s="993"/>
      <c r="G60" s="960"/>
      <c r="H60" s="960"/>
      <c r="I60" s="967"/>
      <c r="J60" s="1112"/>
      <c r="K60" s="251"/>
      <c r="L60" s="643"/>
      <c r="M60" s="177"/>
    </row>
    <row r="61" spans="1:13" s="65" customFormat="1" ht="21" customHeight="1" x14ac:dyDescent="0.35">
      <c r="A61" s="114"/>
      <c r="B61" s="777"/>
      <c r="C61" s="779"/>
      <c r="D61" s="1354" t="s">
        <v>40</v>
      </c>
      <c r="E61" s="720" t="s">
        <v>126</v>
      </c>
      <c r="F61" s="994" t="s">
        <v>220</v>
      </c>
      <c r="G61" s="956">
        <f>22.5-4</f>
        <v>18.5</v>
      </c>
      <c r="H61" s="956">
        <v>22.5</v>
      </c>
      <c r="I61" s="963">
        <v>22.5</v>
      </c>
      <c r="J61" s="1352" t="s">
        <v>235</v>
      </c>
      <c r="K61" s="1167">
        <v>4.5</v>
      </c>
      <c r="L61" s="1167">
        <v>5.5</v>
      </c>
      <c r="M61" s="1273">
        <v>5.5</v>
      </c>
    </row>
    <row r="62" spans="1:13" s="65" customFormat="1" ht="21" customHeight="1" x14ac:dyDescent="0.35">
      <c r="A62" s="114"/>
      <c r="B62" s="777"/>
      <c r="C62" s="779"/>
      <c r="D62" s="1384"/>
      <c r="E62" s="586"/>
      <c r="F62" s="995"/>
      <c r="G62" s="960"/>
      <c r="H62" s="960"/>
      <c r="I62" s="967"/>
      <c r="J62" s="1385"/>
      <c r="K62" s="587"/>
      <c r="L62" s="290"/>
      <c r="M62" s="284"/>
    </row>
    <row r="63" spans="1:13" s="65" customFormat="1" ht="14.25" customHeight="1" x14ac:dyDescent="0.35">
      <c r="A63" s="114"/>
      <c r="B63" s="777"/>
      <c r="C63" s="779"/>
      <c r="D63" s="1354" t="s">
        <v>103</v>
      </c>
      <c r="E63" s="585" t="s">
        <v>126</v>
      </c>
      <c r="F63" s="996" t="s">
        <v>220</v>
      </c>
      <c r="G63" s="958"/>
      <c r="H63" s="997"/>
      <c r="I63" s="998"/>
      <c r="J63" s="1374" t="s">
        <v>129</v>
      </c>
      <c r="K63" s="852"/>
      <c r="L63" s="291"/>
      <c r="M63" s="285"/>
    </row>
    <row r="64" spans="1:13" s="65" customFormat="1" ht="14.25" customHeight="1" x14ac:dyDescent="0.35">
      <c r="A64" s="114"/>
      <c r="B64" s="777"/>
      <c r="C64" s="779"/>
      <c r="D64" s="1367"/>
      <c r="E64" s="641"/>
      <c r="F64" s="996" t="s">
        <v>221</v>
      </c>
      <c r="G64" s="958"/>
      <c r="H64" s="958"/>
      <c r="I64" s="969"/>
      <c r="J64" s="1375"/>
      <c r="K64" s="851"/>
      <c r="L64" s="292"/>
      <c r="M64" s="464"/>
    </row>
    <row r="65" spans="1:24" s="65" customFormat="1" ht="14.25" customHeight="1" x14ac:dyDescent="0.35">
      <c r="A65" s="114"/>
      <c r="B65" s="777"/>
      <c r="C65" s="779"/>
      <c r="D65" s="780"/>
      <c r="E65" s="641"/>
      <c r="F65" s="996" t="s">
        <v>223</v>
      </c>
      <c r="G65" s="986"/>
      <c r="H65" s="958"/>
      <c r="I65" s="969">
        <v>400</v>
      </c>
      <c r="J65" s="1374" t="s">
        <v>185</v>
      </c>
      <c r="K65" s="462"/>
      <c r="L65" s="294"/>
      <c r="M65" s="287">
        <v>100</v>
      </c>
    </row>
    <row r="66" spans="1:24" s="65" customFormat="1" ht="14.25" customHeight="1" x14ac:dyDescent="0.35">
      <c r="A66" s="114"/>
      <c r="B66" s="777"/>
      <c r="C66" s="779"/>
      <c r="D66" s="780"/>
      <c r="E66" s="641"/>
      <c r="F66" s="999" t="s">
        <v>220</v>
      </c>
      <c r="G66" s="1000"/>
      <c r="H66" s="1000"/>
      <c r="I66" s="1001">
        <v>100</v>
      </c>
      <c r="J66" s="1375"/>
      <c r="K66" s="851"/>
      <c r="L66" s="292"/>
      <c r="M66" s="464"/>
    </row>
    <row r="67" spans="1:24" s="65" customFormat="1" ht="27.75" customHeight="1" x14ac:dyDescent="0.35">
      <c r="A67" s="114"/>
      <c r="B67" s="777"/>
      <c r="C67" s="779"/>
      <c r="D67" s="414" t="s">
        <v>109</v>
      </c>
      <c r="E67" s="416"/>
      <c r="F67" s="1002" t="s">
        <v>220</v>
      </c>
      <c r="G67" s="973"/>
      <c r="H67" s="973"/>
      <c r="I67" s="1003"/>
      <c r="J67" s="1120" t="s">
        <v>104</v>
      </c>
      <c r="K67" s="207"/>
      <c r="L67" s="198"/>
      <c r="M67" s="418"/>
    </row>
    <row r="68" spans="1:24" s="65" customFormat="1" ht="20.25" customHeight="1" x14ac:dyDescent="0.35">
      <c r="A68" s="114"/>
      <c r="B68" s="777"/>
      <c r="C68" s="779"/>
      <c r="D68" s="1376" t="s">
        <v>173</v>
      </c>
      <c r="E68" s="790" t="s">
        <v>140</v>
      </c>
      <c r="F68" s="994" t="s">
        <v>220</v>
      </c>
      <c r="G68" s="958">
        <f>68.8-30</f>
        <v>38.799999999999997</v>
      </c>
      <c r="H68" s="958">
        <f>100+30</f>
        <v>130</v>
      </c>
      <c r="I68" s="965">
        <v>100</v>
      </c>
      <c r="J68" s="1128" t="s">
        <v>191</v>
      </c>
      <c r="K68" s="592"/>
      <c r="L68" s="1274">
        <v>1</v>
      </c>
      <c r="M68" s="493"/>
    </row>
    <row r="69" spans="1:24" s="65" customFormat="1" ht="20.25" customHeight="1" x14ac:dyDescent="0.35">
      <c r="A69" s="114"/>
      <c r="B69" s="777"/>
      <c r="C69" s="407"/>
      <c r="D69" s="1377"/>
      <c r="E69" s="727" t="s">
        <v>31</v>
      </c>
      <c r="F69" s="996" t="s">
        <v>223</v>
      </c>
      <c r="G69" s="958"/>
      <c r="H69" s="958"/>
      <c r="I69" s="969">
        <v>100</v>
      </c>
      <c r="J69" s="1129" t="s">
        <v>192</v>
      </c>
      <c r="K69" s="1176">
        <v>1</v>
      </c>
      <c r="L69" s="232"/>
      <c r="M69" s="496"/>
    </row>
    <row r="70" spans="1:24" s="65" customFormat="1" ht="30" customHeight="1" x14ac:dyDescent="0.35">
      <c r="A70" s="114"/>
      <c r="B70" s="777"/>
      <c r="C70" s="407"/>
      <c r="D70" s="1378"/>
      <c r="E70" s="591"/>
      <c r="F70" s="995"/>
      <c r="G70" s="1004"/>
      <c r="H70" s="958"/>
      <c r="I70" s="961"/>
      <c r="J70" s="1130" t="s">
        <v>207</v>
      </c>
      <c r="K70" s="592"/>
      <c r="L70" s="1275">
        <v>30</v>
      </c>
      <c r="M70" s="1276">
        <v>100</v>
      </c>
    </row>
    <row r="71" spans="1:24" s="65" customFormat="1" ht="31" customHeight="1" x14ac:dyDescent="0.35">
      <c r="A71" s="114"/>
      <c r="B71" s="777"/>
      <c r="C71" s="407"/>
      <c r="D71" s="810" t="s">
        <v>204</v>
      </c>
      <c r="E71" s="590"/>
      <c r="F71" s="1002" t="s">
        <v>221</v>
      </c>
      <c r="G71" s="1005">
        <v>84.7</v>
      </c>
      <c r="H71" s="1005"/>
      <c r="I71" s="1005"/>
      <c r="J71" s="1120" t="s">
        <v>192</v>
      </c>
      <c r="K71" s="1168">
        <v>1</v>
      </c>
      <c r="L71" s="518"/>
      <c r="M71" s="519"/>
    </row>
    <row r="72" spans="1:24" s="65" customFormat="1" ht="18" customHeight="1" thickBot="1" x14ac:dyDescent="0.35">
      <c r="A72" s="148"/>
      <c r="B72" s="149"/>
      <c r="C72" s="50"/>
      <c r="D72" s="273"/>
      <c r="E72" s="594"/>
      <c r="F72" s="68" t="s">
        <v>20</v>
      </c>
      <c r="G72" s="260">
        <f>+G56+G57+G58</f>
        <v>132.80000000000001</v>
      </c>
      <c r="H72" s="260">
        <f t="shared" ref="H72:I72" si="2">+H56+H57+H58</f>
        <v>163.5</v>
      </c>
      <c r="I72" s="260">
        <f t="shared" si="2"/>
        <v>733.5</v>
      </c>
      <c r="J72" s="1131"/>
      <c r="K72" s="340"/>
      <c r="L72" s="267"/>
      <c r="M72" s="453"/>
    </row>
    <row r="73" spans="1:24" s="65" customFormat="1" ht="13.5" customHeight="1" x14ac:dyDescent="0.35">
      <c r="A73" s="117" t="s">
        <v>11</v>
      </c>
      <c r="B73" s="776" t="s">
        <v>28</v>
      </c>
      <c r="C73" s="778" t="s">
        <v>21</v>
      </c>
      <c r="D73" s="1386" t="s">
        <v>41</v>
      </c>
      <c r="E73" s="682"/>
      <c r="F73" s="106" t="s">
        <v>32</v>
      </c>
      <c r="G73" s="671">
        <f>753.8+19-100-38.6-190.9-7.8</f>
        <v>435.49999999999994</v>
      </c>
      <c r="H73" s="677">
        <f>311.1+37+4+100+38.6+332.2</f>
        <v>822.90000000000009</v>
      </c>
      <c r="I73" s="673"/>
      <c r="J73" s="671"/>
      <c r="K73" s="673"/>
      <c r="L73" s="672"/>
      <c r="M73" s="675"/>
      <c r="O73" s="58"/>
      <c r="P73" s="58"/>
      <c r="Q73" s="58"/>
      <c r="R73" s="58"/>
      <c r="S73" s="58"/>
      <c r="T73" s="58"/>
      <c r="U73" s="58"/>
      <c r="V73" s="58"/>
      <c r="W73" s="58"/>
      <c r="X73" s="58"/>
    </row>
    <row r="74" spans="1:24" s="65" customFormat="1" ht="13.5" customHeight="1" x14ac:dyDescent="0.35">
      <c r="A74" s="114"/>
      <c r="B74" s="777"/>
      <c r="C74" s="779"/>
      <c r="D74" s="1387"/>
      <c r="E74" s="64"/>
      <c r="F74" s="639" t="s">
        <v>23</v>
      </c>
      <c r="G74" s="210">
        <f>78.8+8-2.7</f>
        <v>84.1</v>
      </c>
      <c r="H74" s="210">
        <f>79.8+13.9</f>
        <v>93.7</v>
      </c>
      <c r="I74" s="25">
        <f>79.8+34.2</f>
        <v>114</v>
      </c>
      <c r="J74" s="734"/>
      <c r="K74" s="25"/>
      <c r="L74" s="202"/>
      <c r="M74" s="319"/>
      <c r="O74" s="58"/>
      <c r="P74" s="58"/>
      <c r="Q74" s="58"/>
      <c r="R74" s="58"/>
      <c r="S74" s="58"/>
      <c r="T74" s="58"/>
      <c r="U74" s="58"/>
      <c r="V74" s="58"/>
      <c r="W74" s="58"/>
      <c r="X74" s="58"/>
    </row>
    <row r="75" spans="1:24" s="65" customFormat="1" ht="13.5" customHeight="1" x14ac:dyDescent="0.35">
      <c r="A75" s="114"/>
      <c r="B75" s="777"/>
      <c r="C75" s="779"/>
      <c r="D75" s="210"/>
      <c r="E75" s="64"/>
      <c r="F75" s="37" t="s">
        <v>75</v>
      </c>
      <c r="G75" s="210">
        <v>521.29999999999995</v>
      </c>
      <c r="H75" s="210"/>
      <c r="I75" s="25"/>
      <c r="J75" s="734"/>
      <c r="K75" s="25"/>
      <c r="L75" s="202"/>
      <c r="M75" s="319"/>
      <c r="O75" s="58"/>
      <c r="P75" s="58"/>
      <c r="Q75" s="58"/>
      <c r="R75" s="58"/>
      <c r="S75" s="58"/>
      <c r="T75" s="58"/>
      <c r="U75" s="58"/>
      <c r="V75" s="58"/>
      <c r="W75" s="58"/>
      <c r="X75" s="58"/>
    </row>
    <row r="76" spans="1:24" s="65" customFormat="1" ht="13.5" customHeight="1" x14ac:dyDescent="0.35">
      <c r="A76" s="114"/>
      <c r="B76" s="777"/>
      <c r="C76" s="779"/>
      <c r="D76" s="210"/>
      <c r="E76" s="64"/>
      <c r="F76" s="146" t="s">
        <v>44</v>
      </c>
      <c r="G76" s="210">
        <v>44.7</v>
      </c>
      <c r="H76" s="210"/>
      <c r="I76" s="25"/>
      <c r="J76" s="734"/>
      <c r="K76" s="25"/>
      <c r="L76" s="202"/>
      <c r="M76" s="319"/>
      <c r="O76" s="58"/>
      <c r="P76" s="58"/>
      <c r="Q76" s="58"/>
      <c r="R76" s="58"/>
      <c r="S76" s="58"/>
      <c r="T76" s="58"/>
      <c r="U76" s="58"/>
      <c r="V76" s="58"/>
      <c r="W76" s="58"/>
      <c r="X76" s="58"/>
    </row>
    <row r="77" spans="1:24" s="65" customFormat="1" ht="13.5" customHeight="1" x14ac:dyDescent="0.35">
      <c r="A77" s="114"/>
      <c r="B77" s="777"/>
      <c r="C77" s="779"/>
      <c r="D77" s="210"/>
      <c r="E77" s="64"/>
      <c r="F77" s="146" t="s">
        <v>70</v>
      </c>
      <c r="G77" s="210">
        <v>22</v>
      </c>
      <c r="H77" s="210">
        <v>22</v>
      </c>
      <c r="I77" s="25"/>
      <c r="J77" s="734"/>
      <c r="K77" s="25"/>
      <c r="L77" s="202"/>
      <c r="M77" s="319"/>
      <c r="O77" s="58"/>
      <c r="P77" s="58"/>
      <c r="Q77" s="58"/>
      <c r="R77" s="58"/>
      <c r="S77" s="58"/>
      <c r="T77" s="58"/>
      <c r="U77" s="58"/>
      <c r="V77" s="58"/>
      <c r="W77" s="58"/>
      <c r="X77" s="58"/>
    </row>
    <row r="78" spans="1:24" s="65" customFormat="1" ht="13.5" customHeight="1" x14ac:dyDescent="0.35">
      <c r="A78" s="114"/>
      <c r="B78" s="777"/>
      <c r="C78" s="779"/>
      <c r="D78" s="210"/>
      <c r="E78" s="64"/>
      <c r="F78" s="37" t="s">
        <v>74</v>
      </c>
      <c r="G78" s="210">
        <v>177.4</v>
      </c>
      <c r="H78" s="210"/>
      <c r="I78" s="25"/>
      <c r="J78" s="734"/>
      <c r="K78" s="25"/>
      <c r="L78" s="202"/>
      <c r="M78" s="319"/>
      <c r="O78" s="58"/>
      <c r="P78" s="58"/>
      <c r="Q78" s="58"/>
      <c r="R78" s="58"/>
      <c r="S78" s="58"/>
      <c r="T78" s="58"/>
      <c r="U78" s="58"/>
      <c r="V78" s="58"/>
      <c r="W78" s="58"/>
      <c r="X78" s="58"/>
    </row>
    <row r="79" spans="1:24" s="65" customFormat="1" ht="13.5" customHeight="1" x14ac:dyDescent="0.35">
      <c r="A79" s="114"/>
      <c r="B79" s="777"/>
      <c r="C79" s="779"/>
      <c r="D79" s="210"/>
      <c r="E79" s="64"/>
      <c r="F79" s="74" t="s">
        <v>94</v>
      </c>
      <c r="G79" s="210">
        <v>0.1</v>
      </c>
      <c r="H79" s="210"/>
      <c r="I79" s="25"/>
      <c r="J79" s="734"/>
      <c r="K79" s="25"/>
      <c r="L79" s="202"/>
      <c r="M79" s="319"/>
      <c r="O79" s="58"/>
      <c r="P79" s="58"/>
      <c r="Q79" s="58"/>
      <c r="R79" s="58"/>
      <c r="S79" s="58"/>
      <c r="T79" s="58"/>
      <c r="U79" s="58"/>
      <c r="V79" s="58"/>
      <c r="W79" s="58"/>
      <c r="X79" s="58"/>
    </row>
    <row r="80" spans="1:24" s="65" customFormat="1" ht="13.5" customHeight="1" x14ac:dyDescent="0.35">
      <c r="A80" s="114"/>
      <c r="B80" s="777"/>
      <c r="C80" s="779"/>
      <c r="D80" s="210"/>
      <c r="E80" s="64"/>
      <c r="F80" s="74" t="s">
        <v>27</v>
      </c>
      <c r="G80" s="210">
        <v>142.69999999999999</v>
      </c>
      <c r="H80" s="210"/>
      <c r="I80" s="25"/>
      <c r="J80" s="734"/>
      <c r="K80" s="25"/>
      <c r="L80" s="202"/>
      <c r="M80" s="319"/>
      <c r="O80" s="58"/>
      <c r="P80" s="58"/>
      <c r="Q80" s="58"/>
      <c r="R80" s="58"/>
      <c r="S80" s="58"/>
      <c r="T80" s="58"/>
      <c r="U80" s="58"/>
      <c r="V80" s="58"/>
      <c r="W80" s="58"/>
      <c r="X80" s="58"/>
    </row>
    <row r="81" spans="1:24" s="65" customFormat="1" ht="13.5" customHeight="1" x14ac:dyDescent="0.35">
      <c r="A81" s="114"/>
      <c r="B81" s="777"/>
      <c r="C81" s="779"/>
      <c r="D81" s="210"/>
      <c r="E81" s="83"/>
      <c r="F81" s="75" t="s">
        <v>138</v>
      </c>
      <c r="G81" s="210">
        <v>0.1</v>
      </c>
      <c r="H81" s="801"/>
      <c r="I81" s="803"/>
      <c r="J81" s="648"/>
      <c r="K81" s="210"/>
      <c r="L81" s="202"/>
      <c r="M81" s="803"/>
      <c r="O81" s="58"/>
      <c r="P81" s="58"/>
      <c r="Q81" s="58"/>
      <c r="R81" s="58"/>
      <c r="S81" s="58"/>
      <c r="T81" s="58"/>
      <c r="U81" s="58"/>
      <c r="V81" s="58"/>
      <c r="W81" s="58"/>
      <c r="X81" s="58"/>
    </row>
    <row r="82" spans="1:24" s="65" customFormat="1" ht="17.25" customHeight="1" x14ac:dyDescent="0.35">
      <c r="A82" s="4"/>
      <c r="B82" s="5"/>
      <c r="C82" s="53"/>
      <c r="D82" s="1349" t="s">
        <v>73</v>
      </c>
      <c r="E82" s="107" t="s">
        <v>123</v>
      </c>
      <c r="F82" s="975" t="s">
        <v>223</v>
      </c>
      <c r="G82" s="976">
        <v>478</v>
      </c>
      <c r="H82" s="976">
        <v>311.10000000000002</v>
      </c>
      <c r="I82" s="977"/>
      <c r="J82" s="1371" t="s">
        <v>78</v>
      </c>
      <c r="K82" s="468">
        <v>45</v>
      </c>
      <c r="L82" s="231">
        <v>100</v>
      </c>
      <c r="M82" s="218"/>
    </row>
    <row r="83" spans="1:24" s="65" customFormat="1" ht="17.25" customHeight="1" x14ac:dyDescent="0.35">
      <c r="A83" s="4"/>
      <c r="B83" s="5"/>
      <c r="C83" s="53"/>
      <c r="D83" s="1346"/>
      <c r="E83" s="727" t="s">
        <v>31</v>
      </c>
      <c r="F83" s="978"/>
      <c r="G83" s="979"/>
      <c r="H83" s="979"/>
      <c r="I83" s="980"/>
      <c r="J83" s="1372"/>
      <c r="K83" s="462"/>
      <c r="L83" s="294"/>
      <c r="M83" s="287"/>
    </row>
    <row r="84" spans="1:24" s="65" customFormat="1" ht="17.25" customHeight="1" x14ac:dyDescent="0.35">
      <c r="A84" s="4"/>
      <c r="B84" s="5"/>
      <c r="C84" s="53"/>
      <c r="D84" s="1346"/>
      <c r="E84" s="64" t="s">
        <v>126</v>
      </c>
      <c r="F84" s="978" t="s">
        <v>224</v>
      </c>
      <c r="G84" s="964">
        <v>22</v>
      </c>
      <c r="H84" s="964">
        <v>22</v>
      </c>
      <c r="I84" s="965"/>
      <c r="J84" s="1372"/>
      <c r="K84" s="595"/>
      <c r="L84" s="333"/>
      <c r="M84" s="325"/>
    </row>
    <row r="85" spans="1:24" s="65" customFormat="1" ht="13.5" customHeight="1" x14ac:dyDescent="0.35">
      <c r="A85" s="4"/>
      <c r="B85" s="5"/>
      <c r="C85" s="53"/>
      <c r="D85" s="1370"/>
      <c r="E85" s="796" t="s">
        <v>140</v>
      </c>
      <c r="F85" s="978"/>
      <c r="G85" s="964"/>
      <c r="H85" s="964"/>
      <c r="I85" s="965"/>
      <c r="J85" s="1373"/>
      <c r="K85" s="462"/>
      <c r="L85" s="294"/>
      <c r="M85" s="287"/>
    </row>
    <row r="86" spans="1:24" s="65" customFormat="1" ht="18" customHeight="1" x14ac:dyDescent="0.35">
      <c r="A86" s="114"/>
      <c r="B86" s="777"/>
      <c r="C86" s="779"/>
      <c r="D86" s="1354" t="s">
        <v>42</v>
      </c>
      <c r="E86" s="107" t="s">
        <v>123</v>
      </c>
      <c r="F86" s="981" t="s">
        <v>220</v>
      </c>
      <c r="G86" s="962">
        <v>78.8</v>
      </c>
      <c r="H86" s="962">
        <v>79.8</v>
      </c>
      <c r="I86" s="963">
        <v>79.8</v>
      </c>
      <c r="J86" s="1134" t="s">
        <v>253</v>
      </c>
      <c r="K86" s="469">
        <v>179</v>
      </c>
      <c r="L86" s="949">
        <v>150</v>
      </c>
      <c r="M86" s="950">
        <v>150</v>
      </c>
    </row>
    <row r="87" spans="1:24" s="65" customFormat="1" ht="18.75" customHeight="1" x14ac:dyDescent="0.35">
      <c r="A87" s="4"/>
      <c r="B87" s="5"/>
      <c r="C87" s="53"/>
      <c r="D87" s="1367"/>
      <c r="E87" s="761" t="s">
        <v>240</v>
      </c>
      <c r="F87" s="982" t="s">
        <v>221</v>
      </c>
      <c r="G87" s="958">
        <v>12.4</v>
      </c>
      <c r="H87" s="964"/>
      <c r="I87" s="965"/>
      <c r="J87" s="1135" t="s">
        <v>254</v>
      </c>
      <c r="K87" s="1132">
        <v>2051</v>
      </c>
      <c r="L87" s="750">
        <v>2090</v>
      </c>
      <c r="M87" s="951">
        <v>2090</v>
      </c>
    </row>
    <row r="88" spans="1:24" s="65" customFormat="1" ht="56.25" customHeight="1" x14ac:dyDescent="0.35">
      <c r="A88" s="110"/>
      <c r="B88" s="5"/>
      <c r="C88" s="111"/>
      <c r="D88" s="771"/>
      <c r="E88" s="667"/>
      <c r="F88" s="983"/>
      <c r="G88" s="960"/>
      <c r="H88" s="966"/>
      <c r="I88" s="967"/>
      <c r="J88" s="1118" t="s">
        <v>255</v>
      </c>
      <c r="K88" s="1133">
        <v>100</v>
      </c>
      <c r="L88" s="945"/>
      <c r="M88" s="946"/>
    </row>
    <row r="89" spans="1:24" s="65" customFormat="1" ht="28.5" customHeight="1" x14ac:dyDescent="0.35">
      <c r="A89" s="110"/>
      <c r="B89" s="5"/>
      <c r="C89" s="111"/>
      <c r="D89" s="1297" t="s">
        <v>238</v>
      </c>
      <c r="E89" s="786" t="s">
        <v>123</v>
      </c>
      <c r="F89" s="984" t="s">
        <v>223</v>
      </c>
      <c r="G89" s="956">
        <f>7+12</f>
        <v>19</v>
      </c>
      <c r="H89" s="956">
        <v>37</v>
      </c>
      <c r="I89" s="957"/>
      <c r="J89" s="1136" t="s">
        <v>195</v>
      </c>
      <c r="K89" s="424">
        <v>1</v>
      </c>
      <c r="L89" s="402">
        <v>1</v>
      </c>
      <c r="M89" s="505"/>
    </row>
    <row r="90" spans="1:24" s="65" customFormat="1" ht="16.5" customHeight="1" x14ac:dyDescent="0.35">
      <c r="A90" s="110"/>
      <c r="B90" s="5"/>
      <c r="C90" s="111"/>
      <c r="D90" s="1298"/>
      <c r="E90" s="761" t="s">
        <v>240</v>
      </c>
      <c r="F90" s="985"/>
      <c r="G90" s="986"/>
      <c r="H90" s="958"/>
      <c r="I90" s="969"/>
      <c r="J90" s="1140" t="s">
        <v>196</v>
      </c>
      <c r="K90" s="855">
        <v>1</v>
      </c>
      <c r="L90" s="487"/>
      <c r="M90" s="506"/>
    </row>
    <row r="91" spans="1:24" s="65" customFormat="1" ht="18" customHeight="1" x14ac:dyDescent="0.35">
      <c r="A91" s="110"/>
      <c r="B91" s="5"/>
      <c r="C91" s="111"/>
      <c r="D91" s="1299"/>
      <c r="E91" s="504"/>
      <c r="F91" s="987" t="s">
        <v>220</v>
      </c>
      <c r="G91" s="967">
        <v>8</v>
      </c>
      <c r="H91" s="960">
        <f>13.9</f>
        <v>13.9</v>
      </c>
      <c r="I91" s="961">
        <f>34.2</f>
        <v>34.200000000000003</v>
      </c>
      <c r="J91" s="1141" t="s">
        <v>197</v>
      </c>
      <c r="K91" s="856">
        <v>1</v>
      </c>
      <c r="L91" s="490">
        <v>1</v>
      </c>
      <c r="M91" s="508">
        <v>2</v>
      </c>
    </row>
    <row r="92" spans="1:24" s="65" customFormat="1" ht="27" customHeight="1" x14ac:dyDescent="0.35">
      <c r="A92" s="1395"/>
      <c r="B92" s="1399"/>
      <c r="C92" s="1403"/>
      <c r="D92" s="1407" t="s">
        <v>107</v>
      </c>
      <c r="E92" s="107" t="s">
        <v>123</v>
      </c>
      <c r="F92" s="988" t="s">
        <v>225</v>
      </c>
      <c r="G92" s="955">
        <v>16.600000000000001</v>
      </c>
      <c r="H92" s="956"/>
      <c r="I92" s="957"/>
      <c r="J92" s="1142" t="s">
        <v>66</v>
      </c>
      <c r="K92" s="857">
        <v>100</v>
      </c>
      <c r="L92" s="337"/>
      <c r="M92" s="329"/>
    </row>
    <row r="93" spans="1:24" s="65" customFormat="1" ht="14.25" customHeight="1" x14ac:dyDescent="0.35">
      <c r="A93" s="1395"/>
      <c r="B93" s="1399"/>
      <c r="C93" s="1403"/>
      <c r="D93" s="1388"/>
      <c r="E93" s="727" t="s">
        <v>31</v>
      </c>
      <c r="F93" s="988"/>
      <c r="G93" s="958"/>
      <c r="H93" s="964"/>
      <c r="I93" s="965"/>
      <c r="J93" s="1143"/>
      <c r="K93" s="500"/>
      <c r="L93" s="338"/>
      <c r="M93" s="330"/>
    </row>
    <row r="94" spans="1:24" s="65" customFormat="1" ht="13.5" customHeight="1" x14ac:dyDescent="0.35">
      <c r="A94" s="1395"/>
      <c r="B94" s="1399"/>
      <c r="C94" s="1403"/>
      <c r="D94" s="1388"/>
      <c r="E94" s="64" t="s">
        <v>126</v>
      </c>
      <c r="F94" s="988" t="s">
        <v>226</v>
      </c>
      <c r="G94" s="958">
        <f>4+1.5</f>
        <v>5.5</v>
      </c>
      <c r="H94" s="964"/>
      <c r="I94" s="965"/>
      <c r="J94" s="1372" t="s">
        <v>125</v>
      </c>
      <c r="K94" s="500"/>
      <c r="L94" s="338"/>
      <c r="M94" s="330"/>
    </row>
    <row r="95" spans="1:24" s="65" customFormat="1" ht="13.5" customHeight="1" x14ac:dyDescent="0.35">
      <c r="A95" s="1396"/>
      <c r="B95" s="1400"/>
      <c r="C95" s="1404"/>
      <c r="D95" s="1408"/>
      <c r="E95" s="1033" t="s">
        <v>140</v>
      </c>
      <c r="F95" s="993"/>
      <c r="G95" s="989"/>
      <c r="H95" s="971"/>
      <c r="I95" s="965"/>
      <c r="J95" s="1409"/>
      <c r="K95" s="823"/>
      <c r="L95" s="338"/>
      <c r="M95" s="330"/>
    </row>
    <row r="96" spans="1:24" s="65" customFormat="1" ht="21" customHeight="1" x14ac:dyDescent="0.35">
      <c r="A96" s="1397"/>
      <c r="B96" s="1401"/>
      <c r="C96" s="1405"/>
      <c r="D96" s="1426" t="s">
        <v>256</v>
      </c>
      <c r="E96" s="107" t="s">
        <v>123</v>
      </c>
      <c r="F96" s="988"/>
      <c r="G96" s="964"/>
      <c r="H96" s="964"/>
      <c r="I96" s="970"/>
      <c r="J96" s="1136" t="s">
        <v>265</v>
      </c>
      <c r="K96" s="857">
        <v>1</v>
      </c>
      <c r="L96" s="337"/>
      <c r="M96" s="892"/>
    </row>
    <row r="97" spans="1:13" s="65" customFormat="1" ht="29.15" customHeight="1" x14ac:dyDescent="0.35">
      <c r="A97" s="1397"/>
      <c r="B97" s="1401"/>
      <c r="C97" s="1405"/>
      <c r="D97" s="1427"/>
      <c r="E97" s="64" t="s">
        <v>126</v>
      </c>
      <c r="F97" s="988"/>
      <c r="G97" s="964"/>
      <c r="H97" s="964"/>
      <c r="I97" s="965"/>
      <c r="J97" s="1138" t="s">
        <v>257</v>
      </c>
      <c r="K97" s="500"/>
      <c r="L97" s="338"/>
      <c r="M97" s="863"/>
    </row>
    <row r="98" spans="1:13" s="65" customFormat="1" ht="13.5" customHeight="1" x14ac:dyDescent="0.35">
      <c r="A98" s="1397"/>
      <c r="B98" s="1401"/>
      <c r="C98" s="1405"/>
      <c r="D98" s="941"/>
      <c r="E98" s="1033" t="s">
        <v>140</v>
      </c>
      <c r="F98" s="988"/>
      <c r="G98" s="964"/>
      <c r="H98" s="964"/>
      <c r="I98" s="965"/>
      <c r="J98" s="1139"/>
      <c r="K98" s="500"/>
      <c r="L98" s="338"/>
      <c r="M98" s="330"/>
    </row>
    <row r="99" spans="1:13" s="11" customFormat="1" ht="14.25" customHeight="1" x14ac:dyDescent="0.35">
      <c r="A99" s="1397"/>
      <c r="B99" s="1401"/>
      <c r="C99" s="1405"/>
      <c r="D99" s="1297" t="s">
        <v>85</v>
      </c>
      <c r="E99" s="107" t="s">
        <v>123</v>
      </c>
      <c r="F99" s="984" t="s">
        <v>225</v>
      </c>
      <c r="G99" s="955">
        <v>0.1</v>
      </c>
      <c r="H99" s="962"/>
      <c r="I99" s="963"/>
      <c r="J99" s="1410" t="s">
        <v>86</v>
      </c>
      <c r="K99" s="437"/>
      <c r="L99" s="642"/>
      <c r="M99" s="124"/>
    </row>
    <row r="100" spans="1:13" s="11" customFormat="1" ht="14.25" customHeight="1" x14ac:dyDescent="0.35">
      <c r="A100" s="1397"/>
      <c r="B100" s="1401"/>
      <c r="C100" s="1405"/>
      <c r="D100" s="1298"/>
      <c r="E100" s="64" t="s">
        <v>126</v>
      </c>
      <c r="F100" s="985" t="s">
        <v>226</v>
      </c>
      <c r="G100" s="958">
        <v>50.1</v>
      </c>
      <c r="H100" s="964"/>
      <c r="I100" s="965"/>
      <c r="J100" s="1411"/>
      <c r="K100" s="263"/>
      <c r="L100" s="798"/>
      <c r="M100" s="128"/>
    </row>
    <row r="101" spans="1:13" s="11" customFormat="1" ht="14.25" customHeight="1" x14ac:dyDescent="0.35">
      <c r="A101" s="1397"/>
      <c r="B101" s="1401"/>
      <c r="C101" s="1405"/>
      <c r="D101" s="1298"/>
      <c r="E101" s="108" t="s">
        <v>140</v>
      </c>
      <c r="F101" s="985" t="s">
        <v>227</v>
      </c>
      <c r="G101" s="958">
        <v>0.1</v>
      </c>
      <c r="H101" s="964"/>
      <c r="I101" s="965"/>
      <c r="J101" s="1412"/>
      <c r="K101" s="263"/>
      <c r="L101" s="798"/>
      <c r="M101" s="128"/>
    </row>
    <row r="102" spans="1:13" s="11" customFormat="1" ht="14.25" customHeight="1" x14ac:dyDescent="0.35">
      <c r="A102" s="1397"/>
      <c r="B102" s="1401"/>
      <c r="C102" s="1405"/>
      <c r="D102" s="1298"/>
      <c r="E102" s="727" t="s">
        <v>31</v>
      </c>
      <c r="F102" s="985" t="s">
        <v>228</v>
      </c>
      <c r="G102" s="958">
        <v>0.1</v>
      </c>
      <c r="H102" s="964"/>
      <c r="I102" s="965"/>
      <c r="J102" s="1412"/>
      <c r="K102" s="263"/>
      <c r="L102" s="798"/>
      <c r="M102" s="128"/>
    </row>
    <row r="103" spans="1:13" s="11" customFormat="1" ht="14.25" customHeight="1" x14ac:dyDescent="0.35">
      <c r="A103" s="1397"/>
      <c r="B103" s="1401"/>
      <c r="C103" s="1405"/>
      <c r="D103" s="1298"/>
      <c r="E103" s="640"/>
      <c r="F103" s="987" t="s">
        <v>229</v>
      </c>
      <c r="G103" s="958">
        <v>0.1</v>
      </c>
      <c r="H103" s="964"/>
      <c r="I103" s="965"/>
      <c r="J103" s="1413"/>
      <c r="K103" s="251"/>
      <c r="L103" s="798"/>
      <c r="M103" s="128"/>
    </row>
    <row r="104" spans="1:13" s="11" customFormat="1" ht="12.75" customHeight="1" x14ac:dyDescent="0.35">
      <c r="A104" s="1397"/>
      <c r="B104" s="1401"/>
      <c r="C104" s="1405"/>
      <c r="D104" s="1354" t="s">
        <v>108</v>
      </c>
      <c r="E104" s="107" t="s">
        <v>126</v>
      </c>
      <c r="F104" s="990" t="s">
        <v>226</v>
      </c>
      <c r="G104" s="955">
        <f>123.3-1.5</f>
        <v>121.8</v>
      </c>
      <c r="H104" s="956"/>
      <c r="I104" s="957"/>
      <c r="J104" s="1419" t="s">
        <v>111</v>
      </c>
      <c r="K104" s="263">
        <v>100</v>
      </c>
      <c r="L104" s="642"/>
      <c r="M104" s="788"/>
    </row>
    <row r="105" spans="1:13" s="11" customFormat="1" ht="14.25" customHeight="1" x14ac:dyDescent="0.35">
      <c r="A105" s="1397"/>
      <c r="B105" s="1401"/>
      <c r="C105" s="1405"/>
      <c r="D105" s="1367"/>
      <c r="E105" s="727" t="s">
        <v>31</v>
      </c>
      <c r="F105" s="990" t="s">
        <v>223</v>
      </c>
      <c r="G105" s="965">
        <v>275.8</v>
      </c>
      <c r="H105" s="958"/>
      <c r="I105" s="965"/>
      <c r="J105" s="1420"/>
      <c r="K105" s="263"/>
      <c r="L105" s="798"/>
      <c r="M105" s="128"/>
    </row>
    <row r="106" spans="1:13" s="11" customFormat="1" ht="12" customHeight="1" x14ac:dyDescent="0.35">
      <c r="A106" s="1397"/>
      <c r="B106" s="1401"/>
      <c r="C106" s="1405"/>
      <c r="D106" s="1367"/>
      <c r="E106" s="733"/>
      <c r="F106" s="991" t="s">
        <v>225</v>
      </c>
      <c r="G106" s="958">
        <v>504.6</v>
      </c>
      <c r="H106" s="964"/>
      <c r="I106" s="965"/>
      <c r="J106" s="1421"/>
      <c r="K106" s="862"/>
      <c r="L106" s="484"/>
      <c r="M106" s="485"/>
    </row>
    <row r="107" spans="1:13" s="11" customFormat="1" ht="14.25" customHeight="1" x14ac:dyDescent="0.35">
      <c r="A107" s="1397"/>
      <c r="B107" s="1401"/>
      <c r="C107" s="1405"/>
      <c r="D107" s="1367"/>
      <c r="E107" s="733"/>
      <c r="F107" s="990" t="s">
        <v>227</v>
      </c>
      <c r="G107" s="958">
        <v>44.6</v>
      </c>
      <c r="H107" s="964"/>
      <c r="I107" s="965"/>
      <c r="J107" s="1420" t="s">
        <v>187</v>
      </c>
      <c r="K107" s="263"/>
      <c r="L107" s="798">
        <v>20</v>
      </c>
      <c r="M107" s="128"/>
    </row>
    <row r="108" spans="1:13" s="11" customFormat="1" ht="14.25" customHeight="1" x14ac:dyDescent="0.35">
      <c r="A108" s="1397"/>
      <c r="B108" s="1401"/>
      <c r="C108" s="1405"/>
      <c r="D108" s="1367"/>
      <c r="E108" s="733"/>
      <c r="F108" s="987" t="s">
        <v>221</v>
      </c>
      <c r="G108" s="992">
        <f>127.1-20+23.2</f>
        <v>130.29999999999998</v>
      </c>
      <c r="H108" s="958"/>
      <c r="I108" s="965"/>
      <c r="J108" s="1420"/>
      <c r="K108" s="263"/>
      <c r="L108" s="798"/>
      <c r="M108" s="128"/>
    </row>
    <row r="109" spans="1:13" s="65" customFormat="1" ht="18" customHeight="1" thickBot="1" x14ac:dyDescent="0.4">
      <c r="A109" s="1398"/>
      <c r="B109" s="1402"/>
      <c r="C109" s="1406"/>
      <c r="D109" s="304"/>
      <c r="E109" s="309"/>
      <c r="F109" s="501" t="s">
        <v>20</v>
      </c>
      <c r="G109" s="269">
        <f>+G73+G74+G75+G76+G77+G78+G79+G80+G81</f>
        <v>1427.8999999999999</v>
      </c>
      <c r="H109" s="269">
        <f>+H73+H74+H75+H76+H77+H78+H79+H80+H81</f>
        <v>938.60000000000014</v>
      </c>
      <c r="I109" s="269">
        <f>+I73+I74+I75+I76+I77+I78+I79+I80+I81</f>
        <v>114</v>
      </c>
      <c r="J109" s="1137"/>
      <c r="K109" s="340"/>
      <c r="L109" s="267"/>
      <c r="M109" s="453"/>
    </row>
    <row r="110" spans="1:13" s="65" customFormat="1" ht="15.75" customHeight="1" x14ac:dyDescent="0.35">
      <c r="A110" s="16" t="s">
        <v>11</v>
      </c>
      <c r="B110" s="17" t="s">
        <v>28</v>
      </c>
      <c r="C110" s="54" t="s">
        <v>28</v>
      </c>
      <c r="D110" s="1422" t="s">
        <v>83</v>
      </c>
      <c r="E110" s="1424" t="s">
        <v>156</v>
      </c>
      <c r="F110" s="683" t="s">
        <v>32</v>
      </c>
      <c r="G110" s="672">
        <f>5+12+7.8</f>
        <v>24.8</v>
      </c>
      <c r="H110" s="677">
        <f>162.6+17</f>
        <v>179.6</v>
      </c>
      <c r="I110" s="675">
        <f>530+57</f>
        <v>587</v>
      </c>
      <c r="J110" s="1150"/>
      <c r="K110" s="311"/>
      <c r="L110" s="323"/>
      <c r="M110" s="126"/>
    </row>
    <row r="111" spans="1:13" s="65" customFormat="1" ht="13.5" customHeight="1" x14ac:dyDescent="0.35">
      <c r="A111" s="791"/>
      <c r="B111" s="792"/>
      <c r="C111" s="793"/>
      <c r="D111" s="1423"/>
      <c r="E111" s="1425"/>
      <c r="F111" s="96"/>
      <c r="G111" s="321"/>
      <c r="H111" s="313"/>
      <c r="I111" s="353"/>
      <c r="J111" s="1112"/>
      <c r="K111" s="167"/>
      <c r="L111" s="774"/>
      <c r="M111" s="127"/>
    </row>
    <row r="112" spans="1:13" s="11" customFormat="1" ht="18" customHeight="1" x14ac:dyDescent="0.35">
      <c r="A112" s="56"/>
      <c r="B112" s="57"/>
      <c r="C112" s="59"/>
      <c r="D112" s="1414" t="s">
        <v>262</v>
      </c>
      <c r="E112" s="796" t="s">
        <v>140</v>
      </c>
      <c r="F112" s="990" t="s">
        <v>223</v>
      </c>
      <c r="G112" s="968"/>
      <c r="H112" s="956">
        <f>50+12</f>
        <v>62</v>
      </c>
      <c r="I112" s="957">
        <v>380</v>
      </c>
      <c r="J112" s="1151" t="s">
        <v>69</v>
      </c>
      <c r="K112" s="263">
        <v>1</v>
      </c>
      <c r="L112" s="798">
        <v>2</v>
      </c>
      <c r="M112" s="128"/>
    </row>
    <row r="113" spans="1:13" s="11" customFormat="1" ht="18.75" customHeight="1" x14ac:dyDescent="0.35">
      <c r="A113" s="56"/>
      <c r="B113" s="57"/>
      <c r="C113" s="59"/>
      <c r="D113" s="1415"/>
      <c r="E113" s="101"/>
      <c r="F113" s="990"/>
      <c r="G113" s="964"/>
      <c r="H113" s="958"/>
      <c r="I113" s="969"/>
      <c r="J113" s="1417" t="s">
        <v>188</v>
      </c>
      <c r="K113" s="855"/>
      <c r="L113" s="487"/>
      <c r="M113" s="488">
        <v>20</v>
      </c>
    </row>
    <row r="114" spans="1:13" s="11" customFormat="1" ht="21" customHeight="1" x14ac:dyDescent="0.35">
      <c r="A114" s="56"/>
      <c r="B114" s="57"/>
      <c r="C114" s="59"/>
      <c r="D114" s="1416"/>
      <c r="E114" s="101"/>
      <c r="F114" s="1031"/>
      <c r="G114" s="960"/>
      <c r="H114" s="960"/>
      <c r="I114" s="961"/>
      <c r="J114" s="1418"/>
      <c r="K114" s="251"/>
      <c r="L114" s="643"/>
      <c r="M114" s="177"/>
    </row>
    <row r="115" spans="1:13" s="65" customFormat="1" ht="21" customHeight="1" x14ac:dyDescent="0.35">
      <c r="A115" s="114"/>
      <c r="B115" s="777"/>
      <c r="C115" s="419"/>
      <c r="D115" s="1354" t="s">
        <v>174</v>
      </c>
      <c r="E115" s="724"/>
      <c r="F115" s="1455" t="s">
        <v>223</v>
      </c>
      <c r="G115" s="1457"/>
      <c r="H115" s="1459">
        <v>30.6</v>
      </c>
      <c r="I115" s="1393">
        <v>100</v>
      </c>
      <c r="J115" s="1146" t="s">
        <v>176</v>
      </c>
      <c r="K115" s="424"/>
      <c r="L115" s="402"/>
      <c r="M115" s="403">
        <v>1</v>
      </c>
    </row>
    <row r="116" spans="1:13" s="65" customFormat="1" ht="21" customHeight="1" x14ac:dyDescent="0.35">
      <c r="A116" s="114"/>
      <c r="B116" s="777"/>
      <c r="C116" s="419"/>
      <c r="D116" s="1355"/>
      <c r="E116" s="770"/>
      <c r="F116" s="1456"/>
      <c r="G116" s="1458"/>
      <c r="H116" s="1460"/>
      <c r="I116" s="1394"/>
      <c r="J116" s="1117" t="s">
        <v>177</v>
      </c>
      <c r="K116" s="251"/>
      <c r="L116" s="643"/>
      <c r="M116" s="789"/>
    </row>
    <row r="117" spans="1:13" s="65" customFormat="1" ht="42.75" customHeight="1" x14ac:dyDescent="0.35">
      <c r="A117" s="114"/>
      <c r="B117" s="777"/>
      <c r="C117" s="419"/>
      <c r="D117" s="421" t="s">
        <v>260</v>
      </c>
      <c r="E117" s="724"/>
      <c r="F117" s="1008" t="s">
        <v>223</v>
      </c>
      <c r="G117" s="972">
        <v>5</v>
      </c>
      <c r="H117" s="973">
        <v>45</v>
      </c>
      <c r="I117" s="974"/>
      <c r="J117" s="1147" t="s">
        <v>258</v>
      </c>
      <c r="K117" s="253"/>
      <c r="L117" s="256"/>
      <c r="M117" s="423">
        <v>1</v>
      </c>
    </row>
    <row r="118" spans="1:13" s="65" customFormat="1" ht="27" customHeight="1" x14ac:dyDescent="0.35">
      <c r="A118" s="114"/>
      <c r="B118" s="777"/>
      <c r="C118" s="419"/>
      <c r="D118" s="1354" t="s">
        <v>189</v>
      </c>
      <c r="E118" s="796"/>
      <c r="F118" s="981" t="s">
        <v>223</v>
      </c>
      <c r="G118" s="956"/>
      <c r="H118" s="956">
        <v>25</v>
      </c>
      <c r="I118" s="957">
        <v>50</v>
      </c>
      <c r="J118" s="1113" t="s">
        <v>190</v>
      </c>
      <c r="K118" s="437"/>
      <c r="L118" s="402">
        <v>1</v>
      </c>
      <c r="M118" s="403"/>
    </row>
    <row r="119" spans="1:13" s="65" customFormat="1" ht="18" customHeight="1" x14ac:dyDescent="0.35">
      <c r="A119" s="114"/>
      <c r="B119" s="777"/>
      <c r="C119" s="419"/>
      <c r="D119" s="1367"/>
      <c r="E119" s="798"/>
      <c r="F119" s="639"/>
      <c r="G119" s="965"/>
      <c r="H119" s="958"/>
      <c r="I119" s="969"/>
      <c r="J119" s="1111" t="s">
        <v>69</v>
      </c>
      <c r="K119" s="848"/>
      <c r="L119" s="798"/>
      <c r="M119" s="485">
        <v>0.5</v>
      </c>
    </row>
    <row r="120" spans="1:13" s="65" customFormat="1" ht="18" customHeight="1" x14ac:dyDescent="0.35">
      <c r="A120" s="114"/>
      <c r="B120" s="777"/>
      <c r="C120" s="419"/>
      <c r="D120" s="1355"/>
      <c r="E120" s="808"/>
      <c r="F120" s="805"/>
      <c r="G120" s="960"/>
      <c r="H120" s="960"/>
      <c r="I120" s="961"/>
      <c r="J120" s="1122" t="s">
        <v>177</v>
      </c>
      <c r="K120" s="251"/>
      <c r="L120" s="490"/>
      <c r="M120" s="177"/>
    </row>
    <row r="121" spans="1:13" s="65" customFormat="1" ht="18" customHeight="1" thickBot="1" x14ac:dyDescent="0.35">
      <c r="A121" s="148"/>
      <c r="B121" s="149"/>
      <c r="C121" s="50"/>
      <c r="D121" s="600"/>
      <c r="E121" s="594"/>
      <c r="F121" s="501" t="s">
        <v>20</v>
      </c>
      <c r="G121" s="260">
        <f>+G110</f>
        <v>24.8</v>
      </c>
      <c r="H121" s="260">
        <f t="shared" ref="H121:I121" si="3">+H110</f>
        <v>179.6</v>
      </c>
      <c r="I121" s="260">
        <f t="shared" si="3"/>
        <v>587</v>
      </c>
      <c r="J121" s="1148"/>
      <c r="K121" s="295"/>
      <c r="L121" s="267"/>
      <c r="M121" s="616"/>
    </row>
    <row r="122" spans="1:13" s="65" customFormat="1" ht="17.25" customHeight="1" x14ac:dyDescent="0.35">
      <c r="A122" s="16" t="s">
        <v>11</v>
      </c>
      <c r="B122" s="17" t="s">
        <v>28</v>
      </c>
      <c r="C122" s="54" t="s">
        <v>30</v>
      </c>
      <c r="D122" s="785" t="s">
        <v>43</v>
      </c>
      <c r="E122" s="312"/>
      <c r="F122" s="74" t="s">
        <v>23</v>
      </c>
      <c r="G122" s="671">
        <f>30+33.6</f>
        <v>63.6</v>
      </c>
      <c r="H122" s="672">
        <f>30+14.4</f>
        <v>44.4</v>
      </c>
      <c r="I122" s="675">
        <f>30+12.6</f>
        <v>42.6</v>
      </c>
      <c r="J122" s="693"/>
      <c r="K122" s="312"/>
      <c r="L122" s="312"/>
      <c r="M122" s="352"/>
    </row>
    <row r="123" spans="1:13" s="65" customFormat="1" ht="17.25" customHeight="1" x14ac:dyDescent="0.35">
      <c r="A123" s="931"/>
      <c r="B123" s="932"/>
      <c r="C123" s="933"/>
      <c r="D123" s="952"/>
      <c r="E123" s="708"/>
      <c r="F123" s="953" t="s">
        <v>213</v>
      </c>
      <c r="G123" s="734"/>
      <c r="H123" s="202">
        <v>25</v>
      </c>
      <c r="I123" s="319">
        <v>20</v>
      </c>
      <c r="J123" s="865"/>
      <c r="K123" s="684"/>
      <c r="L123" s="954"/>
      <c r="M123" s="708"/>
    </row>
    <row r="124" spans="1:13" s="65" customFormat="1" ht="17.25" customHeight="1" x14ac:dyDescent="0.35">
      <c r="A124" s="791"/>
      <c r="B124" s="792"/>
      <c r="C124" s="793"/>
      <c r="D124" s="691"/>
      <c r="E124" s="321"/>
      <c r="F124" s="37" t="s">
        <v>44</v>
      </c>
      <c r="G124" s="196">
        <f>30+28.5</f>
        <v>58.5</v>
      </c>
      <c r="H124" s="801"/>
      <c r="I124" s="25"/>
      <c r="J124" s="688"/>
      <c r="K124" s="313"/>
      <c r="L124" s="692"/>
      <c r="M124" s="353"/>
    </row>
    <row r="125" spans="1:13" s="65" customFormat="1" ht="28.5" customHeight="1" x14ac:dyDescent="0.35">
      <c r="A125" s="791"/>
      <c r="B125" s="792"/>
      <c r="C125" s="793"/>
      <c r="D125" s="794" t="s">
        <v>63</v>
      </c>
      <c r="E125" s="795" t="s">
        <v>140</v>
      </c>
      <c r="F125" s="1032" t="s">
        <v>220</v>
      </c>
      <c r="G125" s="962">
        <v>30</v>
      </c>
      <c r="H125" s="956">
        <v>30</v>
      </c>
      <c r="I125" s="963">
        <v>30</v>
      </c>
      <c r="J125" s="1115" t="s">
        <v>89</v>
      </c>
      <c r="K125" s="342" t="s">
        <v>178</v>
      </c>
      <c r="L125" s="289" t="s">
        <v>178</v>
      </c>
      <c r="M125" s="519" t="s">
        <v>178</v>
      </c>
    </row>
    <row r="126" spans="1:13" s="65" customFormat="1" ht="26.25" customHeight="1" x14ac:dyDescent="0.35">
      <c r="A126" s="1395"/>
      <c r="B126" s="1399"/>
      <c r="C126" s="1463"/>
      <c r="D126" s="1354" t="s">
        <v>112</v>
      </c>
      <c r="E126" s="1389"/>
      <c r="F126" s="981" t="s">
        <v>220</v>
      </c>
      <c r="G126" s="962">
        <v>33.6</v>
      </c>
      <c r="H126" s="956">
        <v>14.4</v>
      </c>
      <c r="I126" s="963">
        <v>12.6</v>
      </c>
      <c r="J126" s="1149" t="s">
        <v>76</v>
      </c>
      <c r="K126" s="471">
        <v>2300</v>
      </c>
      <c r="L126" s="367">
        <v>1000</v>
      </c>
      <c r="M126" s="355">
        <v>1000</v>
      </c>
    </row>
    <row r="127" spans="1:13" s="65" customFormat="1" ht="14.25" customHeight="1" x14ac:dyDescent="0.35">
      <c r="A127" s="1461"/>
      <c r="B127" s="1462"/>
      <c r="C127" s="1464"/>
      <c r="D127" s="1388"/>
      <c r="E127" s="1389"/>
      <c r="F127" s="988" t="s">
        <v>227</v>
      </c>
      <c r="G127" s="964">
        <v>30</v>
      </c>
      <c r="H127" s="958"/>
      <c r="I127" s="965"/>
      <c r="J127" s="1391" t="s">
        <v>236</v>
      </c>
      <c r="K127" s="472">
        <v>8.3000000000000007</v>
      </c>
      <c r="L127" s="368">
        <v>6</v>
      </c>
      <c r="M127" s="354">
        <v>6</v>
      </c>
    </row>
    <row r="128" spans="1:13" s="65" customFormat="1" ht="13.5" customHeight="1" x14ac:dyDescent="0.35">
      <c r="A128" s="1461"/>
      <c r="B128" s="1462"/>
      <c r="C128" s="1464"/>
      <c r="D128" s="1388"/>
      <c r="E128" s="1389"/>
      <c r="F128" s="988"/>
      <c r="G128" s="964"/>
      <c r="H128" s="958"/>
      <c r="I128" s="965"/>
      <c r="J128" s="1392"/>
      <c r="K128" s="822"/>
      <c r="L128" s="369"/>
      <c r="M128" s="129"/>
    </row>
    <row r="129" spans="1:13" s="65" customFormat="1" ht="16.5" customHeight="1" x14ac:dyDescent="0.35">
      <c r="A129" s="1461"/>
      <c r="B129" s="1462"/>
      <c r="C129" s="1464"/>
      <c r="D129" s="1384"/>
      <c r="E129" s="1390"/>
      <c r="F129" s="993" t="s">
        <v>230</v>
      </c>
      <c r="G129" s="966"/>
      <c r="H129" s="960">
        <v>25</v>
      </c>
      <c r="I129" s="967">
        <v>20</v>
      </c>
      <c r="J129" s="1144" t="s">
        <v>120</v>
      </c>
      <c r="K129" s="823"/>
      <c r="L129" s="370">
        <v>1</v>
      </c>
      <c r="M129" s="130"/>
    </row>
    <row r="130" spans="1:13" s="65" customFormat="1" ht="18" customHeight="1" thickBot="1" x14ac:dyDescent="0.35">
      <c r="A130" s="148"/>
      <c r="B130" s="149"/>
      <c r="C130" s="50"/>
      <c r="D130" s="600"/>
      <c r="E130" s="606"/>
      <c r="F130" s="68" t="s">
        <v>20</v>
      </c>
      <c r="G130" s="214">
        <f>+G122+G124</f>
        <v>122.1</v>
      </c>
      <c r="H130" s="214">
        <f>+H122+H124+H123</f>
        <v>69.400000000000006</v>
      </c>
      <c r="I130" s="214">
        <f>+I122+I124+I123</f>
        <v>62.6</v>
      </c>
      <c r="J130" s="1145"/>
      <c r="K130" s="295"/>
      <c r="L130" s="276"/>
      <c r="M130" s="268"/>
    </row>
    <row r="131" spans="1:13" s="65" customFormat="1" ht="15" customHeight="1" thickBot="1" x14ac:dyDescent="0.4">
      <c r="A131" s="12" t="s">
        <v>11</v>
      </c>
      <c r="B131" s="9" t="s">
        <v>28</v>
      </c>
      <c r="C131" s="1357" t="s">
        <v>33</v>
      </c>
      <c r="D131" s="1357"/>
      <c r="E131" s="1357"/>
      <c r="F131" s="1357"/>
      <c r="G131" s="270">
        <f>G130+G121+G109+G72</f>
        <v>1707.6</v>
      </c>
      <c r="H131" s="392">
        <f>H130+H121+H109+H72</f>
        <v>1351.1000000000001</v>
      </c>
      <c r="I131" s="259">
        <f>I130+I121+I109+I72</f>
        <v>1497.1</v>
      </c>
      <c r="J131" s="1379"/>
      <c r="K131" s="1380"/>
      <c r="L131" s="1380"/>
      <c r="M131" s="1381"/>
    </row>
    <row r="132" spans="1:13" s="65" customFormat="1" ht="16.5" customHeight="1" thickBot="1" x14ac:dyDescent="0.4">
      <c r="A132" s="8" t="s">
        <v>11</v>
      </c>
      <c r="B132" s="9" t="s">
        <v>30</v>
      </c>
      <c r="C132" s="1440" t="s">
        <v>72</v>
      </c>
      <c r="D132" s="1440"/>
      <c r="E132" s="1440"/>
      <c r="F132" s="1440"/>
      <c r="G132" s="1440"/>
      <c r="H132" s="1440"/>
      <c r="I132" s="1440"/>
      <c r="J132" s="1440"/>
      <c r="K132" s="1440"/>
      <c r="L132" s="1440"/>
      <c r="M132" s="1441"/>
    </row>
    <row r="133" spans="1:13" s="65" customFormat="1" ht="15.75" customHeight="1" x14ac:dyDescent="0.35">
      <c r="A133" s="16" t="s">
        <v>11</v>
      </c>
      <c r="B133" s="694" t="s">
        <v>30</v>
      </c>
      <c r="C133" s="695" t="s">
        <v>11</v>
      </c>
      <c r="D133" s="1422" t="s">
        <v>122</v>
      </c>
      <c r="E133" s="320"/>
      <c r="F133" s="73" t="s">
        <v>32</v>
      </c>
      <c r="G133" s="671">
        <f>303.4+40+141.6</f>
        <v>485</v>
      </c>
      <c r="H133" s="672">
        <f>160+200</f>
        <v>360</v>
      </c>
      <c r="I133" s="675"/>
      <c r="J133" s="693"/>
      <c r="K133" s="312"/>
      <c r="L133" s="320"/>
      <c r="M133" s="352"/>
    </row>
    <row r="134" spans="1:13" s="65" customFormat="1" ht="15.75" customHeight="1" x14ac:dyDescent="0.35">
      <c r="A134" s="791"/>
      <c r="B134" s="703"/>
      <c r="C134" s="704"/>
      <c r="D134" s="1491"/>
      <c r="E134" s="684"/>
      <c r="F134" s="74" t="s">
        <v>23</v>
      </c>
      <c r="G134" s="210">
        <f>80</f>
        <v>80</v>
      </c>
      <c r="H134" s="202"/>
      <c r="I134" s="377"/>
      <c r="J134" s="865"/>
      <c r="K134" s="684"/>
      <c r="L134" s="684"/>
      <c r="M134" s="708"/>
    </row>
    <row r="135" spans="1:13" s="65" customFormat="1" ht="15.75" customHeight="1" x14ac:dyDescent="0.35">
      <c r="A135" s="791"/>
      <c r="B135" s="703"/>
      <c r="C135" s="704"/>
      <c r="D135" s="1491"/>
      <c r="E135" s="684"/>
      <c r="F135" s="97" t="s">
        <v>74</v>
      </c>
      <c r="G135" s="210">
        <f>0.2+8.4</f>
        <v>8.6</v>
      </c>
      <c r="H135" s="202"/>
      <c r="I135" s="377"/>
      <c r="J135" s="865"/>
      <c r="K135" s="684"/>
      <c r="L135" s="684"/>
      <c r="M135" s="708"/>
    </row>
    <row r="136" spans="1:13" s="65" customFormat="1" ht="15.75" customHeight="1" x14ac:dyDescent="0.35">
      <c r="A136" s="791"/>
      <c r="B136" s="703"/>
      <c r="C136" s="704"/>
      <c r="D136" s="1491"/>
      <c r="E136" s="684"/>
      <c r="F136" s="97" t="s">
        <v>27</v>
      </c>
      <c r="G136" s="210">
        <v>3.1</v>
      </c>
      <c r="H136" s="202"/>
      <c r="I136" s="377"/>
      <c r="J136" s="865"/>
      <c r="K136" s="684"/>
      <c r="L136" s="684"/>
      <c r="M136" s="708"/>
    </row>
    <row r="137" spans="1:13" s="65" customFormat="1" ht="15.75" customHeight="1" x14ac:dyDescent="0.35">
      <c r="A137" s="791"/>
      <c r="B137" s="703"/>
      <c r="C137" s="704"/>
      <c r="D137" s="1492"/>
      <c r="E137" s="684"/>
      <c r="F137" s="38" t="s">
        <v>94</v>
      </c>
      <c r="G137" s="210">
        <v>18.3</v>
      </c>
      <c r="H137" s="202"/>
      <c r="I137" s="377"/>
      <c r="J137" s="688"/>
      <c r="K137" s="684"/>
      <c r="L137" s="684"/>
      <c r="M137" s="353"/>
    </row>
    <row r="138" spans="1:13" s="65" customFormat="1" ht="14.25" customHeight="1" x14ac:dyDescent="0.35">
      <c r="A138" s="114"/>
      <c r="B138" s="766"/>
      <c r="C138" s="696"/>
      <c r="D138" s="1354" t="s">
        <v>84</v>
      </c>
      <c r="E138" s="790" t="s">
        <v>31</v>
      </c>
      <c r="F138" s="994" t="s">
        <v>226</v>
      </c>
      <c r="G138" s="955">
        <v>0.2</v>
      </c>
      <c r="H138" s="956"/>
      <c r="I138" s="957"/>
      <c r="J138" s="1452" t="s">
        <v>105</v>
      </c>
      <c r="K138" s="1169">
        <v>1</v>
      </c>
      <c r="L138" s="709"/>
      <c r="M138" s="710"/>
    </row>
    <row r="139" spans="1:13" s="65" customFormat="1" ht="14.25" customHeight="1" x14ac:dyDescent="0.35">
      <c r="A139" s="114"/>
      <c r="B139" s="766"/>
      <c r="C139" s="767"/>
      <c r="D139" s="1442"/>
      <c r="E139" s="724" t="s">
        <v>123</v>
      </c>
      <c r="F139" s="996" t="s">
        <v>221</v>
      </c>
      <c r="G139" s="958">
        <v>3.1</v>
      </c>
      <c r="H139" s="958"/>
      <c r="I139" s="959"/>
      <c r="J139" s="1453"/>
      <c r="K139" s="592"/>
      <c r="L139" s="393"/>
      <c r="M139" s="374"/>
    </row>
    <row r="140" spans="1:13" s="65" customFormat="1" ht="19.5" customHeight="1" x14ac:dyDescent="0.35">
      <c r="A140" s="114"/>
      <c r="B140" s="766"/>
      <c r="C140" s="767"/>
      <c r="D140" s="1423"/>
      <c r="E140" s="796"/>
      <c r="F140" s="995" t="s">
        <v>229</v>
      </c>
      <c r="G140" s="960">
        <v>18.3</v>
      </c>
      <c r="H140" s="958"/>
      <c r="I140" s="959"/>
      <c r="J140" s="1454"/>
      <c r="K140" s="476"/>
      <c r="L140" s="393"/>
      <c r="M140" s="374"/>
    </row>
    <row r="141" spans="1:13" s="61" customFormat="1" ht="28.5" customHeight="1" x14ac:dyDescent="0.35">
      <c r="A141" s="114"/>
      <c r="B141" s="766"/>
      <c r="C141" s="767"/>
      <c r="D141" s="1354" t="s">
        <v>143</v>
      </c>
      <c r="E141" s="790" t="s">
        <v>31</v>
      </c>
      <c r="F141" s="981" t="s">
        <v>223</v>
      </c>
      <c r="G141" s="958">
        <f>463.4-160</f>
        <v>303.39999999999998</v>
      </c>
      <c r="H141" s="956">
        <v>160</v>
      </c>
      <c r="I141" s="957"/>
      <c r="J141" s="1121" t="s">
        <v>69</v>
      </c>
      <c r="K141" s="475"/>
      <c r="L141" s="428"/>
      <c r="M141" s="429"/>
    </row>
    <row r="142" spans="1:13" s="61" customFormat="1" ht="28.5" customHeight="1" x14ac:dyDescent="0.35">
      <c r="A142" s="114"/>
      <c r="B142" s="766"/>
      <c r="C142" s="767"/>
      <c r="D142" s="1428"/>
      <c r="E142" s="761" t="s">
        <v>240</v>
      </c>
      <c r="F142" s="996" t="s">
        <v>226</v>
      </c>
      <c r="G142" s="958">
        <v>8.4</v>
      </c>
      <c r="H142" s="958"/>
      <c r="I142" s="961"/>
      <c r="J142" s="1117" t="s">
        <v>121</v>
      </c>
      <c r="K142" s="462">
        <v>100</v>
      </c>
      <c r="L142" s="293"/>
      <c r="M142" s="287"/>
    </row>
    <row r="143" spans="1:13" s="61" customFormat="1" ht="21" customHeight="1" x14ac:dyDescent="0.35">
      <c r="A143" s="114"/>
      <c r="B143" s="766"/>
      <c r="C143" s="502"/>
      <c r="D143" s="1297" t="s">
        <v>206</v>
      </c>
      <c r="E143" s="1429" t="s">
        <v>31</v>
      </c>
      <c r="F143" s="984" t="s">
        <v>223</v>
      </c>
      <c r="G143" s="955">
        <v>40</v>
      </c>
      <c r="H143" s="956">
        <f>207-7</f>
        <v>200</v>
      </c>
      <c r="I143" s="959"/>
      <c r="J143" s="1109" t="s">
        <v>177</v>
      </c>
      <c r="K143" s="437">
        <v>60</v>
      </c>
      <c r="L143" s="798">
        <v>100</v>
      </c>
      <c r="M143" s="668"/>
    </row>
    <row r="144" spans="1:13" s="61" customFormat="1" ht="19.5" customHeight="1" x14ac:dyDescent="0.35">
      <c r="A144" s="114"/>
      <c r="B144" s="766"/>
      <c r="C144" s="502"/>
      <c r="D144" s="1299"/>
      <c r="E144" s="1430"/>
      <c r="F144" s="987" t="s">
        <v>220</v>
      </c>
      <c r="G144" s="960">
        <v>80</v>
      </c>
      <c r="H144" s="960"/>
      <c r="I144" s="961"/>
      <c r="J144" s="1152"/>
      <c r="K144" s="251"/>
      <c r="L144" s="643"/>
      <c r="M144" s="508"/>
    </row>
    <row r="145" spans="1:28" s="65" customFormat="1" ht="15" customHeight="1" thickBot="1" x14ac:dyDescent="0.35">
      <c r="A145" s="148"/>
      <c r="B145" s="149"/>
      <c r="C145" s="407"/>
      <c r="D145" s="622"/>
      <c r="E145" s="503"/>
      <c r="F145" s="624" t="s">
        <v>20</v>
      </c>
      <c r="G145" s="206">
        <f>+G133+G134+G135+G136+G137</f>
        <v>595</v>
      </c>
      <c r="H145" s="206">
        <f>+H133+H134+H135+H136+H137</f>
        <v>360</v>
      </c>
      <c r="I145" s="206">
        <f>+I133+I134+I135+I136+I137</f>
        <v>0</v>
      </c>
      <c r="J145" s="1148"/>
      <c r="K145" s="340"/>
      <c r="L145" s="267"/>
      <c r="M145" s="277"/>
    </row>
    <row r="146" spans="1:28" s="65" customFormat="1" ht="15.75" customHeight="1" thickBot="1" x14ac:dyDescent="0.4">
      <c r="A146" s="43" t="s">
        <v>11</v>
      </c>
      <c r="B146" s="113" t="s">
        <v>30</v>
      </c>
      <c r="C146" s="1434" t="s">
        <v>33</v>
      </c>
      <c r="D146" s="1435"/>
      <c r="E146" s="1435"/>
      <c r="F146" s="1436"/>
      <c r="G146" s="389">
        <f t="shared" ref="G146:I146" si="4">G145</f>
        <v>595</v>
      </c>
      <c r="H146" s="389">
        <f t="shared" si="4"/>
        <v>360</v>
      </c>
      <c r="I146" s="384">
        <f t="shared" si="4"/>
        <v>0</v>
      </c>
      <c r="J146" s="1380"/>
      <c r="K146" s="1380"/>
      <c r="L146" s="1380"/>
      <c r="M146" s="1381"/>
    </row>
    <row r="147" spans="1:28" s="65" customFormat="1" ht="15.75" customHeight="1" thickBot="1" x14ac:dyDescent="0.4">
      <c r="A147" s="12" t="s">
        <v>11</v>
      </c>
      <c r="B147" s="1443" t="s">
        <v>45</v>
      </c>
      <c r="C147" s="1444"/>
      <c r="D147" s="1444"/>
      <c r="E147" s="1444"/>
      <c r="F147" s="1445"/>
      <c r="G147" s="651">
        <f>G131+G54+G33+G146</f>
        <v>9034</v>
      </c>
      <c r="H147" s="390">
        <f>H131+H54+H33+H146</f>
        <v>7841.4000000000005</v>
      </c>
      <c r="I147" s="385">
        <f>I131+I54+I33+I146</f>
        <v>7202.4</v>
      </c>
      <c r="J147" s="380"/>
      <c r="K147" s="380"/>
      <c r="L147" s="380"/>
      <c r="M147" s="381"/>
    </row>
    <row r="148" spans="1:28" s="65" customFormat="1" ht="15.75" customHeight="1" thickBot="1" x14ac:dyDescent="0.4">
      <c r="A148" s="20" t="s">
        <v>15</v>
      </c>
      <c r="B148" s="1446" t="s">
        <v>46</v>
      </c>
      <c r="C148" s="1447"/>
      <c r="D148" s="1447"/>
      <c r="E148" s="1447"/>
      <c r="F148" s="1448"/>
      <c r="G148" s="652">
        <f t="shared" ref="G148:I148" si="5">G147</f>
        <v>9034</v>
      </c>
      <c r="H148" s="391">
        <f t="shared" si="5"/>
        <v>7841.4000000000005</v>
      </c>
      <c r="I148" s="379">
        <f t="shared" si="5"/>
        <v>7202.4</v>
      </c>
      <c r="J148" s="382"/>
      <c r="K148" s="382"/>
      <c r="L148" s="382"/>
      <c r="M148" s="383"/>
    </row>
    <row r="149" spans="1:28" s="45" customFormat="1" ht="11.25" customHeight="1" x14ac:dyDescent="0.35">
      <c r="A149" s="1449"/>
      <c r="B149" s="1450"/>
      <c r="C149" s="1450"/>
      <c r="D149" s="1450"/>
      <c r="E149" s="1450"/>
      <c r="F149" s="1450"/>
      <c r="G149" s="171"/>
      <c r="H149" s="171"/>
      <c r="I149" s="171"/>
      <c r="J149" s="88"/>
      <c r="K149" s="88"/>
      <c r="L149" s="88"/>
      <c r="M149" s="88"/>
      <c r="N149" s="65"/>
      <c r="O149" s="65"/>
      <c r="P149" s="65"/>
      <c r="Q149" s="65"/>
      <c r="R149" s="65"/>
      <c r="S149" s="65"/>
      <c r="T149" s="65"/>
      <c r="U149" s="65"/>
      <c r="V149" s="65"/>
      <c r="W149" s="65"/>
      <c r="X149" s="65"/>
      <c r="Y149" s="65"/>
      <c r="Z149" s="65"/>
      <c r="AA149" s="65"/>
      <c r="AB149" s="65"/>
    </row>
    <row r="150" spans="1:28" s="46" customFormat="1" ht="14.25" customHeight="1" x14ac:dyDescent="0.35">
      <c r="A150" s="88"/>
      <c r="B150" s="612"/>
      <c r="C150" s="612"/>
      <c r="D150" s="612"/>
      <c r="E150" s="613"/>
      <c r="F150" s="612"/>
      <c r="G150" s="614"/>
      <c r="H150" s="614"/>
      <c r="I150" s="614"/>
      <c r="J150" s="615"/>
      <c r="K150" s="88"/>
      <c r="L150" s="88"/>
      <c r="M150" s="88"/>
      <c r="N150" s="65"/>
      <c r="O150" s="65"/>
      <c r="P150" s="65"/>
      <c r="Q150" s="65"/>
      <c r="R150" s="65"/>
      <c r="S150" s="65"/>
      <c r="T150" s="65"/>
      <c r="U150" s="65"/>
      <c r="V150" s="65"/>
      <c r="W150" s="65"/>
      <c r="X150" s="65"/>
      <c r="Y150" s="65"/>
      <c r="Z150" s="65"/>
      <c r="AA150" s="65"/>
      <c r="AB150" s="65"/>
    </row>
    <row r="151" spans="1:28" s="21" customFormat="1" ht="16.5" customHeight="1" thickBot="1" x14ac:dyDescent="0.4">
      <c r="A151" s="1451" t="s">
        <v>47</v>
      </c>
      <c r="B151" s="1451"/>
      <c r="C151" s="1451"/>
      <c r="D151" s="1451"/>
      <c r="E151" s="1451"/>
      <c r="F151" s="1451"/>
      <c r="G151" s="22"/>
      <c r="H151" s="22"/>
      <c r="I151" s="22"/>
      <c r="J151" s="6"/>
      <c r="K151" s="6"/>
      <c r="L151" s="6"/>
      <c r="M151" s="6"/>
      <c r="N151" s="65"/>
      <c r="O151" s="65"/>
      <c r="P151" s="65"/>
      <c r="Q151" s="65"/>
      <c r="R151" s="65"/>
      <c r="S151" s="65"/>
      <c r="T151" s="65"/>
      <c r="U151" s="65"/>
      <c r="V151" s="65"/>
      <c r="W151" s="65"/>
      <c r="X151" s="65"/>
      <c r="Y151" s="65"/>
      <c r="Z151" s="65"/>
      <c r="AA151" s="65"/>
      <c r="AB151" s="65"/>
    </row>
    <row r="152" spans="1:28" s="65" customFormat="1" ht="56.15" customHeight="1" thickBot="1" x14ac:dyDescent="0.4">
      <c r="A152" s="1485" t="s">
        <v>48</v>
      </c>
      <c r="B152" s="1486"/>
      <c r="C152" s="1486"/>
      <c r="D152" s="1486"/>
      <c r="E152" s="1486"/>
      <c r="F152" s="1487"/>
      <c r="G152" s="816" t="s">
        <v>241</v>
      </c>
      <c r="H152" s="816" t="s">
        <v>242</v>
      </c>
      <c r="I152" s="817" t="s">
        <v>243</v>
      </c>
      <c r="J152" s="1"/>
      <c r="K152" s="515"/>
      <c r="L152" s="515"/>
      <c r="M152" s="515"/>
    </row>
    <row r="153" spans="1:28" s="65" customFormat="1" x14ac:dyDescent="0.35">
      <c r="A153" s="1488" t="s">
        <v>49</v>
      </c>
      <c r="B153" s="1489"/>
      <c r="C153" s="1489"/>
      <c r="D153" s="1489"/>
      <c r="E153" s="1489"/>
      <c r="F153" s="1490"/>
      <c r="G153" s="82">
        <f t="shared" ref="G153:I153" si="6">G154+G161+G162+G164+G163+G165</f>
        <v>9012</v>
      </c>
      <c r="H153" s="82">
        <f t="shared" si="6"/>
        <v>7794.4000000000005</v>
      </c>
      <c r="I153" s="82">
        <f t="shared" si="6"/>
        <v>7000.1</v>
      </c>
      <c r="J153" s="23"/>
      <c r="K153" s="515"/>
      <c r="L153" s="515"/>
      <c r="M153" s="515"/>
      <c r="N153" s="58"/>
      <c r="O153" s="58"/>
      <c r="P153" s="58"/>
      <c r="Q153" s="58"/>
      <c r="R153" s="58"/>
      <c r="S153" s="58"/>
      <c r="T153" s="58"/>
      <c r="U153" s="58"/>
      <c r="V153" s="58"/>
    </row>
    <row r="154" spans="1:28" s="65" customFormat="1" ht="12.75" customHeight="1" x14ac:dyDescent="0.3">
      <c r="A154" s="1437" t="s">
        <v>50</v>
      </c>
      <c r="B154" s="1438"/>
      <c r="C154" s="1438"/>
      <c r="D154" s="1438"/>
      <c r="E154" s="1438"/>
      <c r="F154" s="1439"/>
      <c r="G154" s="30">
        <f t="shared" ref="G154:I154" si="7">SUM(G155:G160)</f>
        <v>7788</v>
      </c>
      <c r="H154" s="30">
        <f t="shared" si="7"/>
        <v>7156.3</v>
      </c>
      <c r="I154" s="30">
        <f t="shared" si="7"/>
        <v>6648.3</v>
      </c>
      <c r="J154" s="23"/>
      <c r="K154" s="515"/>
      <c r="L154" s="515"/>
      <c r="M154" s="515"/>
      <c r="N154" s="58"/>
      <c r="O154" s="58"/>
      <c r="P154" s="58"/>
      <c r="Q154" s="58"/>
      <c r="R154" s="58"/>
      <c r="S154" s="58"/>
      <c r="T154" s="58"/>
      <c r="U154" s="58"/>
      <c r="V154" s="58"/>
    </row>
    <row r="155" spans="1:28" s="65" customFormat="1" x14ac:dyDescent="0.35">
      <c r="A155" s="1493" t="s">
        <v>51</v>
      </c>
      <c r="B155" s="1494"/>
      <c r="C155" s="1494"/>
      <c r="D155" s="1494"/>
      <c r="E155" s="1494"/>
      <c r="F155" s="1495"/>
      <c r="G155" s="31">
        <f>SUMIF(F15:F148,"SB",G15:G148)</f>
        <v>1779.5</v>
      </c>
      <c r="H155" s="31">
        <f>SUMIF(F15:F148,"SB",H15:H148)</f>
        <v>1680</v>
      </c>
      <c r="I155" s="31">
        <f>SUMIF(F15:F148,"SB",I15:I148)</f>
        <v>1093.3</v>
      </c>
      <c r="J155" s="23"/>
      <c r="K155" s="515"/>
      <c r="L155" s="515"/>
      <c r="M155" s="515"/>
      <c r="N155" s="58"/>
      <c r="O155" s="58"/>
      <c r="P155" s="58"/>
      <c r="Q155" s="58"/>
      <c r="R155" s="58"/>
      <c r="S155" s="58"/>
      <c r="T155" s="58"/>
      <c r="U155" s="58"/>
      <c r="V155" s="58"/>
    </row>
    <row r="156" spans="1:28" s="65" customFormat="1" ht="14.25" customHeight="1" x14ac:dyDescent="0.35">
      <c r="A156" s="1496" t="s">
        <v>110</v>
      </c>
      <c r="B156" s="1497"/>
      <c r="C156" s="1497"/>
      <c r="D156" s="1497"/>
      <c r="E156" s="1497"/>
      <c r="F156" s="1498"/>
      <c r="G156" s="650">
        <f>SUMIF(F15:F148,"SB(AA)",G15:G148)</f>
        <v>504</v>
      </c>
      <c r="H156" s="650">
        <f>SUMIF(F15:F148,"SB(AA)",H15:H148)</f>
        <v>638.29999999999995</v>
      </c>
      <c r="I156" s="650">
        <f>SUMIF(F15:F148,"SB(AA)",I15:I148)</f>
        <v>717</v>
      </c>
      <c r="J156" s="23"/>
      <c r="K156" s="515"/>
      <c r="L156" s="515"/>
      <c r="M156" s="515"/>
      <c r="N156" s="58"/>
      <c r="O156" s="58"/>
      <c r="P156" s="58"/>
      <c r="Q156" s="58"/>
      <c r="R156" s="58"/>
      <c r="S156" s="58"/>
      <c r="T156" s="58"/>
      <c r="U156" s="58"/>
      <c r="V156" s="58"/>
    </row>
    <row r="157" spans="1:28" s="65" customFormat="1" x14ac:dyDescent="0.35">
      <c r="A157" s="1431" t="s">
        <v>52</v>
      </c>
      <c r="B157" s="1432"/>
      <c r="C157" s="1432"/>
      <c r="D157" s="1432"/>
      <c r="E157" s="1432"/>
      <c r="F157" s="1433"/>
      <c r="G157" s="31">
        <f>SUMIF(F15:F148,"SB(VR)",G15:G148)</f>
        <v>4880</v>
      </c>
      <c r="H157" s="31">
        <f>SUMIF(F15:F148,"SB(VR)",H15:H148)</f>
        <v>4838</v>
      </c>
      <c r="I157" s="31">
        <f>SUMIF(F15:F148,"SB(VR)",I15:I148)</f>
        <v>4838</v>
      </c>
      <c r="J157" s="85"/>
      <c r="K157" s="515"/>
      <c r="L157" s="515"/>
      <c r="M157" s="515"/>
      <c r="N157" s="58"/>
      <c r="O157" s="58"/>
      <c r="P157" s="58"/>
      <c r="Q157" s="58"/>
      <c r="R157" s="58"/>
      <c r="S157" s="58"/>
      <c r="T157" s="58"/>
      <c r="U157" s="58"/>
      <c r="V157" s="58"/>
    </row>
    <row r="158" spans="1:28" s="65" customFormat="1" ht="14.25" customHeight="1" x14ac:dyDescent="0.35">
      <c r="A158" s="1431" t="s">
        <v>53</v>
      </c>
      <c r="B158" s="1432"/>
      <c r="C158" s="1432"/>
      <c r="D158" s="1432"/>
      <c r="E158" s="1432"/>
      <c r="F158" s="1433"/>
      <c r="G158" s="31">
        <f>SUMIF(F15:F148,"SB(VB)",G15:G148)</f>
        <v>103.2</v>
      </c>
      <c r="H158" s="31">
        <f>SUMIF(F15:F148,"SB(VB)",H15:H148)</f>
        <v>0</v>
      </c>
      <c r="I158" s="31">
        <f>SUMIF(F15:F148,"SB(VB)",I15:I148)</f>
        <v>0</v>
      </c>
      <c r="J158" s="23"/>
      <c r="K158" s="515"/>
      <c r="L158" s="515"/>
      <c r="M158" s="515"/>
      <c r="N158" s="58"/>
      <c r="O158" s="58"/>
      <c r="P158" s="58"/>
      <c r="Q158" s="58"/>
      <c r="R158" s="58"/>
      <c r="S158" s="58"/>
      <c r="T158" s="58"/>
      <c r="U158" s="58"/>
      <c r="V158" s="58"/>
    </row>
    <row r="159" spans="1:28" s="65" customFormat="1" ht="27" customHeight="1" x14ac:dyDescent="0.35">
      <c r="A159" s="1431" t="s">
        <v>98</v>
      </c>
      <c r="B159" s="1432"/>
      <c r="C159" s="1432"/>
      <c r="D159" s="1432"/>
      <c r="E159" s="1432"/>
      <c r="F159" s="1433"/>
      <c r="G159" s="31">
        <f>SUMIF(F15:F148,"SB(ESA)",G15:G148)</f>
        <v>0</v>
      </c>
      <c r="H159" s="31">
        <f>SUMIF(F15:F148,"SB(ESA)",H15:H148)</f>
        <v>0</v>
      </c>
      <c r="I159" s="31">
        <f>SUMIF(F15:F148,"SB(ESA)",I15:I148)</f>
        <v>0</v>
      </c>
      <c r="J159" s="23"/>
      <c r="K159" s="515"/>
      <c r="L159" s="515"/>
      <c r="M159" s="515"/>
      <c r="N159" s="58"/>
      <c r="O159" s="58"/>
      <c r="P159" s="58"/>
      <c r="Q159" s="58"/>
      <c r="R159" s="58"/>
      <c r="S159" s="58"/>
      <c r="T159" s="58"/>
      <c r="U159" s="58"/>
      <c r="V159" s="58"/>
    </row>
    <row r="160" spans="1:28" s="65" customFormat="1" ht="27.75" customHeight="1" x14ac:dyDescent="0.35">
      <c r="A160" s="1431" t="s">
        <v>237</v>
      </c>
      <c r="B160" s="1432"/>
      <c r="C160" s="1432"/>
      <c r="D160" s="1432"/>
      <c r="E160" s="1432"/>
      <c r="F160" s="1433"/>
      <c r="G160" s="31">
        <f>SUMIF(F15:F148,"SB(ES)",G15:G148)</f>
        <v>521.29999999999995</v>
      </c>
      <c r="H160" s="31">
        <f>SUMIF(F15:F148,"SB(ES)",H15:H148)</f>
        <v>0</v>
      </c>
      <c r="I160" s="31">
        <f>SUMIF(F15:F148,"SB(ES)",I15:I148)</f>
        <v>0</v>
      </c>
      <c r="J160" s="85"/>
      <c r="K160" s="515"/>
      <c r="L160" s="515"/>
      <c r="M160" s="515"/>
      <c r="N160" s="58"/>
      <c r="O160" s="58"/>
      <c r="P160" s="58"/>
      <c r="Q160" s="58"/>
      <c r="R160" s="58"/>
      <c r="S160" s="58"/>
      <c r="T160" s="58"/>
      <c r="U160" s="58"/>
      <c r="V160" s="58"/>
    </row>
    <row r="161" spans="1:22" s="65" customFormat="1" ht="27" customHeight="1" x14ac:dyDescent="0.35">
      <c r="A161" s="1470" t="s">
        <v>54</v>
      </c>
      <c r="B161" s="1471"/>
      <c r="C161" s="1471"/>
      <c r="D161" s="1471"/>
      <c r="E161" s="1471"/>
      <c r="F161" s="1472"/>
      <c r="G161" s="32">
        <f>SUMIF(F15:F148,"SB(AAL)",G15:G148)</f>
        <v>230.49999999999997</v>
      </c>
      <c r="H161" s="32">
        <f>SUMIF(F15:F148,"SB(AAL)",H15:H148)</f>
        <v>0</v>
      </c>
      <c r="I161" s="32">
        <f>SUMIF(F15:F148,"SB(AAL)",I15:I148)</f>
        <v>0</v>
      </c>
      <c r="J161" s="23"/>
      <c r="K161" s="515"/>
      <c r="L161" s="515"/>
      <c r="M161" s="515"/>
      <c r="N161" s="58"/>
      <c r="O161" s="58"/>
      <c r="P161" s="58"/>
      <c r="Q161" s="58"/>
      <c r="R161" s="58"/>
      <c r="S161" s="58"/>
      <c r="T161" s="58"/>
      <c r="U161" s="58"/>
      <c r="V161" s="58"/>
    </row>
    <row r="162" spans="1:22" s="65" customFormat="1" ht="27.75" customHeight="1" x14ac:dyDescent="0.35">
      <c r="A162" s="1482" t="s">
        <v>211</v>
      </c>
      <c r="B162" s="1483"/>
      <c r="C162" s="1483"/>
      <c r="D162" s="1483"/>
      <c r="E162" s="1483"/>
      <c r="F162" s="1484"/>
      <c r="G162" s="32">
        <f>SUMIF(F15:F148,"SB(ESL)",G15:G148)</f>
        <v>18.400000000000002</v>
      </c>
      <c r="H162" s="32">
        <f>SUMIF(F15:F148,"SB(ESL)",H15:H148)</f>
        <v>0</v>
      </c>
      <c r="I162" s="32">
        <f>SUMIF(F15:F148,"SB(ESL)",I15:I148)</f>
        <v>0</v>
      </c>
      <c r="J162" s="23"/>
      <c r="K162" s="515"/>
      <c r="L162" s="515"/>
      <c r="M162" s="515"/>
      <c r="N162" s="58"/>
      <c r="O162" s="58"/>
      <c r="P162" s="58"/>
      <c r="Q162" s="58"/>
      <c r="R162" s="58"/>
      <c r="S162" s="58"/>
      <c r="T162" s="58"/>
      <c r="U162" s="58"/>
      <c r="V162" s="58"/>
    </row>
    <row r="163" spans="1:22" s="65" customFormat="1" ht="13" customHeight="1" x14ac:dyDescent="0.35">
      <c r="A163" s="1470" t="s">
        <v>209</v>
      </c>
      <c r="B163" s="1471"/>
      <c r="C163" s="1471"/>
      <c r="D163" s="1471"/>
      <c r="E163" s="1471"/>
      <c r="F163" s="1472"/>
      <c r="G163" s="32">
        <f>SUMIF(F15:F148,"SB(VRL)",G15:G148)</f>
        <v>789</v>
      </c>
      <c r="H163" s="32">
        <f>SUMIF(F15:F148,"SB(VRL)",H15:H148)</f>
        <v>638.1</v>
      </c>
      <c r="I163" s="32">
        <f>SUMIF(F15:F148,"SB(VRL)",I15:I148)</f>
        <v>351.8</v>
      </c>
      <c r="J163" s="23"/>
      <c r="K163" s="515"/>
      <c r="L163" s="515"/>
      <c r="M163" s="515"/>
      <c r="N163" s="58"/>
      <c r="O163" s="58"/>
      <c r="P163" s="58"/>
      <c r="Q163" s="58"/>
      <c r="R163" s="58"/>
      <c r="S163" s="58"/>
      <c r="T163" s="58"/>
      <c r="U163" s="58"/>
      <c r="V163" s="58"/>
    </row>
    <row r="164" spans="1:22" s="65" customFormat="1" x14ac:dyDescent="0.35">
      <c r="A164" s="1470" t="s">
        <v>210</v>
      </c>
      <c r="B164" s="1471"/>
      <c r="C164" s="1471"/>
      <c r="D164" s="1471"/>
      <c r="E164" s="1471"/>
      <c r="F164" s="1472"/>
      <c r="G164" s="32">
        <f>SUMIF(F15:F148,"SB(L)",G15:G148)</f>
        <v>186</v>
      </c>
      <c r="H164" s="32">
        <f>SUMIF(F15:F148,"SB(L)",H15:H148)</f>
        <v>0</v>
      </c>
      <c r="I164" s="32">
        <f>SUMIF(F15:F148,"SB(L)",I15:I148)</f>
        <v>0</v>
      </c>
      <c r="J164" s="23"/>
      <c r="K164" s="515"/>
      <c r="L164" s="515"/>
      <c r="M164" s="515"/>
      <c r="N164" s="58"/>
      <c r="O164" s="58"/>
      <c r="P164" s="58"/>
      <c r="Q164" s="58"/>
      <c r="R164" s="58"/>
      <c r="S164" s="58"/>
      <c r="T164" s="58"/>
      <c r="U164" s="58"/>
      <c r="V164" s="58"/>
    </row>
    <row r="165" spans="1:22" s="65" customFormat="1" ht="26.25" customHeight="1" x14ac:dyDescent="0.35">
      <c r="A165" s="1470" t="s">
        <v>139</v>
      </c>
      <c r="B165" s="1471"/>
      <c r="C165" s="1471"/>
      <c r="D165" s="1471"/>
      <c r="E165" s="1471"/>
      <c r="F165" s="1472"/>
      <c r="G165" s="32">
        <f>SUMIF(F15:F148,"SB(VBL)",G15:G148)</f>
        <v>0.1</v>
      </c>
      <c r="H165" s="32">
        <f>SUMIF(F15:F148,"SB(VBL)",H15:H148)</f>
        <v>0</v>
      </c>
      <c r="I165" s="32">
        <f>SUMIF(F15:F148,"SB(VBL)",I15:I148)</f>
        <v>0</v>
      </c>
      <c r="J165" s="23"/>
      <c r="K165" s="515"/>
      <c r="L165" s="515"/>
      <c r="M165" s="515"/>
      <c r="N165" s="58"/>
      <c r="O165" s="58"/>
      <c r="P165" s="58"/>
      <c r="Q165" s="58"/>
      <c r="R165" s="58"/>
      <c r="S165" s="58"/>
      <c r="T165" s="58"/>
      <c r="U165" s="58"/>
      <c r="V165" s="58"/>
    </row>
    <row r="166" spans="1:22" s="65" customFormat="1" x14ac:dyDescent="0.35">
      <c r="A166" s="1473" t="s">
        <v>55</v>
      </c>
      <c r="B166" s="1474"/>
      <c r="C166" s="1474"/>
      <c r="D166" s="1474"/>
      <c r="E166" s="1474"/>
      <c r="F166" s="1475"/>
      <c r="G166" s="27">
        <f t="shared" ref="G166:H166" si="8">SUM(G167:G169)</f>
        <v>22</v>
      </c>
      <c r="H166" s="27">
        <f t="shared" si="8"/>
        <v>47</v>
      </c>
      <c r="I166" s="27">
        <f>SUM(I167:I169)</f>
        <v>202.3</v>
      </c>
      <c r="J166" s="23"/>
      <c r="K166" s="515"/>
      <c r="L166" s="515"/>
      <c r="M166" s="515"/>
      <c r="N166" s="58"/>
      <c r="O166" s="58"/>
      <c r="P166" s="58"/>
      <c r="Q166" s="58"/>
      <c r="R166" s="58"/>
      <c r="S166" s="58"/>
      <c r="T166" s="58"/>
      <c r="U166" s="58"/>
      <c r="V166" s="58"/>
    </row>
    <row r="167" spans="1:22" s="65" customFormat="1" x14ac:dyDescent="0.35">
      <c r="A167" s="1476" t="s">
        <v>56</v>
      </c>
      <c r="B167" s="1477"/>
      <c r="C167" s="1477"/>
      <c r="D167" s="1477"/>
      <c r="E167" s="1477"/>
      <c r="F167" s="1478"/>
      <c r="G167" s="31">
        <f>SUMIF(F15:F148,"ES",G15:G148)</f>
        <v>0</v>
      </c>
      <c r="H167" s="31">
        <f>SUMIF(F15:F148,"ES",H15:H148)</f>
        <v>0</v>
      </c>
      <c r="I167" s="31">
        <f>SUMIF(F15:F148,"ES",I15:I148)</f>
        <v>182.3</v>
      </c>
      <c r="J167" s="23"/>
      <c r="K167" s="515"/>
      <c r="L167" s="515"/>
      <c r="M167" s="515"/>
      <c r="N167" s="58"/>
      <c r="O167" s="58"/>
      <c r="P167" s="58"/>
      <c r="Q167" s="58"/>
      <c r="R167" s="58"/>
      <c r="S167" s="58"/>
      <c r="T167" s="58"/>
      <c r="U167" s="58"/>
      <c r="V167" s="58"/>
    </row>
    <row r="168" spans="1:22" s="65" customFormat="1" x14ac:dyDescent="0.35">
      <c r="A168" s="1479" t="s">
        <v>57</v>
      </c>
      <c r="B168" s="1480"/>
      <c r="C168" s="1480"/>
      <c r="D168" s="1480"/>
      <c r="E168" s="1480"/>
      <c r="F168" s="1481"/>
      <c r="G168" s="31">
        <f>SUMIF(F15:F148,"LRVB",G15:G148)</f>
        <v>0</v>
      </c>
      <c r="H168" s="31">
        <f>SUMIF(F15:F148,"LRVB",H15:H148)</f>
        <v>25</v>
      </c>
      <c r="I168" s="31">
        <f>SUMIF(F15:F148,"LRVB",I15:I148)</f>
        <v>20</v>
      </c>
      <c r="J168" s="23"/>
      <c r="K168" s="515"/>
      <c r="L168" s="515"/>
      <c r="M168" s="515"/>
      <c r="N168" s="58"/>
      <c r="O168" s="58"/>
      <c r="P168" s="58"/>
      <c r="Q168" s="58"/>
      <c r="R168" s="58"/>
      <c r="S168" s="58"/>
      <c r="T168" s="58"/>
      <c r="U168" s="58"/>
      <c r="V168" s="58"/>
    </row>
    <row r="169" spans="1:22" s="65" customFormat="1" x14ac:dyDescent="0.35">
      <c r="A169" s="1479" t="s">
        <v>58</v>
      </c>
      <c r="B169" s="1480"/>
      <c r="C169" s="1480"/>
      <c r="D169" s="1480"/>
      <c r="E169" s="1480"/>
      <c r="F169" s="1481"/>
      <c r="G169" s="31">
        <f>SUMIF(F15:F148,"Kt",G15:G148)</f>
        <v>22</v>
      </c>
      <c r="H169" s="31">
        <f>SUMIF(F15:F148,"Kt",H15:H148)</f>
        <v>22</v>
      </c>
      <c r="I169" s="31">
        <f>SUMIF(F15:F148,"Kt",I15:I148)</f>
        <v>0</v>
      </c>
      <c r="J169" s="23"/>
      <c r="K169" s="1"/>
      <c r="L169" s="1"/>
      <c r="M169" s="1"/>
      <c r="N169" s="58"/>
      <c r="O169" s="58"/>
      <c r="P169" s="58"/>
      <c r="Q169" s="58"/>
      <c r="R169" s="58"/>
      <c r="S169" s="58"/>
      <c r="T169" s="58"/>
      <c r="U169" s="58"/>
      <c r="V169" s="58"/>
    </row>
    <row r="170" spans="1:22" s="65" customFormat="1" ht="13.5" thickBot="1" x14ac:dyDescent="0.4">
      <c r="A170" s="1465" t="s">
        <v>59</v>
      </c>
      <c r="B170" s="1466"/>
      <c r="C170" s="1466"/>
      <c r="D170" s="1466"/>
      <c r="E170" s="1466"/>
      <c r="F170" s="1467"/>
      <c r="G170" s="28">
        <f>SUM(G153,G166)</f>
        <v>9034</v>
      </c>
      <c r="H170" s="28">
        <f t="shared" ref="H170" si="9">SUM(H153,H166)</f>
        <v>7841.4000000000005</v>
      </c>
      <c r="I170" s="28">
        <f>SUM(I153,I166)</f>
        <v>7202.4000000000005</v>
      </c>
      <c r="J170" s="7"/>
      <c r="N170" s="58"/>
      <c r="O170" s="58"/>
      <c r="P170" s="58"/>
      <c r="Q170" s="58"/>
      <c r="R170" s="58"/>
      <c r="S170" s="58"/>
      <c r="T170" s="58"/>
      <c r="U170" s="58"/>
      <c r="V170" s="58"/>
    </row>
    <row r="171" spans="1:22" s="65" customFormat="1" x14ac:dyDescent="0.35">
      <c r="A171" s="1"/>
      <c r="B171" s="1"/>
      <c r="C171" s="1"/>
      <c r="D171" s="1"/>
      <c r="E171" s="48"/>
      <c r="F171" s="89"/>
      <c r="G171" s="89"/>
      <c r="H171" s="89"/>
      <c r="I171" s="89"/>
      <c r="J171" s="23"/>
      <c r="K171" s="1"/>
      <c r="L171" s="1"/>
      <c r="M171" s="1"/>
    </row>
    <row r="172" spans="1:22" x14ac:dyDescent="0.3">
      <c r="E172" s="717"/>
      <c r="F172" s="718"/>
      <c r="G172" s="718"/>
      <c r="H172" s="718"/>
      <c r="I172" s="719"/>
    </row>
    <row r="173" spans="1:22" x14ac:dyDescent="0.3">
      <c r="G173" s="71"/>
      <c r="H173" s="71"/>
      <c r="I173" s="71"/>
    </row>
    <row r="174" spans="1:22" x14ac:dyDescent="0.3">
      <c r="G174" s="71"/>
      <c r="H174" s="71"/>
      <c r="I174" s="71"/>
    </row>
    <row r="175" spans="1:22" x14ac:dyDescent="0.3">
      <c r="G175" s="71"/>
      <c r="H175" s="71"/>
      <c r="I175" s="71"/>
    </row>
    <row r="176" spans="1:22" x14ac:dyDescent="0.3">
      <c r="G176" s="71"/>
      <c r="H176" s="71"/>
      <c r="I176" s="71"/>
    </row>
    <row r="182" spans="11:11" x14ac:dyDescent="0.3">
      <c r="K182" s="71"/>
    </row>
  </sheetData>
  <mergeCells count="129">
    <mergeCell ref="A170:F170"/>
    <mergeCell ref="J2:L2"/>
    <mergeCell ref="D63:D64"/>
    <mergeCell ref="D86:D87"/>
    <mergeCell ref="D15:D16"/>
    <mergeCell ref="A164:F164"/>
    <mergeCell ref="A165:F165"/>
    <mergeCell ref="A166:F166"/>
    <mergeCell ref="A167:F167"/>
    <mergeCell ref="A168:F168"/>
    <mergeCell ref="A169:F169"/>
    <mergeCell ref="A158:F158"/>
    <mergeCell ref="A159:F159"/>
    <mergeCell ref="A160:F160"/>
    <mergeCell ref="A161:F161"/>
    <mergeCell ref="A162:F162"/>
    <mergeCell ref="A163:F163"/>
    <mergeCell ref="A152:F152"/>
    <mergeCell ref="A153:F153"/>
    <mergeCell ref="D35:D38"/>
    <mergeCell ref="D44:D46"/>
    <mergeCell ref="D133:D137"/>
    <mergeCell ref="A155:F155"/>
    <mergeCell ref="A156:F156"/>
    <mergeCell ref="D141:D142"/>
    <mergeCell ref="D143:D144"/>
    <mergeCell ref="E143:E144"/>
    <mergeCell ref="C131:F131"/>
    <mergeCell ref="D118:D120"/>
    <mergeCell ref="D115:D116"/>
    <mergeCell ref="A157:F157"/>
    <mergeCell ref="C146:F146"/>
    <mergeCell ref="A154:F154"/>
    <mergeCell ref="C132:M132"/>
    <mergeCell ref="D138:D140"/>
    <mergeCell ref="J146:M146"/>
    <mergeCell ref="B147:F147"/>
    <mergeCell ref="B148:F148"/>
    <mergeCell ref="A149:F149"/>
    <mergeCell ref="A151:F151"/>
    <mergeCell ref="J138:J140"/>
    <mergeCell ref="J131:M131"/>
    <mergeCell ref="F115:F116"/>
    <mergeCell ref="G115:G116"/>
    <mergeCell ref="H115:H116"/>
    <mergeCell ref="A126:A129"/>
    <mergeCell ref="B126:B129"/>
    <mergeCell ref="C126:C129"/>
    <mergeCell ref="D126:D129"/>
    <mergeCell ref="E126:E129"/>
    <mergeCell ref="J127:J128"/>
    <mergeCell ref="I115:I116"/>
    <mergeCell ref="A92:A109"/>
    <mergeCell ref="B92:B109"/>
    <mergeCell ref="C92:C109"/>
    <mergeCell ref="D92:D95"/>
    <mergeCell ref="J94:J95"/>
    <mergeCell ref="D99:D103"/>
    <mergeCell ref="J99:J103"/>
    <mergeCell ref="D112:D114"/>
    <mergeCell ref="J113:J114"/>
    <mergeCell ref="D104:D108"/>
    <mergeCell ref="J104:J106"/>
    <mergeCell ref="J107:J108"/>
    <mergeCell ref="D110:D111"/>
    <mergeCell ref="E110:E111"/>
    <mergeCell ref="D96:D97"/>
    <mergeCell ref="D82:D85"/>
    <mergeCell ref="J82:J85"/>
    <mergeCell ref="J63:J64"/>
    <mergeCell ref="J65:J66"/>
    <mergeCell ref="D68:D70"/>
    <mergeCell ref="C54:F54"/>
    <mergeCell ref="J54:M54"/>
    <mergeCell ref="C55:M55"/>
    <mergeCell ref="D61:D62"/>
    <mergeCell ref="J61:J62"/>
    <mergeCell ref="D73:D74"/>
    <mergeCell ref="E41:E42"/>
    <mergeCell ref="J41:J42"/>
    <mergeCell ref="D49:D50"/>
    <mergeCell ref="C33:F33"/>
    <mergeCell ref="C34:M34"/>
    <mergeCell ref="A35:A40"/>
    <mergeCell ref="B35:B40"/>
    <mergeCell ref="C35:C40"/>
    <mergeCell ref="D39:D40"/>
    <mergeCell ref="E39:E40"/>
    <mergeCell ref="H8:H10"/>
    <mergeCell ref="A21:A23"/>
    <mergeCell ref="B21:B23"/>
    <mergeCell ref="C21:C23"/>
    <mergeCell ref="D21:D22"/>
    <mergeCell ref="A30:A31"/>
    <mergeCell ref="B30:B31"/>
    <mergeCell ref="C30:C31"/>
    <mergeCell ref="D30:D31"/>
    <mergeCell ref="A25:A27"/>
    <mergeCell ref="B25:B27"/>
    <mergeCell ref="C25:C27"/>
    <mergeCell ref="D25:D27"/>
    <mergeCell ref="A28:A29"/>
    <mergeCell ref="B28:B29"/>
    <mergeCell ref="C28:C29"/>
    <mergeCell ref="D28:D29"/>
    <mergeCell ref="A4:M4"/>
    <mergeCell ref="A5:M5"/>
    <mergeCell ref="A6:M6"/>
    <mergeCell ref="D89:D91"/>
    <mergeCell ref="J1:M1"/>
    <mergeCell ref="L7:M7"/>
    <mergeCell ref="A8:A10"/>
    <mergeCell ref="B8:B10"/>
    <mergeCell ref="C8:C10"/>
    <mergeCell ref="D8:D10"/>
    <mergeCell ref="B13:M13"/>
    <mergeCell ref="C14:M14"/>
    <mergeCell ref="A15:A18"/>
    <mergeCell ref="B15:B18"/>
    <mergeCell ref="C15:C18"/>
    <mergeCell ref="I8:I10"/>
    <mergeCell ref="J8:M8"/>
    <mergeCell ref="J9:J10"/>
    <mergeCell ref="K9:M9"/>
    <mergeCell ref="A11:M11"/>
    <mergeCell ref="A12:M12"/>
    <mergeCell ref="E8:E10"/>
    <mergeCell ref="F8:F10"/>
    <mergeCell ref="G8:G10"/>
  </mergeCells>
  <printOptions horizontalCentered="1"/>
  <pageMargins left="0.78740157480314965" right="0.19685039370078741" top="0.39370078740157483" bottom="0.39370078740157483" header="0.31496062992125984" footer="0.31496062992125984"/>
  <pageSetup paperSize="9" scale="69" fitToHeight="0" orientation="portrait" r:id="rId1"/>
  <rowBreaks count="3" manualBreakCount="3">
    <brk id="47" max="12" man="1"/>
    <brk id="96" max="12" man="1"/>
    <brk id="150" max="12" man="1"/>
  </rowBreaks>
  <ignoredErrors>
    <ignoredError sqref="K125:M125 K18:M18 L19:M19" numberStoredAsText="1"/>
    <ignoredError sqref="G147:I14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79"/>
  <sheetViews>
    <sheetView topLeftCell="A111" zoomScaleNormal="100" zoomScaleSheetLayoutView="100" workbookViewId="0">
      <selection activeCell="F123" sqref="F123:O123"/>
    </sheetView>
  </sheetViews>
  <sheetFormatPr defaultColWidth="9.1796875" defaultRowHeight="13" x14ac:dyDescent="0.3"/>
  <cols>
    <col min="1" max="1" width="2.81640625" style="72" customWidth="1"/>
    <col min="2" max="2" width="3.1796875" style="72" customWidth="1"/>
    <col min="3" max="3" width="2.81640625" style="72" customWidth="1"/>
    <col min="4" max="4" width="32.1796875" style="72" customWidth="1"/>
    <col min="5" max="5" width="4.26953125" style="137" customWidth="1"/>
    <col min="6" max="6" width="8.54296875" style="72" customWidth="1"/>
    <col min="7" max="15" width="7.1796875" style="72" customWidth="1"/>
    <col min="16" max="16" width="34" style="72" customWidth="1"/>
    <col min="17" max="22" width="4.54296875" style="72" customWidth="1"/>
    <col min="23" max="23" width="30.1796875" style="72" customWidth="1"/>
    <col min="24" max="16384" width="9.1796875" style="72"/>
  </cols>
  <sheetData>
    <row r="1" spans="1:23" s="11" customFormat="1" ht="21" customHeight="1" x14ac:dyDescent="0.35">
      <c r="A1" s="61"/>
      <c r="B1" s="61"/>
      <c r="C1" s="61"/>
      <c r="D1" s="61"/>
      <c r="E1" s="142"/>
      <c r="F1" s="132"/>
      <c r="G1" s="762"/>
      <c r="H1" s="762"/>
      <c r="I1" s="762"/>
      <c r="J1" s="762"/>
      <c r="K1" s="762"/>
      <c r="L1" s="762"/>
      <c r="M1" s="762"/>
      <c r="N1" s="762"/>
      <c r="O1" s="762"/>
      <c r="P1" s="1300"/>
      <c r="Q1" s="1300"/>
      <c r="R1" s="1300"/>
      <c r="S1" s="1300"/>
      <c r="T1" s="762"/>
      <c r="U1" s="762"/>
      <c r="V1" s="1547" t="s">
        <v>252</v>
      </c>
      <c r="W1" s="1547"/>
    </row>
    <row r="2" spans="1:23" s="11" customFormat="1" ht="17.25" customHeight="1" x14ac:dyDescent="0.35">
      <c r="A2" s="61"/>
      <c r="B2" s="61"/>
      <c r="C2" s="61"/>
      <c r="D2" s="61"/>
      <c r="E2" s="142"/>
      <c r="F2" s="132"/>
      <c r="G2" s="762"/>
      <c r="H2" s="762"/>
      <c r="I2" s="762"/>
      <c r="J2" s="762"/>
      <c r="K2" s="762"/>
      <c r="L2" s="762"/>
      <c r="M2" s="762"/>
      <c r="N2" s="762"/>
      <c r="O2" s="762"/>
      <c r="P2" s="762"/>
      <c r="Q2" s="762"/>
      <c r="R2" s="762"/>
      <c r="S2" s="762"/>
      <c r="T2" s="762"/>
      <c r="U2" s="762"/>
      <c r="V2" s="762"/>
      <c r="W2" s="762"/>
    </row>
    <row r="3" spans="1:23" s="61" customFormat="1" ht="15" customHeight="1" x14ac:dyDescent="0.35">
      <c r="A3" s="1294" t="s">
        <v>231</v>
      </c>
      <c r="B3" s="1294"/>
      <c r="C3" s="1294"/>
      <c r="D3" s="1294"/>
      <c r="E3" s="1294"/>
      <c r="F3" s="1294"/>
      <c r="G3" s="1294"/>
      <c r="H3" s="1294"/>
      <c r="I3" s="1294"/>
      <c r="J3" s="1294"/>
      <c r="K3" s="1294"/>
      <c r="L3" s="1294"/>
      <c r="M3" s="1294"/>
      <c r="N3" s="1294"/>
      <c r="O3" s="1294"/>
      <c r="P3" s="1294"/>
      <c r="Q3" s="1294"/>
      <c r="R3" s="1294"/>
      <c r="S3" s="1294"/>
      <c r="T3" s="1294"/>
      <c r="U3" s="1294"/>
      <c r="V3" s="1294"/>
      <c r="W3" s="1294"/>
    </row>
    <row r="4" spans="1:23" s="65" customFormat="1" ht="15" customHeight="1" x14ac:dyDescent="0.35">
      <c r="A4" s="1295" t="s">
        <v>0</v>
      </c>
      <c r="B4" s="1295"/>
      <c r="C4" s="1295"/>
      <c r="D4" s="1295"/>
      <c r="E4" s="1295"/>
      <c r="F4" s="1295"/>
      <c r="G4" s="1295"/>
      <c r="H4" s="1295"/>
      <c r="I4" s="1295"/>
      <c r="J4" s="1295"/>
      <c r="K4" s="1295"/>
      <c r="L4" s="1295"/>
      <c r="M4" s="1295"/>
      <c r="N4" s="1295"/>
      <c r="O4" s="1295"/>
      <c r="P4" s="1295"/>
      <c r="Q4" s="1295"/>
      <c r="R4" s="1295"/>
      <c r="S4" s="1295"/>
      <c r="T4" s="1295"/>
      <c r="U4" s="1295"/>
      <c r="V4" s="1295"/>
      <c r="W4" s="1295"/>
    </row>
    <row r="5" spans="1:23" s="65" customFormat="1" ht="15.5" x14ac:dyDescent="0.35">
      <c r="A5" s="1296" t="s">
        <v>1</v>
      </c>
      <c r="B5" s="1296"/>
      <c r="C5" s="1296"/>
      <c r="D5" s="1296"/>
      <c r="E5" s="1296"/>
      <c r="F5" s="1296"/>
      <c r="G5" s="1296"/>
      <c r="H5" s="1296"/>
      <c r="I5" s="1296"/>
      <c r="J5" s="1296"/>
      <c r="K5" s="1296"/>
      <c r="L5" s="1296"/>
      <c r="M5" s="1296"/>
      <c r="N5" s="1296"/>
      <c r="O5" s="1296"/>
      <c r="P5" s="1296"/>
      <c r="Q5" s="1296"/>
      <c r="R5" s="1296"/>
      <c r="S5" s="1296"/>
      <c r="T5" s="1296"/>
      <c r="U5" s="1296"/>
      <c r="V5" s="1296"/>
      <c r="W5" s="1296"/>
    </row>
    <row r="6" spans="1:23" s="65" customFormat="1" ht="13.5" thickBot="1" x14ac:dyDescent="0.4">
      <c r="A6" s="1"/>
      <c r="B6" s="1"/>
      <c r="C6" s="1"/>
      <c r="D6" s="1"/>
      <c r="E6" s="48"/>
      <c r="F6" s="48"/>
      <c r="G6" s="172"/>
      <c r="H6" s="172"/>
      <c r="I6" s="172"/>
      <c r="J6" s="172"/>
      <c r="K6" s="172"/>
      <c r="L6" s="172"/>
      <c r="M6" s="172"/>
      <c r="N6" s="172"/>
      <c r="O6" s="172"/>
      <c r="Q6" s="58"/>
      <c r="R6" s="58"/>
      <c r="S6" s="1301"/>
      <c r="T6" s="1301"/>
      <c r="U6" s="1301"/>
      <c r="V6" s="827"/>
      <c r="W6" s="763" t="s">
        <v>60</v>
      </c>
    </row>
    <row r="7" spans="1:23" s="65" customFormat="1" ht="24" customHeight="1" x14ac:dyDescent="0.35">
      <c r="A7" s="1302" t="s">
        <v>2</v>
      </c>
      <c r="B7" s="1305" t="s">
        <v>3</v>
      </c>
      <c r="C7" s="1305" t="s">
        <v>4</v>
      </c>
      <c r="D7" s="1308" t="s">
        <v>6</v>
      </c>
      <c r="E7" s="1335" t="s">
        <v>7</v>
      </c>
      <c r="F7" s="1338" t="s">
        <v>8</v>
      </c>
      <c r="G7" s="1320" t="s">
        <v>241</v>
      </c>
      <c r="H7" s="1523" t="s">
        <v>246</v>
      </c>
      <c r="I7" s="1519" t="s">
        <v>247</v>
      </c>
      <c r="J7" s="1320" t="s">
        <v>242</v>
      </c>
      <c r="K7" s="1341" t="s">
        <v>248</v>
      </c>
      <c r="L7" s="1521" t="s">
        <v>247</v>
      </c>
      <c r="M7" s="1320" t="s">
        <v>243</v>
      </c>
      <c r="N7" s="1523" t="s">
        <v>249</v>
      </c>
      <c r="O7" s="1519" t="s">
        <v>247</v>
      </c>
      <c r="P7" s="1322" t="s">
        <v>245</v>
      </c>
      <c r="Q7" s="1323"/>
      <c r="R7" s="1323"/>
      <c r="S7" s="1323"/>
      <c r="T7" s="1323"/>
      <c r="U7" s="1323"/>
      <c r="V7" s="1324"/>
      <c r="W7" s="1551" t="s">
        <v>251</v>
      </c>
    </row>
    <row r="8" spans="1:23" s="65" customFormat="1" ht="18.75" customHeight="1" x14ac:dyDescent="0.35">
      <c r="A8" s="1303"/>
      <c r="B8" s="1306"/>
      <c r="C8" s="1306"/>
      <c r="D8" s="1309"/>
      <c r="E8" s="1336"/>
      <c r="F8" s="1339"/>
      <c r="G8" s="1321"/>
      <c r="H8" s="1524"/>
      <c r="I8" s="1520"/>
      <c r="J8" s="1321"/>
      <c r="K8" s="1342"/>
      <c r="L8" s="1522"/>
      <c r="M8" s="1321"/>
      <c r="N8" s="1524"/>
      <c r="O8" s="1520"/>
      <c r="P8" s="1518" t="s">
        <v>6</v>
      </c>
      <c r="Q8" s="1550" t="s">
        <v>244</v>
      </c>
      <c r="R8" s="1327"/>
      <c r="S8" s="1327"/>
      <c r="T8" s="1327"/>
      <c r="U8" s="1327"/>
      <c r="V8" s="1328"/>
      <c r="W8" s="1552"/>
    </row>
    <row r="9" spans="1:23" s="65" customFormat="1" ht="110.15" customHeight="1" thickBot="1" x14ac:dyDescent="0.4">
      <c r="A9" s="1304"/>
      <c r="B9" s="1307"/>
      <c r="C9" s="1307"/>
      <c r="D9" s="1310"/>
      <c r="E9" s="1337"/>
      <c r="F9" s="1340"/>
      <c r="G9" s="1321"/>
      <c r="H9" s="1524"/>
      <c r="I9" s="1520"/>
      <c r="J9" s="1321"/>
      <c r="K9" s="1342"/>
      <c r="L9" s="1522"/>
      <c r="M9" s="1321"/>
      <c r="N9" s="1524"/>
      <c r="O9" s="1520"/>
      <c r="P9" s="1518"/>
      <c r="Q9" s="1092" t="s">
        <v>163</v>
      </c>
      <c r="R9" s="829" t="s">
        <v>250</v>
      </c>
      <c r="S9" s="815" t="s">
        <v>164</v>
      </c>
      <c r="T9" s="829" t="s">
        <v>250</v>
      </c>
      <c r="U9" s="815" t="s">
        <v>165</v>
      </c>
      <c r="V9" s="830" t="s">
        <v>250</v>
      </c>
      <c r="W9" s="1553"/>
    </row>
    <row r="10" spans="1:23" s="3" customFormat="1" ht="15" customHeight="1" x14ac:dyDescent="0.25">
      <c r="A10" s="1329" t="s">
        <v>9</v>
      </c>
      <c r="B10" s="1330"/>
      <c r="C10" s="1330"/>
      <c r="D10" s="1330"/>
      <c r="E10" s="1330"/>
      <c r="F10" s="1330"/>
      <c r="G10" s="1330"/>
      <c r="H10" s="1330"/>
      <c r="I10" s="1330"/>
      <c r="J10" s="1330"/>
      <c r="K10" s="1330"/>
      <c r="L10" s="1330"/>
      <c r="M10" s="1330"/>
      <c r="N10" s="1330"/>
      <c r="O10" s="1330"/>
      <c r="P10" s="1330"/>
      <c r="Q10" s="1330"/>
      <c r="R10" s="1330"/>
      <c r="S10" s="1330"/>
      <c r="T10" s="1330"/>
      <c r="U10" s="1330"/>
      <c r="V10" s="768"/>
      <c r="W10" s="769"/>
    </row>
    <row r="11" spans="1:23" s="3" customFormat="1" ht="15" customHeight="1" x14ac:dyDescent="0.25">
      <c r="A11" s="1332" t="s">
        <v>10</v>
      </c>
      <c r="B11" s="1333"/>
      <c r="C11" s="1333"/>
      <c r="D11" s="1333"/>
      <c r="E11" s="1333"/>
      <c r="F11" s="1333"/>
      <c r="G11" s="1333"/>
      <c r="H11" s="1333"/>
      <c r="I11" s="1333"/>
      <c r="J11" s="1333"/>
      <c r="K11" s="1333"/>
      <c r="L11" s="1333"/>
      <c r="M11" s="1333"/>
      <c r="N11" s="1333"/>
      <c r="O11" s="1333"/>
      <c r="P11" s="1333"/>
      <c r="Q11" s="1333"/>
      <c r="R11" s="1333"/>
      <c r="S11" s="1333"/>
      <c r="T11" s="1333"/>
      <c r="U11" s="1333"/>
      <c r="V11" s="869"/>
      <c r="W11" s="870"/>
    </row>
    <row r="12" spans="1:23" s="65" customFormat="1" ht="15" customHeight="1" x14ac:dyDescent="0.35">
      <c r="A12" s="241" t="s">
        <v>11</v>
      </c>
      <c r="B12" s="1311" t="s">
        <v>12</v>
      </c>
      <c r="C12" s="1312"/>
      <c r="D12" s="1312"/>
      <c r="E12" s="1312"/>
      <c r="F12" s="1312"/>
      <c r="G12" s="1312"/>
      <c r="H12" s="1312"/>
      <c r="I12" s="1312"/>
      <c r="J12" s="1312"/>
      <c r="K12" s="1312"/>
      <c r="L12" s="1312"/>
      <c r="M12" s="1312"/>
      <c r="N12" s="1312"/>
      <c r="O12" s="1312"/>
      <c r="P12" s="1312"/>
      <c r="Q12" s="1312"/>
      <c r="R12" s="1312"/>
      <c r="S12" s="1312"/>
      <c r="T12" s="1312"/>
      <c r="U12" s="1312"/>
      <c r="V12" s="764"/>
      <c r="W12" s="871"/>
    </row>
    <row r="13" spans="1:23" s="65" customFormat="1" ht="15" customHeight="1" thickBot="1" x14ac:dyDescent="0.4">
      <c r="A13" s="114" t="s">
        <v>11</v>
      </c>
      <c r="B13" s="904" t="s">
        <v>11</v>
      </c>
      <c r="C13" s="1516" t="s">
        <v>13</v>
      </c>
      <c r="D13" s="1517"/>
      <c r="E13" s="1517"/>
      <c r="F13" s="1517"/>
      <c r="G13" s="1517"/>
      <c r="H13" s="1517"/>
      <c r="I13" s="1517"/>
      <c r="J13" s="1517"/>
      <c r="K13" s="1517"/>
      <c r="L13" s="1517"/>
      <c r="M13" s="1517"/>
      <c r="N13" s="1517"/>
      <c r="O13" s="1517"/>
      <c r="P13" s="1517"/>
      <c r="Q13" s="1517"/>
      <c r="R13" s="1517"/>
      <c r="S13" s="1517"/>
      <c r="T13" s="1517"/>
      <c r="U13" s="1517"/>
      <c r="V13" s="787"/>
      <c r="W13" s="1104"/>
    </row>
    <row r="14" spans="1:23" s="65" customFormat="1" ht="15" customHeight="1" x14ac:dyDescent="0.35">
      <c r="A14" s="1362" t="s">
        <v>11</v>
      </c>
      <c r="B14" s="1318" t="s">
        <v>11</v>
      </c>
      <c r="C14" s="1319" t="s">
        <v>11</v>
      </c>
      <c r="D14" s="1469" t="s">
        <v>14</v>
      </c>
      <c r="E14" s="796"/>
      <c r="F14" s="639" t="s">
        <v>23</v>
      </c>
      <c r="G14" s="26">
        <v>99.7</v>
      </c>
      <c r="H14" s="672">
        <v>99.7</v>
      </c>
      <c r="I14" s="25">
        <f t="shared" ref="I14:I19" si="0">+H14-G14</f>
        <v>0</v>
      </c>
      <c r="J14" s="671">
        <v>99.7</v>
      </c>
      <c r="K14" s="677">
        <v>99.7</v>
      </c>
      <c r="L14" s="675">
        <f t="shared" ref="L14:L19" si="1">+K14-J14</f>
        <v>0</v>
      </c>
      <c r="M14" s="210">
        <v>99.7</v>
      </c>
      <c r="N14" s="210">
        <v>99.7</v>
      </c>
      <c r="O14" s="377">
        <f t="shared" ref="O14:O19" si="2">+N14-M14</f>
        <v>0</v>
      </c>
      <c r="P14" s="683"/>
      <c r="Q14" s="462"/>
      <c r="R14" s="287"/>
      <c r="S14" s="462"/>
      <c r="T14" s="837"/>
      <c r="U14" s="670"/>
      <c r="V14" s="832"/>
      <c r="W14" s="1513" t="s">
        <v>269</v>
      </c>
    </row>
    <row r="15" spans="1:23" s="65" customFormat="1" ht="15" customHeight="1" x14ac:dyDescent="0.35">
      <c r="A15" s="1317"/>
      <c r="B15" s="1318"/>
      <c r="C15" s="1319"/>
      <c r="D15" s="1469"/>
      <c r="E15" s="796"/>
      <c r="F15" s="669" t="s">
        <v>17</v>
      </c>
      <c r="G15" s="734">
        <v>4880</v>
      </c>
      <c r="H15" s="210">
        <f>4880</f>
        <v>4880</v>
      </c>
      <c r="I15" s="319">
        <f t="shared" si="0"/>
        <v>0</v>
      </c>
      <c r="J15" s="25">
        <v>4838</v>
      </c>
      <c r="K15" s="202">
        <f>4838</f>
        <v>4838</v>
      </c>
      <c r="L15" s="319">
        <f t="shared" si="1"/>
        <v>0</v>
      </c>
      <c r="M15" s="210">
        <v>4838</v>
      </c>
      <c r="N15" s="210">
        <f>4838</f>
        <v>4838</v>
      </c>
      <c r="O15" s="377">
        <f t="shared" si="2"/>
        <v>0</v>
      </c>
      <c r="P15" s="639"/>
      <c r="Q15" s="462"/>
      <c r="R15" s="287"/>
      <c r="S15" s="462"/>
      <c r="T15" s="837"/>
      <c r="U15" s="670"/>
      <c r="V15" s="287"/>
      <c r="W15" s="1514"/>
    </row>
    <row r="16" spans="1:23" s="65" customFormat="1" ht="15" customHeight="1" x14ac:dyDescent="0.35">
      <c r="A16" s="1317"/>
      <c r="B16" s="1318"/>
      <c r="C16" s="1319"/>
      <c r="D16" s="292"/>
      <c r="E16" s="796"/>
      <c r="F16" s="1194" t="s">
        <v>18</v>
      </c>
      <c r="G16" s="1195">
        <f>384.5+390.6</f>
        <v>775.1</v>
      </c>
      <c r="H16" s="1195">
        <f>384.5+390.6+13.9</f>
        <v>789</v>
      </c>
      <c r="I16" s="1186">
        <f t="shared" si="0"/>
        <v>13.899999999999977</v>
      </c>
      <c r="J16" s="210">
        <f>286.3+351.8</f>
        <v>638.1</v>
      </c>
      <c r="K16" s="210">
        <f>286.3+351.8</f>
        <v>638.1</v>
      </c>
      <c r="L16" s="319">
        <f t="shared" si="1"/>
        <v>0</v>
      </c>
      <c r="M16" s="210">
        <v>351.8</v>
      </c>
      <c r="N16" s="210">
        <v>351.8</v>
      </c>
      <c r="O16" s="377">
        <f t="shared" si="2"/>
        <v>0</v>
      </c>
      <c r="P16" s="639"/>
      <c r="Q16" s="462"/>
      <c r="R16" s="287"/>
      <c r="S16" s="462"/>
      <c r="T16" s="837"/>
      <c r="U16" s="845"/>
      <c r="V16" s="835"/>
      <c r="W16" s="1514"/>
    </row>
    <row r="17" spans="1:23" s="65" customFormat="1" ht="19" customHeight="1" x14ac:dyDescent="0.35">
      <c r="A17" s="1317"/>
      <c r="B17" s="1318"/>
      <c r="C17" s="1319"/>
      <c r="D17" s="1512" t="s">
        <v>16</v>
      </c>
      <c r="E17" s="797"/>
      <c r="F17" s="1010" t="s">
        <v>218</v>
      </c>
      <c r="G17" s="1248">
        <v>4758.2</v>
      </c>
      <c r="H17" s="1012">
        <f>4758.2</f>
        <v>4758.2</v>
      </c>
      <c r="I17" s="1249">
        <f t="shared" si="0"/>
        <v>0</v>
      </c>
      <c r="J17" s="1248">
        <v>4755</v>
      </c>
      <c r="K17" s="1012">
        <f>4755</f>
        <v>4755</v>
      </c>
      <c r="L17" s="1249">
        <f t="shared" si="1"/>
        <v>0</v>
      </c>
      <c r="M17" s="1248">
        <v>4755</v>
      </c>
      <c r="N17" s="1012">
        <f>4755</f>
        <v>4755</v>
      </c>
      <c r="O17" s="1250">
        <f t="shared" si="2"/>
        <v>0</v>
      </c>
      <c r="P17" s="1087" t="s">
        <v>67</v>
      </c>
      <c r="Q17" s="1173">
        <v>57.1</v>
      </c>
      <c r="R17" s="833"/>
      <c r="S17" s="1174">
        <v>57.1</v>
      </c>
      <c r="T17" s="840"/>
      <c r="U17" s="1174">
        <v>57.1</v>
      </c>
      <c r="V17" s="1061"/>
      <c r="W17" s="1514"/>
    </row>
    <row r="18" spans="1:23" s="65" customFormat="1" ht="19" customHeight="1" x14ac:dyDescent="0.35">
      <c r="A18" s="934"/>
      <c r="B18" s="935"/>
      <c r="C18" s="502"/>
      <c r="D18" s="1355"/>
      <c r="E18" s="940"/>
      <c r="F18" s="995" t="s">
        <v>219</v>
      </c>
      <c r="G18" s="1251">
        <v>390.6</v>
      </c>
      <c r="H18" s="1251">
        <v>390.6</v>
      </c>
      <c r="I18" s="1252">
        <f t="shared" si="0"/>
        <v>0</v>
      </c>
      <c r="J18" s="1253">
        <v>351.8</v>
      </c>
      <c r="K18" s="1253">
        <v>351.8</v>
      </c>
      <c r="L18" s="1252">
        <f t="shared" si="1"/>
        <v>0</v>
      </c>
      <c r="M18" s="1254">
        <v>351.8</v>
      </c>
      <c r="N18" s="1251">
        <v>351.8</v>
      </c>
      <c r="O18" s="1252">
        <f t="shared" si="2"/>
        <v>0</v>
      </c>
      <c r="P18" s="1077"/>
      <c r="Q18" s="1093"/>
      <c r="R18" s="1034"/>
      <c r="S18" s="821"/>
      <c r="T18" s="1034"/>
      <c r="U18" s="1040"/>
      <c r="V18" s="1034"/>
      <c r="W18" s="1514"/>
    </row>
    <row r="19" spans="1:23" s="65" customFormat="1" ht="17.5" customHeight="1" x14ac:dyDescent="0.35">
      <c r="A19" s="155"/>
      <c r="B19" s="156"/>
      <c r="C19" s="157"/>
      <c r="D19" s="1354" t="s">
        <v>19</v>
      </c>
      <c r="E19" s="798"/>
      <c r="F19" s="1255" t="s">
        <v>218</v>
      </c>
      <c r="G19" s="955">
        <v>73</v>
      </c>
      <c r="H19" s="1242">
        <f>+G19</f>
        <v>73</v>
      </c>
      <c r="I19" s="1236">
        <f t="shared" si="0"/>
        <v>0</v>
      </c>
      <c r="J19" s="955">
        <v>73</v>
      </c>
      <c r="K19" s="958">
        <f>+J19</f>
        <v>73</v>
      </c>
      <c r="L19" s="969">
        <f t="shared" si="1"/>
        <v>0</v>
      </c>
      <c r="M19" s="955">
        <v>73</v>
      </c>
      <c r="N19" s="1242">
        <f>+M19</f>
        <v>73</v>
      </c>
      <c r="O19" s="1236">
        <f t="shared" si="2"/>
        <v>0</v>
      </c>
      <c r="P19" s="1056" t="s">
        <v>67</v>
      </c>
      <c r="Q19" s="1202">
        <v>1.4</v>
      </c>
      <c r="R19" s="1203">
        <v>1.7</v>
      </c>
      <c r="S19" s="1175">
        <v>1.4</v>
      </c>
      <c r="T19" s="1034"/>
      <c r="U19" s="1175">
        <v>1.4</v>
      </c>
      <c r="V19" s="1035"/>
      <c r="W19" s="1514"/>
    </row>
    <row r="20" spans="1:23" s="65" customFormat="1" ht="17.5" customHeight="1" x14ac:dyDescent="0.35">
      <c r="A20" s="155"/>
      <c r="B20" s="156"/>
      <c r="C20" s="157"/>
      <c r="D20" s="1355"/>
      <c r="E20" s="1166"/>
      <c r="F20" s="1199" t="s">
        <v>219</v>
      </c>
      <c r="G20" s="1200"/>
      <c r="H20" s="1201">
        <v>13.9</v>
      </c>
      <c r="I20" s="1186">
        <f>+H20-G20</f>
        <v>13.9</v>
      </c>
      <c r="J20" s="210"/>
      <c r="K20" s="1164"/>
      <c r="L20" s="1165"/>
      <c r="M20" s="210"/>
      <c r="N20" s="1164"/>
      <c r="O20" s="25"/>
      <c r="P20" s="1163"/>
      <c r="Q20" s="1196"/>
      <c r="R20" s="217"/>
      <c r="S20" s="1196"/>
      <c r="T20" s="1197"/>
      <c r="U20" s="1198"/>
      <c r="V20" s="216"/>
      <c r="W20" s="1515"/>
    </row>
    <row r="21" spans="1:23" s="65" customFormat="1" ht="40.5" customHeight="1" x14ac:dyDescent="0.35">
      <c r="A21" s="155"/>
      <c r="B21" s="156"/>
      <c r="C21" s="158"/>
      <c r="D21" s="159" t="s">
        <v>22</v>
      </c>
      <c r="E21" s="795"/>
      <c r="F21" s="78"/>
      <c r="G21" s="448"/>
      <c r="H21" s="1159"/>
      <c r="I21" s="1155"/>
      <c r="J21" s="1159"/>
      <c r="K21" s="1159"/>
      <c r="L21" s="1155"/>
      <c r="M21" s="1159"/>
      <c r="N21" s="1153"/>
      <c r="O21" s="169"/>
      <c r="P21" s="180"/>
      <c r="Q21" s="468"/>
      <c r="R21" s="218"/>
      <c r="S21" s="468"/>
      <c r="T21" s="831"/>
      <c r="U21" s="581"/>
      <c r="V21" s="218"/>
      <c r="W21" s="218"/>
    </row>
    <row r="22" spans="1:23" s="65" customFormat="1" ht="26.5" customHeight="1" x14ac:dyDescent="0.35">
      <c r="A22" s="1317"/>
      <c r="B22" s="1318"/>
      <c r="C22" s="1319"/>
      <c r="D22" s="1344" t="s">
        <v>24</v>
      </c>
      <c r="E22" s="716"/>
      <c r="F22" s="1018" t="s">
        <v>220</v>
      </c>
      <c r="G22" s="997">
        <v>70</v>
      </c>
      <c r="H22" s="997">
        <f>+G22</f>
        <v>70</v>
      </c>
      <c r="I22" s="998">
        <f>+H22-G22</f>
        <v>0</v>
      </c>
      <c r="J22" s="1019">
        <v>70</v>
      </c>
      <c r="K22" s="1019">
        <f>+J22</f>
        <v>70</v>
      </c>
      <c r="L22" s="998">
        <f>+K22-J22</f>
        <v>0</v>
      </c>
      <c r="M22" s="1019">
        <v>70</v>
      </c>
      <c r="N22" s="997">
        <f>+M22</f>
        <v>70</v>
      </c>
      <c r="O22" s="1020">
        <f>+N22-M22</f>
        <v>0</v>
      </c>
      <c r="P22" s="658" t="s">
        <v>100</v>
      </c>
      <c r="Q22" s="1176">
        <v>1000</v>
      </c>
      <c r="R22" s="219"/>
      <c r="S22" s="1176">
        <v>1000</v>
      </c>
      <c r="T22" s="838"/>
      <c r="U22" s="1177">
        <v>1000</v>
      </c>
      <c r="V22" s="219"/>
      <c r="W22" s="219"/>
    </row>
    <row r="23" spans="1:23" s="65" customFormat="1" ht="16.5" customHeight="1" x14ac:dyDescent="0.35">
      <c r="A23" s="1317"/>
      <c r="B23" s="1318"/>
      <c r="C23" s="1319"/>
      <c r="D23" s="1345"/>
      <c r="E23" s="716"/>
      <c r="F23" s="1021"/>
      <c r="G23" s="1000"/>
      <c r="H23" s="1000"/>
      <c r="I23" s="1001"/>
      <c r="J23" s="1022"/>
      <c r="K23" s="1022"/>
      <c r="L23" s="1001"/>
      <c r="M23" s="1022"/>
      <c r="N23" s="1000"/>
      <c r="O23" s="1023"/>
      <c r="P23" s="659" t="s">
        <v>25</v>
      </c>
      <c r="Q23" s="455">
        <v>190</v>
      </c>
      <c r="R23" s="125"/>
      <c r="S23" s="455">
        <v>190</v>
      </c>
      <c r="T23" s="839"/>
      <c r="U23" s="433">
        <v>190</v>
      </c>
      <c r="V23" s="125"/>
      <c r="W23" s="125"/>
    </row>
    <row r="24" spans="1:23" s="65" customFormat="1" ht="16.5" customHeight="1" x14ac:dyDescent="0.35">
      <c r="A24" s="1317"/>
      <c r="B24" s="1318"/>
      <c r="C24" s="1319"/>
      <c r="D24" s="90" t="s">
        <v>26</v>
      </c>
      <c r="E24" s="716"/>
      <c r="F24" s="988" t="s">
        <v>220</v>
      </c>
      <c r="G24" s="958">
        <v>29.7</v>
      </c>
      <c r="H24" s="958">
        <f>+G24</f>
        <v>29.7</v>
      </c>
      <c r="I24" s="969">
        <f>+H24-G24</f>
        <v>0</v>
      </c>
      <c r="J24" s="964">
        <v>29.7</v>
      </c>
      <c r="K24" s="964">
        <f>+J24</f>
        <v>29.7</v>
      </c>
      <c r="L24" s="969">
        <f>+K24-J24</f>
        <v>0</v>
      </c>
      <c r="M24" s="964">
        <v>29.7</v>
      </c>
      <c r="N24" s="958">
        <f>+M24</f>
        <v>29.7</v>
      </c>
      <c r="O24" s="965">
        <f>+N24-M24</f>
        <v>0</v>
      </c>
      <c r="P24" s="1084" t="s">
        <v>101</v>
      </c>
      <c r="Q24" s="1173">
        <v>3.5</v>
      </c>
      <c r="R24" s="833"/>
      <c r="S24" s="1173">
        <v>3.5</v>
      </c>
      <c r="T24" s="840"/>
      <c r="U24" s="1178">
        <v>3.5</v>
      </c>
      <c r="V24" s="220"/>
      <c r="W24" s="220"/>
    </row>
    <row r="25" spans="1:23" s="65" customFormat="1" ht="16.5" customHeight="1" x14ac:dyDescent="0.35">
      <c r="A25" s="765"/>
      <c r="B25" s="766"/>
      <c r="C25" s="767"/>
      <c r="D25" s="163"/>
      <c r="E25" s="814"/>
      <c r="F25" s="1239"/>
      <c r="G25" s="1243"/>
      <c r="H25" s="1243"/>
      <c r="I25" s="1237"/>
      <c r="J25" s="1241"/>
      <c r="K25" s="1241"/>
      <c r="L25" s="1237"/>
      <c r="M25" s="1241"/>
      <c r="N25" s="1243"/>
      <c r="O25" s="967"/>
      <c r="P25" s="1077"/>
      <c r="Q25" s="654"/>
      <c r="R25" s="221"/>
      <c r="S25" s="654"/>
      <c r="T25" s="841"/>
      <c r="U25" s="582"/>
      <c r="V25" s="221"/>
      <c r="W25" s="221"/>
    </row>
    <row r="26" spans="1:23" s="65" customFormat="1" ht="27" customHeight="1" x14ac:dyDescent="0.35">
      <c r="A26" s="1317"/>
      <c r="B26" s="1318"/>
      <c r="C26" s="1319"/>
      <c r="D26" s="1348" t="s">
        <v>29</v>
      </c>
      <c r="E26" s="795"/>
      <c r="F26" s="996"/>
      <c r="G26" s="958"/>
      <c r="H26" s="958"/>
      <c r="I26" s="969"/>
      <c r="J26" s="964"/>
      <c r="K26" s="964"/>
      <c r="L26" s="969"/>
      <c r="M26" s="964"/>
      <c r="N26" s="958"/>
      <c r="O26" s="965"/>
      <c r="P26" s="479" t="s">
        <v>102</v>
      </c>
      <c r="Q26" s="655">
        <v>6</v>
      </c>
      <c r="R26" s="834"/>
      <c r="S26" s="655">
        <v>6</v>
      </c>
      <c r="T26" s="743"/>
      <c r="U26" s="512">
        <v>6</v>
      </c>
      <c r="V26" s="222"/>
      <c r="W26" s="222"/>
    </row>
    <row r="27" spans="1:23" s="65" customFormat="1" ht="24.75" customHeight="1" x14ac:dyDescent="0.35">
      <c r="A27" s="1317"/>
      <c r="B27" s="1318"/>
      <c r="C27" s="1319"/>
      <c r="D27" s="1348"/>
      <c r="E27" s="796"/>
      <c r="F27" s="996"/>
      <c r="G27" s="958"/>
      <c r="H27" s="958"/>
      <c r="I27" s="969"/>
      <c r="J27" s="964"/>
      <c r="K27" s="964"/>
      <c r="L27" s="969"/>
      <c r="M27" s="964"/>
      <c r="N27" s="958"/>
      <c r="O27" s="965"/>
      <c r="P27" s="1084" t="s">
        <v>95</v>
      </c>
      <c r="Q27" s="656">
        <v>150</v>
      </c>
      <c r="R27" s="222"/>
      <c r="S27" s="656"/>
      <c r="T27" s="799"/>
      <c r="U27" s="846"/>
      <c r="V27" s="836"/>
      <c r="W27" s="664"/>
    </row>
    <row r="28" spans="1:23" s="65" customFormat="1" ht="13.5" customHeight="1" x14ac:dyDescent="0.35">
      <c r="A28" s="1317"/>
      <c r="B28" s="1318"/>
      <c r="C28" s="1319"/>
      <c r="D28" s="1348"/>
      <c r="E28" s="808"/>
      <c r="F28" s="996" t="s">
        <v>218</v>
      </c>
      <c r="G28" s="958">
        <v>39.1</v>
      </c>
      <c r="H28" s="958">
        <f>+G28</f>
        <v>39.1</v>
      </c>
      <c r="I28" s="969">
        <f>+H28-G28</f>
        <v>0</v>
      </c>
      <c r="J28" s="964">
        <v>10</v>
      </c>
      <c r="K28" s="964">
        <f>+J28</f>
        <v>10</v>
      </c>
      <c r="L28" s="969">
        <f>+K28-J28</f>
        <v>0</v>
      </c>
      <c r="M28" s="964">
        <v>10</v>
      </c>
      <c r="N28" s="958">
        <f>+M28</f>
        <v>10</v>
      </c>
      <c r="O28" s="965">
        <f>+N28-M28</f>
        <v>0</v>
      </c>
      <c r="P28" s="660"/>
      <c r="Q28" s="657"/>
      <c r="R28" s="223"/>
      <c r="S28" s="657"/>
      <c r="T28" s="842"/>
      <c r="U28" s="435"/>
      <c r="V28" s="223"/>
      <c r="W28" s="223"/>
    </row>
    <row r="29" spans="1:23" s="65" customFormat="1" ht="26.25" customHeight="1" x14ac:dyDescent="0.35">
      <c r="A29" s="1317"/>
      <c r="B29" s="1318"/>
      <c r="C29" s="1319"/>
      <c r="D29" s="1349" t="s">
        <v>93</v>
      </c>
      <c r="E29" s="795" t="s">
        <v>140</v>
      </c>
      <c r="F29" s="1238" t="s">
        <v>219</v>
      </c>
      <c r="G29" s="1242">
        <v>384.5</v>
      </c>
      <c r="H29" s="1242">
        <f>+G29</f>
        <v>384.5</v>
      </c>
      <c r="I29" s="1236">
        <f>+H29-G29</f>
        <v>0</v>
      </c>
      <c r="J29" s="1240">
        <v>286.3</v>
      </c>
      <c r="K29" s="1240">
        <f>+J29</f>
        <v>286.3</v>
      </c>
      <c r="L29" s="1236">
        <f>+K29-J29</f>
        <v>0</v>
      </c>
      <c r="M29" s="1240"/>
      <c r="N29" s="1242"/>
      <c r="O29" s="963"/>
      <c r="P29" s="1076" t="s">
        <v>91</v>
      </c>
      <c r="Q29" s="468">
        <v>170</v>
      </c>
      <c r="R29" s="218"/>
      <c r="S29" s="468">
        <v>73</v>
      </c>
      <c r="T29" s="831"/>
      <c r="U29" s="581"/>
      <c r="V29" s="218"/>
      <c r="W29" s="218"/>
    </row>
    <row r="30" spans="1:23" s="65" customFormat="1" ht="26.25" customHeight="1" x14ac:dyDescent="0.35">
      <c r="A30" s="1317"/>
      <c r="B30" s="1318"/>
      <c r="C30" s="1319"/>
      <c r="D30" s="1347"/>
      <c r="E30" s="726" t="s">
        <v>31</v>
      </c>
      <c r="F30" s="1239"/>
      <c r="G30" s="1243"/>
      <c r="H30" s="1243"/>
      <c r="I30" s="1237"/>
      <c r="J30" s="1241"/>
      <c r="K30" s="1241"/>
      <c r="L30" s="1237"/>
      <c r="M30" s="1241"/>
      <c r="N30" s="1243"/>
      <c r="O30" s="967"/>
      <c r="P30" s="345" t="s">
        <v>92</v>
      </c>
      <c r="Q30" s="458"/>
      <c r="R30" s="286"/>
      <c r="S30" s="458"/>
      <c r="T30" s="478"/>
      <c r="U30" s="847"/>
      <c r="V30" s="286"/>
      <c r="W30" s="478"/>
    </row>
    <row r="31" spans="1:23" s="65" customFormat="1" ht="26.25" customHeight="1" x14ac:dyDescent="0.35">
      <c r="A31" s="1317"/>
      <c r="B31" s="1318"/>
      <c r="C31" s="1319"/>
      <c r="D31" s="1346" t="s">
        <v>232</v>
      </c>
      <c r="E31" s="796"/>
      <c r="F31" s="996" t="s">
        <v>218</v>
      </c>
      <c r="G31" s="958">
        <v>9.6999999999999993</v>
      </c>
      <c r="H31" s="958">
        <f>+G31</f>
        <v>9.6999999999999993</v>
      </c>
      <c r="I31" s="969">
        <f>+H31-G31</f>
        <v>0</v>
      </c>
      <c r="J31" s="964"/>
      <c r="K31" s="964"/>
      <c r="L31" s="969"/>
      <c r="M31" s="964"/>
      <c r="N31" s="958"/>
      <c r="O31" s="965"/>
      <c r="P31" s="262" t="s">
        <v>153</v>
      </c>
      <c r="Q31" s="263">
        <v>1</v>
      </c>
      <c r="R31" s="128"/>
      <c r="S31" s="263"/>
      <c r="T31" s="797"/>
      <c r="U31" s="450"/>
      <c r="V31" s="128"/>
      <c r="W31" s="128"/>
    </row>
    <row r="32" spans="1:23" s="65" customFormat="1" ht="14.25" customHeight="1" x14ac:dyDescent="0.35">
      <c r="A32" s="1317"/>
      <c r="B32" s="1318"/>
      <c r="C32" s="1319"/>
      <c r="D32" s="1347"/>
      <c r="E32" s="808"/>
      <c r="F32" s="996"/>
      <c r="G32" s="958"/>
      <c r="H32" s="958"/>
      <c r="I32" s="969"/>
      <c r="J32" s="964"/>
      <c r="K32" s="964"/>
      <c r="L32" s="969"/>
      <c r="M32" s="1241"/>
      <c r="N32" s="958"/>
      <c r="O32" s="965"/>
      <c r="P32" s="1086"/>
      <c r="Q32" s="348"/>
      <c r="R32" s="224"/>
      <c r="S32" s="348"/>
      <c r="T32" s="843"/>
      <c r="U32" s="227"/>
      <c r="V32" s="224"/>
      <c r="W32" s="224"/>
    </row>
    <row r="33" spans="1:27" s="65" customFormat="1" ht="14.25" customHeight="1" thickBot="1" x14ac:dyDescent="0.35">
      <c r="A33" s="148"/>
      <c r="B33" s="149"/>
      <c r="C33" s="50"/>
      <c r="D33" s="273"/>
      <c r="E33" s="274"/>
      <c r="F33" s="501" t="s">
        <v>20</v>
      </c>
      <c r="G33" s="269">
        <f t="shared" ref="G33:O33" si="3">+G14+G15+G16</f>
        <v>5754.8</v>
      </c>
      <c r="H33" s="269">
        <f t="shared" si="3"/>
        <v>5768.7</v>
      </c>
      <c r="I33" s="257">
        <f t="shared" si="3"/>
        <v>13.899999999999977</v>
      </c>
      <c r="J33" s="315">
        <f t="shared" si="3"/>
        <v>5575.8</v>
      </c>
      <c r="K33" s="269">
        <f t="shared" si="3"/>
        <v>5575.8</v>
      </c>
      <c r="L33" s="257">
        <f t="shared" si="3"/>
        <v>0</v>
      </c>
      <c r="M33" s="315">
        <f t="shared" si="3"/>
        <v>5289.5</v>
      </c>
      <c r="N33" s="269">
        <f t="shared" si="3"/>
        <v>5289.5</v>
      </c>
      <c r="O33" s="315">
        <f t="shared" si="3"/>
        <v>0</v>
      </c>
      <c r="P33" s="661"/>
      <c r="Q33" s="340"/>
      <c r="R33" s="268"/>
      <c r="S33" s="340"/>
      <c r="T33" s="453"/>
      <c r="U33" s="266"/>
      <c r="V33" s="268"/>
      <c r="W33" s="268"/>
    </row>
    <row r="34" spans="1:27" s="65" customFormat="1" ht="15" customHeight="1" thickBot="1" x14ac:dyDescent="0.4">
      <c r="A34" s="8" t="s">
        <v>11</v>
      </c>
      <c r="B34" s="9" t="s">
        <v>11</v>
      </c>
      <c r="C34" s="1356" t="s">
        <v>33</v>
      </c>
      <c r="D34" s="1357"/>
      <c r="E34" s="1357"/>
      <c r="F34" s="1358"/>
      <c r="G34" s="271">
        <f>G33</f>
        <v>5754.8</v>
      </c>
      <c r="H34" s="271">
        <f>H33</f>
        <v>5768.7</v>
      </c>
      <c r="I34" s="259">
        <f>I33</f>
        <v>13.899999999999977</v>
      </c>
      <c r="J34" s="271">
        <f t="shared" ref="J34:M34" si="4">J33</f>
        <v>5575.8</v>
      </c>
      <c r="K34" s="270">
        <f t="shared" ref="K34:L34" si="5">K33</f>
        <v>5575.8</v>
      </c>
      <c r="L34" s="259">
        <f t="shared" si="5"/>
        <v>0</v>
      </c>
      <c r="M34" s="271">
        <f t="shared" si="4"/>
        <v>5289.5</v>
      </c>
      <c r="N34" s="271">
        <f t="shared" ref="N34:O34" si="6">N33</f>
        <v>5289.5</v>
      </c>
      <c r="O34" s="271">
        <f t="shared" si="6"/>
        <v>0</v>
      </c>
      <c r="P34" s="781"/>
      <c r="Q34" s="782"/>
      <c r="R34" s="782"/>
      <c r="S34" s="782"/>
      <c r="T34" s="782"/>
      <c r="U34" s="782"/>
      <c r="V34" s="782"/>
      <c r="W34" s="783"/>
    </row>
    <row r="35" spans="1:27" s="65" customFormat="1" ht="18" customHeight="1" thickBot="1" x14ac:dyDescent="0.4">
      <c r="A35" s="8" t="s">
        <v>11</v>
      </c>
      <c r="B35" s="9" t="s">
        <v>21</v>
      </c>
      <c r="C35" s="1359" t="s">
        <v>34</v>
      </c>
      <c r="D35" s="1360"/>
      <c r="E35" s="1360"/>
      <c r="F35" s="1360"/>
      <c r="G35" s="1360"/>
      <c r="H35" s="1360"/>
      <c r="I35" s="1360"/>
      <c r="J35" s="1360"/>
      <c r="K35" s="1360"/>
      <c r="L35" s="1360"/>
      <c r="M35" s="1360"/>
      <c r="N35" s="1360"/>
      <c r="O35" s="1360"/>
      <c r="P35" s="1360"/>
      <c r="Q35" s="1360"/>
      <c r="R35" s="1360"/>
      <c r="S35" s="1360"/>
      <c r="T35" s="1360"/>
      <c r="U35" s="1360"/>
      <c r="V35" s="775"/>
      <c r="W35" s="1078"/>
    </row>
    <row r="36" spans="1:27" s="65" customFormat="1" ht="16.5" customHeight="1" x14ac:dyDescent="0.35">
      <c r="A36" s="1362" t="s">
        <v>11</v>
      </c>
      <c r="B36" s="1363" t="s">
        <v>21</v>
      </c>
      <c r="C36" s="1365" t="s">
        <v>11</v>
      </c>
      <c r="D36" s="1422" t="s">
        <v>64</v>
      </c>
      <c r="E36" s="676"/>
      <c r="F36" s="1157" t="s">
        <v>23</v>
      </c>
      <c r="G36" s="671">
        <f>105.6+30-30+2.7</f>
        <v>108.3</v>
      </c>
      <c r="H36" s="673">
        <f>105.6+30-30+2.7</f>
        <v>108.3</v>
      </c>
      <c r="I36" s="675">
        <f>+H36-G36</f>
        <v>0</v>
      </c>
      <c r="J36" s="677">
        <f>225+12+15.3-15.3</f>
        <v>237</v>
      </c>
      <c r="K36" s="677">
        <f>225+12+15.3-15.3</f>
        <v>237</v>
      </c>
      <c r="L36" s="675">
        <f>+K36-J36</f>
        <v>0</v>
      </c>
      <c r="M36" s="677">
        <v>227.2</v>
      </c>
      <c r="N36" s="677">
        <f>227.2-30+30</f>
        <v>227.2</v>
      </c>
      <c r="O36" s="673">
        <f>+N36-M36</f>
        <v>0</v>
      </c>
      <c r="P36" s="674"/>
      <c r="Q36" s="677"/>
      <c r="R36" s="675"/>
      <c r="S36" s="677"/>
      <c r="T36" s="675"/>
      <c r="U36" s="677"/>
      <c r="V36" s="675"/>
      <c r="W36" s="1499"/>
      <c r="X36" s="58"/>
      <c r="Y36" s="58"/>
      <c r="Z36" s="58"/>
      <c r="AA36" s="58"/>
    </row>
    <row r="37" spans="1:27" s="65" customFormat="1" ht="16.5" customHeight="1" x14ac:dyDescent="0.35">
      <c r="A37" s="1317"/>
      <c r="B37" s="1364"/>
      <c r="C37" s="1366"/>
      <c r="D37" s="1491"/>
      <c r="E37" s="408"/>
      <c r="F37" s="1184" t="s">
        <v>32</v>
      </c>
      <c r="G37" s="1218">
        <f>200+37.8-2.7+387+211</f>
        <v>833.1</v>
      </c>
      <c r="H37" s="1185">
        <f>200+37.8-2.7+387+211+1.1</f>
        <v>834.2</v>
      </c>
      <c r="I37" s="1186">
        <f>+H37-G37</f>
        <v>1.1000000000000227</v>
      </c>
      <c r="J37" s="1201">
        <v>311.2</v>
      </c>
      <c r="K37" s="1201">
        <f>311.2+6.3</f>
        <v>317.5</v>
      </c>
      <c r="L37" s="1186">
        <f>+K37-J37</f>
        <v>6.3000000000000114</v>
      </c>
      <c r="M37" s="1201"/>
      <c r="N37" s="1201">
        <v>6.3</v>
      </c>
      <c r="O37" s="1218">
        <f>+N37-M37</f>
        <v>6.3</v>
      </c>
      <c r="P37" s="262"/>
      <c r="Q37" s="210"/>
      <c r="R37" s="319"/>
      <c r="S37" s="210"/>
      <c r="T37" s="319"/>
      <c r="U37" s="210"/>
      <c r="V37" s="377"/>
      <c r="W37" s="1500"/>
      <c r="X37" s="58"/>
      <c r="Y37" s="58"/>
      <c r="Z37" s="58"/>
      <c r="AA37" s="58"/>
    </row>
    <row r="38" spans="1:27" s="65" customFormat="1" ht="16.5" customHeight="1" x14ac:dyDescent="0.35">
      <c r="A38" s="1317"/>
      <c r="B38" s="1364"/>
      <c r="C38" s="1366"/>
      <c r="D38" s="1491"/>
      <c r="E38" s="408"/>
      <c r="F38" s="639" t="s">
        <v>27</v>
      </c>
      <c r="G38" s="734">
        <v>20.2</v>
      </c>
      <c r="H38" s="25">
        <v>20.2</v>
      </c>
      <c r="I38" s="319">
        <f>+H38-G38</f>
        <v>0</v>
      </c>
      <c r="J38" s="210"/>
      <c r="K38" s="210"/>
      <c r="L38" s="319"/>
      <c r="M38" s="210"/>
      <c r="N38" s="210"/>
      <c r="O38" s="25"/>
      <c r="P38" s="262"/>
      <c r="Q38" s="210"/>
      <c r="R38" s="319"/>
      <c r="S38" s="210"/>
      <c r="T38" s="319"/>
      <c r="U38" s="210"/>
      <c r="V38" s="377"/>
      <c r="W38" s="1500"/>
      <c r="X38" s="58"/>
      <c r="Y38" s="58"/>
      <c r="Z38" s="58"/>
      <c r="AA38" s="58"/>
    </row>
    <row r="39" spans="1:27" s="65" customFormat="1" ht="16.5" customHeight="1" x14ac:dyDescent="0.35">
      <c r="A39" s="1317"/>
      <c r="B39" s="1364"/>
      <c r="C39" s="1366"/>
      <c r="D39" s="1492"/>
      <c r="E39" s="202"/>
      <c r="F39" s="1158" t="s">
        <v>201</v>
      </c>
      <c r="G39" s="210"/>
      <c r="H39" s="210"/>
      <c r="I39" s="319"/>
      <c r="J39" s="210"/>
      <c r="K39" s="202"/>
      <c r="L39" s="319"/>
      <c r="M39" s="210">
        <v>182.3</v>
      </c>
      <c r="N39" s="210">
        <v>182.3</v>
      </c>
      <c r="O39" s="377">
        <f>+N39-M39</f>
        <v>0</v>
      </c>
      <c r="P39" s="262"/>
      <c r="Q39" s="210"/>
      <c r="R39" s="319"/>
      <c r="S39" s="210"/>
      <c r="T39" s="319"/>
      <c r="U39" s="210"/>
      <c r="V39" s="377"/>
      <c r="W39" s="1500"/>
    </row>
    <row r="40" spans="1:27" s="65" customFormat="1" ht="16.5" customHeight="1" x14ac:dyDescent="0.35">
      <c r="A40" s="1317"/>
      <c r="B40" s="1364"/>
      <c r="C40" s="1366"/>
      <c r="D40" s="1367" t="s">
        <v>35</v>
      </c>
      <c r="E40" s="1368" t="s">
        <v>141</v>
      </c>
      <c r="F40" s="1238" t="s">
        <v>220</v>
      </c>
      <c r="G40" s="955">
        <v>37.700000000000003</v>
      </c>
      <c r="H40" s="963">
        <f>+G40</f>
        <v>37.700000000000003</v>
      </c>
      <c r="I40" s="1236">
        <f>+H40-G40</f>
        <v>0</v>
      </c>
      <c r="J40" s="1240">
        <v>40</v>
      </c>
      <c r="K40" s="1242">
        <f>+J40</f>
        <v>40</v>
      </c>
      <c r="L40" s="1236">
        <f>+K40-J40</f>
        <v>0</v>
      </c>
      <c r="M40" s="1240">
        <v>40</v>
      </c>
      <c r="N40" s="1242">
        <f>+M40</f>
        <v>40</v>
      </c>
      <c r="O40" s="1256">
        <f>+N40-M40</f>
        <v>0</v>
      </c>
      <c r="P40" s="180" t="s">
        <v>36</v>
      </c>
      <c r="Q40" s="437">
        <v>6</v>
      </c>
      <c r="R40" s="788"/>
      <c r="S40" s="437">
        <v>4</v>
      </c>
      <c r="T40" s="788"/>
      <c r="U40" s="437">
        <v>4</v>
      </c>
      <c r="V40" s="124"/>
      <c r="W40" s="1500"/>
    </row>
    <row r="41" spans="1:27" s="65" customFormat="1" ht="15.65" customHeight="1" x14ac:dyDescent="0.35">
      <c r="A41" s="1317"/>
      <c r="B41" s="1364"/>
      <c r="C41" s="1366"/>
      <c r="D41" s="1355"/>
      <c r="E41" s="1369"/>
      <c r="F41" s="1006"/>
      <c r="G41" s="958"/>
      <c r="H41" s="958"/>
      <c r="I41" s="969"/>
      <c r="J41" s="964"/>
      <c r="K41" s="958"/>
      <c r="L41" s="969"/>
      <c r="M41" s="964"/>
      <c r="N41" s="958"/>
      <c r="O41" s="965"/>
      <c r="P41" s="584"/>
      <c r="Q41" s="251"/>
      <c r="R41" s="789"/>
      <c r="S41" s="251"/>
      <c r="T41" s="789"/>
      <c r="U41" s="251"/>
      <c r="V41" s="177"/>
      <c r="W41" s="1500"/>
    </row>
    <row r="42" spans="1:27" s="65" customFormat="1" ht="26.5" customHeight="1" x14ac:dyDescent="0.35">
      <c r="A42" s="114"/>
      <c r="B42" s="777"/>
      <c r="C42" s="779"/>
      <c r="D42" s="29" t="s">
        <v>37</v>
      </c>
      <c r="E42" s="1350" t="s">
        <v>140</v>
      </c>
      <c r="F42" s="1007" t="s">
        <v>220</v>
      </c>
      <c r="G42" s="1242">
        <v>15.8</v>
      </c>
      <c r="H42" s="1242">
        <f>+G42</f>
        <v>15.8</v>
      </c>
      <c r="I42" s="1236">
        <f>+H42-G42</f>
        <v>0</v>
      </c>
      <c r="J42" s="1240">
        <v>15</v>
      </c>
      <c r="K42" s="1242">
        <f>+J42</f>
        <v>15</v>
      </c>
      <c r="L42" s="1236">
        <f>+K42-J42</f>
        <v>0</v>
      </c>
      <c r="M42" s="1240">
        <v>15</v>
      </c>
      <c r="N42" s="1242">
        <f>+M42</f>
        <v>15</v>
      </c>
      <c r="O42" s="963">
        <f>+N42-M42</f>
        <v>0</v>
      </c>
      <c r="P42" s="1502" t="s">
        <v>233</v>
      </c>
      <c r="Q42" s="252">
        <v>10</v>
      </c>
      <c r="R42" s="873"/>
      <c r="S42" s="252">
        <v>10</v>
      </c>
      <c r="T42" s="873"/>
      <c r="U42" s="252">
        <v>10</v>
      </c>
      <c r="V42" s="121"/>
      <c r="W42" s="1500"/>
    </row>
    <row r="43" spans="1:27" s="65" customFormat="1" ht="26.5" customHeight="1" x14ac:dyDescent="0.35">
      <c r="A43" s="114"/>
      <c r="B43" s="777"/>
      <c r="C43" s="779"/>
      <c r="D43" s="34"/>
      <c r="E43" s="1351"/>
      <c r="F43" s="988"/>
      <c r="G43" s="958"/>
      <c r="H43" s="958"/>
      <c r="I43" s="969"/>
      <c r="J43" s="964"/>
      <c r="K43" s="958"/>
      <c r="L43" s="969"/>
      <c r="M43" s="964"/>
      <c r="N43" s="958"/>
      <c r="O43" s="965"/>
      <c r="P43" s="1504"/>
      <c r="Q43" s="438"/>
      <c r="R43" s="809"/>
      <c r="S43" s="438"/>
      <c r="T43" s="809"/>
      <c r="U43" s="438"/>
      <c r="V43" s="122"/>
      <c r="W43" s="1500"/>
    </row>
    <row r="44" spans="1:27" s="65" customFormat="1" ht="38.15" customHeight="1" x14ac:dyDescent="0.35">
      <c r="A44" s="114"/>
      <c r="B44" s="777"/>
      <c r="C44" s="767"/>
      <c r="D44" s="52" t="s">
        <v>79</v>
      </c>
      <c r="E44" s="99"/>
      <c r="F44" s="1008" t="s">
        <v>220</v>
      </c>
      <c r="G44" s="973">
        <f>10-5</f>
        <v>5</v>
      </c>
      <c r="H44" s="973">
        <f>+G44</f>
        <v>5</v>
      </c>
      <c r="I44" s="974">
        <f>+H44-G44</f>
        <v>0</v>
      </c>
      <c r="J44" s="972">
        <v>10</v>
      </c>
      <c r="K44" s="973">
        <f>+J44</f>
        <v>10</v>
      </c>
      <c r="L44" s="974">
        <f>+K44-J44</f>
        <v>0</v>
      </c>
      <c r="M44" s="972">
        <v>10</v>
      </c>
      <c r="N44" s="973">
        <f>+M44</f>
        <v>10</v>
      </c>
      <c r="O44" s="1003">
        <f>+N44-M44</f>
        <v>0</v>
      </c>
      <c r="P44" s="179" t="s">
        <v>80</v>
      </c>
      <c r="Q44" s="253">
        <v>100</v>
      </c>
      <c r="R44" s="423"/>
      <c r="S44" s="253">
        <v>200</v>
      </c>
      <c r="T44" s="423"/>
      <c r="U44" s="253">
        <v>200</v>
      </c>
      <c r="V44" s="123"/>
      <c r="W44" s="1500"/>
    </row>
    <row r="45" spans="1:27" s="65" customFormat="1" ht="52.5" customHeight="1" x14ac:dyDescent="0.35">
      <c r="A45" s="765"/>
      <c r="B45" s="777"/>
      <c r="C45" s="779"/>
      <c r="D45" s="1354" t="s">
        <v>259</v>
      </c>
      <c r="E45" s="795" t="s">
        <v>123</v>
      </c>
      <c r="F45" s="1238" t="s">
        <v>220</v>
      </c>
      <c r="G45" s="997">
        <v>14.6</v>
      </c>
      <c r="H45" s="997">
        <f>+G45</f>
        <v>14.6</v>
      </c>
      <c r="I45" s="998">
        <f>+H45-G45</f>
        <v>0</v>
      </c>
      <c r="J45" s="1242">
        <v>15.3</v>
      </c>
      <c r="K45" s="1242">
        <v>15.3</v>
      </c>
      <c r="L45" s="1236">
        <f>+K45-J45</f>
        <v>0</v>
      </c>
      <c r="M45" s="1240"/>
      <c r="N45" s="1242"/>
      <c r="O45" s="1256"/>
      <c r="P45" s="262" t="s">
        <v>169</v>
      </c>
      <c r="Q45" s="848">
        <v>8</v>
      </c>
      <c r="R45" s="874"/>
      <c r="S45" s="848">
        <v>2</v>
      </c>
      <c r="T45" s="1060"/>
      <c r="U45" s="848"/>
      <c r="V45" s="1038"/>
      <c r="W45" s="1500"/>
    </row>
    <row r="46" spans="1:27" s="65" customFormat="1" ht="28" customHeight="1" x14ac:dyDescent="0.35">
      <c r="A46" s="934"/>
      <c r="B46" s="936"/>
      <c r="C46" s="937"/>
      <c r="D46" s="1367"/>
      <c r="E46" s="724"/>
      <c r="F46" s="1257"/>
      <c r="G46" s="1258"/>
      <c r="H46" s="1259"/>
      <c r="I46" s="1260"/>
      <c r="J46" s="1261"/>
      <c r="K46" s="1000"/>
      <c r="L46" s="969"/>
      <c r="M46" s="1261"/>
      <c r="N46" s="1000"/>
      <c r="O46" s="959"/>
      <c r="P46" s="659" t="s">
        <v>136</v>
      </c>
      <c r="Q46" s="848"/>
      <c r="R46" s="874"/>
      <c r="S46" s="524">
        <v>2</v>
      </c>
      <c r="T46" s="1060"/>
      <c r="U46" s="263"/>
      <c r="V46" s="1039"/>
      <c r="W46" s="1508"/>
    </row>
    <row r="47" spans="1:27" s="65" customFormat="1" ht="15.65" customHeight="1" x14ac:dyDescent="0.35">
      <c r="A47" s="934"/>
      <c r="B47" s="936"/>
      <c r="C47" s="937"/>
      <c r="D47" s="1367"/>
      <c r="E47" s="939"/>
      <c r="F47" s="1262" t="s">
        <v>223</v>
      </c>
      <c r="G47" s="1263">
        <f>200+387+211</f>
        <v>798</v>
      </c>
      <c r="H47" s="1263">
        <f>200+387+211</f>
        <v>798</v>
      </c>
      <c r="I47" s="969">
        <f t="shared" ref="I47:I52" si="7">+H47-G47</f>
        <v>0</v>
      </c>
      <c r="J47" s="964"/>
      <c r="K47" s="1263"/>
      <c r="L47" s="998"/>
      <c r="M47" s="964"/>
      <c r="N47" s="1263"/>
      <c r="O47" s="1264"/>
      <c r="P47" s="659" t="s">
        <v>180</v>
      </c>
      <c r="Q47" s="848">
        <v>1</v>
      </c>
      <c r="R47" s="1075"/>
      <c r="S47" s="524"/>
      <c r="T47" s="1036"/>
      <c r="U47" s="524"/>
      <c r="V47" s="874"/>
      <c r="W47" s="1531"/>
    </row>
    <row r="48" spans="1:27" s="65" customFormat="1" ht="18.649999999999999" customHeight="1" x14ac:dyDescent="0.35">
      <c r="A48" s="934"/>
      <c r="B48" s="936"/>
      <c r="C48" s="937"/>
      <c r="D48" s="1367"/>
      <c r="E48" s="939"/>
      <c r="F48" s="988" t="s">
        <v>223</v>
      </c>
      <c r="G48" s="1004">
        <f>37.8-2.7</f>
        <v>35.099999999999994</v>
      </c>
      <c r="H48" s="1004">
        <f>37.8-2.7</f>
        <v>35.099999999999994</v>
      </c>
      <c r="I48" s="998">
        <f t="shared" si="7"/>
        <v>0</v>
      </c>
      <c r="J48" s="1265">
        <v>311.2</v>
      </c>
      <c r="K48" s="958">
        <v>311.2</v>
      </c>
      <c r="L48" s="998">
        <f>+K48-J48</f>
        <v>0</v>
      </c>
      <c r="M48" s="1265"/>
      <c r="N48" s="958"/>
      <c r="O48" s="959"/>
      <c r="P48" s="1096" t="s">
        <v>180</v>
      </c>
      <c r="Q48" s="1094">
        <v>1</v>
      </c>
      <c r="R48" s="1063"/>
      <c r="S48" s="855">
        <v>1</v>
      </c>
      <c r="T48" s="1037"/>
      <c r="U48" s="486">
        <v>1</v>
      </c>
      <c r="V48" s="128"/>
      <c r="W48" s="1503"/>
    </row>
    <row r="49" spans="1:27" s="65" customFormat="1" ht="18.649999999999999" customHeight="1" x14ac:dyDescent="0.35">
      <c r="A49" s="934"/>
      <c r="B49" s="936"/>
      <c r="C49" s="937"/>
      <c r="D49" s="1367"/>
      <c r="E49" s="939"/>
      <c r="F49" s="988" t="s">
        <v>221</v>
      </c>
      <c r="G49" s="1004">
        <v>20.2</v>
      </c>
      <c r="H49" s="1004">
        <v>20.2</v>
      </c>
      <c r="I49" s="969">
        <f t="shared" si="7"/>
        <v>0</v>
      </c>
      <c r="J49" s="958"/>
      <c r="K49" s="958"/>
      <c r="L49" s="969"/>
      <c r="M49" s="964"/>
      <c r="N49" s="958"/>
      <c r="O49" s="959"/>
      <c r="P49" s="1097"/>
      <c r="Q49" s="1095"/>
      <c r="R49" s="1037"/>
      <c r="S49" s="450"/>
      <c r="T49" s="1037"/>
      <c r="U49" s="450"/>
      <c r="V49" s="128"/>
      <c r="W49" s="1503"/>
    </row>
    <row r="50" spans="1:27" s="65" customFormat="1" ht="25.5" customHeight="1" x14ac:dyDescent="0.35">
      <c r="A50" s="765"/>
      <c r="B50" s="777"/>
      <c r="C50" s="779"/>
      <c r="D50" s="1355"/>
      <c r="E50" s="666"/>
      <c r="F50" s="1239" t="s">
        <v>220</v>
      </c>
      <c r="G50" s="1009">
        <f>30+2.7</f>
        <v>32.700000000000003</v>
      </c>
      <c r="H50" s="1009">
        <f>30+2.7</f>
        <v>32.700000000000003</v>
      </c>
      <c r="I50" s="1237">
        <f t="shared" si="7"/>
        <v>0</v>
      </c>
      <c r="J50" s="1243">
        <f>100-15.3</f>
        <v>84.7</v>
      </c>
      <c r="K50" s="1243">
        <f>100-15.3</f>
        <v>84.7</v>
      </c>
      <c r="L50" s="1237">
        <f>+K50-J50</f>
        <v>0</v>
      </c>
      <c r="M50" s="1243">
        <f>100-30</f>
        <v>70</v>
      </c>
      <c r="N50" s="1243">
        <f>100-30</f>
        <v>70</v>
      </c>
      <c r="O50" s="1266">
        <f>+N50-M50</f>
        <v>0</v>
      </c>
      <c r="P50" s="1098"/>
      <c r="Q50" s="251"/>
      <c r="R50" s="759"/>
      <c r="T50" s="938"/>
      <c r="V50" s="938"/>
      <c r="W50" s="1504"/>
    </row>
    <row r="51" spans="1:27" s="65" customFormat="1" ht="46" customHeight="1" x14ac:dyDescent="0.35">
      <c r="A51" s="765"/>
      <c r="B51" s="777"/>
      <c r="C51" s="407"/>
      <c r="D51" s="409" t="s">
        <v>182</v>
      </c>
      <c r="E51" s="410"/>
      <c r="F51" s="1239" t="s">
        <v>220</v>
      </c>
      <c r="G51" s="1005">
        <f>30-30</f>
        <v>0</v>
      </c>
      <c r="H51" s="1005">
        <f>30-30</f>
        <v>0</v>
      </c>
      <c r="I51" s="974">
        <f t="shared" si="7"/>
        <v>0</v>
      </c>
      <c r="J51" s="972">
        <f>60</f>
        <v>60</v>
      </c>
      <c r="K51" s="1267">
        <v>60</v>
      </c>
      <c r="L51" s="974">
        <f>+K51-J51</f>
        <v>0</v>
      </c>
      <c r="M51" s="973">
        <f>30+30</f>
        <v>60</v>
      </c>
      <c r="N51" s="973">
        <f>30+30</f>
        <v>60</v>
      </c>
      <c r="O51" s="1003">
        <f>+N51-M51</f>
        <v>0</v>
      </c>
      <c r="P51" s="662" t="s">
        <v>171</v>
      </c>
      <c r="Q51" s="253"/>
      <c r="R51" s="423"/>
      <c r="S51" s="253">
        <v>50</v>
      </c>
      <c r="T51" s="423"/>
      <c r="U51" s="253">
        <v>100</v>
      </c>
      <c r="V51" s="123"/>
      <c r="W51" s="1056"/>
    </row>
    <row r="52" spans="1:27" s="65" customFormat="1" ht="39.75" customHeight="1" x14ac:dyDescent="0.35">
      <c r="A52" s="765"/>
      <c r="B52" s="777"/>
      <c r="C52" s="407"/>
      <c r="D52" s="409" t="s">
        <v>234</v>
      </c>
      <c r="E52" s="451"/>
      <c r="F52" s="988" t="s">
        <v>220</v>
      </c>
      <c r="G52" s="973">
        <v>2.5</v>
      </c>
      <c r="H52" s="973">
        <f>+G52</f>
        <v>2.5</v>
      </c>
      <c r="I52" s="974">
        <f t="shared" si="7"/>
        <v>0</v>
      </c>
      <c r="J52" s="1241"/>
      <c r="K52" s="973"/>
      <c r="L52" s="1237"/>
      <c r="M52" s="972"/>
      <c r="N52" s="973"/>
      <c r="O52" s="1003"/>
      <c r="P52" s="662" t="s">
        <v>172</v>
      </c>
      <c r="Q52" s="253">
        <v>1</v>
      </c>
      <c r="R52" s="423"/>
      <c r="S52" s="253"/>
      <c r="T52" s="423"/>
      <c r="U52" s="253"/>
      <c r="V52" s="123"/>
      <c r="W52" s="123"/>
    </row>
    <row r="53" spans="1:27" s="65" customFormat="1" ht="29.15" customHeight="1" x14ac:dyDescent="0.35">
      <c r="A53" s="765"/>
      <c r="B53" s="777"/>
      <c r="C53" s="407"/>
      <c r="D53" s="1354" t="s">
        <v>200</v>
      </c>
      <c r="E53" s="724" t="s">
        <v>123</v>
      </c>
      <c r="F53" s="1238" t="s">
        <v>222</v>
      </c>
      <c r="G53" s="1242"/>
      <c r="H53" s="1242"/>
      <c r="I53" s="1236"/>
      <c r="J53" s="1240"/>
      <c r="K53" s="1242"/>
      <c r="L53" s="1236"/>
      <c r="M53" s="1240">
        <v>182.3</v>
      </c>
      <c r="N53" s="1242">
        <f>+M53</f>
        <v>182.3</v>
      </c>
      <c r="O53" s="963">
        <f>+N53-M53</f>
        <v>0</v>
      </c>
      <c r="P53" s="401" t="s">
        <v>202</v>
      </c>
      <c r="Q53" s="424"/>
      <c r="R53" s="403"/>
      <c r="S53" s="424"/>
      <c r="T53" s="403"/>
      <c r="U53" s="424">
        <v>2</v>
      </c>
      <c r="V53" s="849"/>
      <c r="W53" s="403"/>
    </row>
    <row r="54" spans="1:27" s="65" customFormat="1" ht="29.15" customHeight="1" x14ac:dyDescent="0.35">
      <c r="A54" s="765"/>
      <c r="B54" s="777"/>
      <c r="C54" s="407"/>
      <c r="D54" s="1355"/>
      <c r="E54" s="726" t="s">
        <v>31</v>
      </c>
      <c r="F54" s="1239" t="s">
        <v>220</v>
      </c>
      <c r="G54" s="1009"/>
      <c r="H54" s="1009"/>
      <c r="I54" s="1237"/>
      <c r="J54" s="967"/>
      <c r="K54" s="1009"/>
      <c r="L54" s="1237"/>
      <c r="M54" s="1241">
        <v>32.200000000000003</v>
      </c>
      <c r="N54" s="1243">
        <f>+M54</f>
        <v>32.200000000000003</v>
      </c>
      <c r="O54" s="1266">
        <f>+N54-M54</f>
        <v>0</v>
      </c>
      <c r="P54" s="663" t="s">
        <v>203</v>
      </c>
      <c r="Q54" s="251"/>
      <c r="R54" s="789"/>
      <c r="S54" s="251"/>
      <c r="T54" s="789"/>
      <c r="U54" s="251">
        <v>3</v>
      </c>
      <c r="V54" s="177"/>
      <c r="W54" s="789"/>
    </row>
    <row r="55" spans="1:27" s="65" customFormat="1" ht="29.15" customHeight="1" x14ac:dyDescent="0.35">
      <c r="A55" s="765"/>
      <c r="B55" s="777"/>
      <c r="C55" s="407"/>
      <c r="D55" s="772" t="s">
        <v>215</v>
      </c>
      <c r="E55" s="451"/>
      <c r="F55" s="988" t="s">
        <v>220</v>
      </c>
      <c r="G55" s="1004"/>
      <c r="H55" s="1004"/>
      <c r="I55" s="969"/>
      <c r="J55" s="965">
        <v>12</v>
      </c>
      <c r="K55" s="1004">
        <f>+J55</f>
        <v>12</v>
      </c>
      <c r="L55" s="969">
        <f>+K55-J55</f>
        <v>0</v>
      </c>
      <c r="M55" s="1241"/>
      <c r="N55" s="1243"/>
      <c r="O55" s="965"/>
      <c r="P55" s="663" t="s">
        <v>104</v>
      </c>
      <c r="Q55" s="263"/>
      <c r="R55" s="797"/>
      <c r="S55" s="263">
        <v>1</v>
      </c>
      <c r="T55" s="797"/>
      <c r="U55" s="263"/>
      <c r="V55" s="128"/>
      <c r="W55" s="797"/>
    </row>
    <row r="56" spans="1:27" s="65" customFormat="1" ht="82.5" customHeight="1" x14ac:dyDescent="0.35">
      <c r="A56" s="1161"/>
      <c r="B56" s="1162"/>
      <c r="C56" s="407"/>
      <c r="D56" s="1204" t="s">
        <v>267</v>
      </c>
      <c r="E56" s="1205"/>
      <c r="F56" s="1206" t="s">
        <v>223</v>
      </c>
      <c r="G56" s="1207"/>
      <c r="H56" s="1207">
        <v>1.1000000000000001</v>
      </c>
      <c r="I56" s="1208">
        <f>+H56</f>
        <v>1.1000000000000001</v>
      </c>
      <c r="J56" s="1209"/>
      <c r="K56" s="1207">
        <v>6.3</v>
      </c>
      <c r="L56" s="1208">
        <f>+K56</f>
        <v>6.3</v>
      </c>
      <c r="M56" s="1210"/>
      <c r="N56" s="1211">
        <v>6.3</v>
      </c>
      <c r="O56" s="1212">
        <f>+N56</f>
        <v>6.3</v>
      </c>
      <c r="P56" s="1213" t="s">
        <v>268</v>
      </c>
      <c r="Q56" s="1214"/>
      <c r="R56" s="1215">
        <v>6</v>
      </c>
      <c r="S56" s="1214"/>
      <c r="T56" s="1215">
        <v>6</v>
      </c>
      <c r="U56" s="1214"/>
      <c r="V56" s="1216">
        <v>6</v>
      </c>
      <c r="W56" s="1217" t="s">
        <v>273</v>
      </c>
    </row>
    <row r="57" spans="1:27" s="65" customFormat="1" ht="18" customHeight="1" thickBot="1" x14ac:dyDescent="0.35">
      <c r="A57" s="148"/>
      <c r="B57" s="149"/>
      <c r="C57" s="49"/>
      <c r="D57" s="278"/>
      <c r="E57" s="280"/>
      <c r="F57" s="501" t="s">
        <v>20</v>
      </c>
      <c r="G57" s="260">
        <f>+G36+G39+G37+G38</f>
        <v>961.6</v>
      </c>
      <c r="H57" s="260">
        <f>+H36+H39+H37+H38</f>
        <v>962.7</v>
      </c>
      <c r="I57" s="257">
        <f>+I36+I39+I37+I38</f>
        <v>1.1000000000000227</v>
      </c>
      <c r="J57" s="818">
        <f>+J36+J39+J37+J38</f>
        <v>548.20000000000005</v>
      </c>
      <c r="K57" s="260">
        <f t="shared" ref="K57:O57" si="8">+K36+K39+K37+K38</f>
        <v>554.5</v>
      </c>
      <c r="L57" s="260">
        <f t="shared" si="8"/>
        <v>6.3000000000000114</v>
      </c>
      <c r="M57" s="489">
        <f>+M36+M39+M37+M38</f>
        <v>409.5</v>
      </c>
      <c r="N57" s="260">
        <f t="shared" si="8"/>
        <v>415.8</v>
      </c>
      <c r="O57" s="260">
        <f t="shared" si="8"/>
        <v>6.3</v>
      </c>
      <c r="P57" s="452"/>
      <c r="Q57" s="340"/>
      <c r="R57" s="453"/>
      <c r="S57" s="340"/>
      <c r="T57" s="453"/>
      <c r="U57" s="340"/>
      <c r="V57" s="268"/>
      <c r="W57" s="453"/>
    </row>
    <row r="58" spans="1:27" s="65" customFormat="1" ht="17.25" customHeight="1" thickBot="1" x14ac:dyDescent="0.4">
      <c r="A58" s="12" t="s">
        <v>11</v>
      </c>
      <c r="B58" s="9" t="s">
        <v>21</v>
      </c>
      <c r="C58" s="1357" t="s">
        <v>33</v>
      </c>
      <c r="D58" s="1357"/>
      <c r="E58" s="1357"/>
      <c r="F58" s="1358"/>
      <c r="G58" s="261">
        <f t="shared" ref="G58:M58" si="9">G57</f>
        <v>961.6</v>
      </c>
      <c r="H58" s="261">
        <f t="shared" ref="H58:I58" si="10">H57</f>
        <v>962.7</v>
      </c>
      <c r="I58" s="259">
        <f t="shared" si="10"/>
        <v>1.1000000000000227</v>
      </c>
      <c r="J58" s="392">
        <f t="shared" si="9"/>
        <v>548.20000000000005</v>
      </c>
      <c r="K58" s="261">
        <f t="shared" ref="K58:L58" si="11">K57</f>
        <v>554.5</v>
      </c>
      <c r="L58" s="259">
        <f t="shared" si="11"/>
        <v>6.3000000000000114</v>
      </c>
      <c r="M58" s="271">
        <f t="shared" si="9"/>
        <v>409.5</v>
      </c>
      <c r="N58" s="392">
        <f t="shared" ref="N58:O58" si="12">N57</f>
        <v>415.8</v>
      </c>
      <c r="O58" s="259">
        <f t="shared" si="12"/>
        <v>6.3</v>
      </c>
      <c r="P58" s="1379"/>
      <c r="Q58" s="1380"/>
      <c r="R58" s="1380"/>
      <c r="S58" s="1380"/>
      <c r="T58" s="1380"/>
      <c r="U58" s="1380"/>
      <c r="V58" s="782"/>
      <c r="W58" s="783"/>
    </row>
    <row r="59" spans="1:27" s="65" customFormat="1" ht="16.5" customHeight="1" thickBot="1" x14ac:dyDescent="0.4">
      <c r="A59" s="8" t="s">
        <v>11</v>
      </c>
      <c r="B59" s="9" t="s">
        <v>28</v>
      </c>
      <c r="C59" s="1382" t="s">
        <v>38</v>
      </c>
      <c r="D59" s="1382"/>
      <c r="E59" s="1382"/>
      <c r="F59" s="1382"/>
      <c r="G59" s="1382"/>
      <c r="H59" s="1382"/>
      <c r="I59" s="1382"/>
      <c r="J59" s="1382"/>
      <c r="K59" s="1382"/>
      <c r="L59" s="1382"/>
      <c r="M59" s="1382"/>
      <c r="N59" s="1382"/>
      <c r="O59" s="1382"/>
      <c r="P59" s="1382"/>
      <c r="Q59" s="1382"/>
      <c r="R59" s="1382"/>
      <c r="S59" s="1382"/>
      <c r="T59" s="1382"/>
      <c r="U59" s="1382"/>
      <c r="V59" s="775"/>
      <c r="W59" s="1053"/>
    </row>
    <row r="60" spans="1:27" s="65" customFormat="1" ht="17.25" customHeight="1" x14ac:dyDescent="0.35">
      <c r="A60" s="117" t="s">
        <v>11</v>
      </c>
      <c r="B60" s="776" t="s">
        <v>28</v>
      </c>
      <c r="C60" s="619" t="s">
        <v>11</v>
      </c>
      <c r="D60" s="41" t="s">
        <v>62</v>
      </c>
      <c r="E60" s="681"/>
      <c r="F60" s="94" t="s">
        <v>32</v>
      </c>
      <c r="G60" s="672"/>
      <c r="H60" s="672"/>
      <c r="I60" s="676"/>
      <c r="J60" s="671"/>
      <c r="K60" s="672"/>
      <c r="L60" s="675"/>
      <c r="M60" s="677">
        <v>500</v>
      </c>
      <c r="N60" s="677">
        <v>500</v>
      </c>
      <c r="O60" s="819">
        <f>+N60-M60</f>
        <v>0</v>
      </c>
      <c r="P60" s="1099"/>
      <c r="Q60" s="677"/>
      <c r="R60" s="675"/>
      <c r="S60" s="677"/>
      <c r="T60" s="675"/>
      <c r="U60" s="677"/>
      <c r="V60" s="819"/>
      <c r="W60" s="675"/>
    </row>
    <row r="61" spans="1:27" s="65" customFormat="1" ht="17.25" customHeight="1" x14ac:dyDescent="0.35">
      <c r="A61" s="114"/>
      <c r="B61" s="777"/>
      <c r="C61" s="678"/>
      <c r="D61" s="665"/>
      <c r="E61" s="255"/>
      <c r="F61" s="639" t="s">
        <v>23</v>
      </c>
      <c r="G61" s="734">
        <v>68.3</v>
      </c>
      <c r="H61" s="210">
        <v>68.3</v>
      </c>
      <c r="I61" s="319">
        <f>+H61-G61</f>
        <v>0</v>
      </c>
      <c r="J61" s="210">
        <v>163.5</v>
      </c>
      <c r="K61" s="210">
        <v>163.5</v>
      </c>
      <c r="L61" s="319">
        <f>+K61-J61</f>
        <v>0</v>
      </c>
      <c r="M61" s="210">
        <v>233.5</v>
      </c>
      <c r="N61" s="210">
        <v>233.5</v>
      </c>
      <c r="O61" s="377">
        <f>+N61-M61</f>
        <v>0</v>
      </c>
      <c r="P61" s="146"/>
      <c r="Q61" s="210"/>
      <c r="R61" s="319"/>
      <c r="S61" s="210"/>
      <c r="T61" s="319"/>
      <c r="U61" s="210"/>
      <c r="V61" s="377"/>
      <c r="W61" s="377"/>
      <c r="X61" s="58"/>
      <c r="Y61" s="58"/>
      <c r="Z61" s="58"/>
      <c r="AA61" s="58"/>
    </row>
    <row r="62" spans="1:27" s="65" customFormat="1" ht="17.25" customHeight="1" x14ac:dyDescent="0.35">
      <c r="A62" s="114"/>
      <c r="B62" s="777"/>
      <c r="C62" s="678"/>
      <c r="D62" s="665"/>
      <c r="E62" s="679"/>
      <c r="F62" s="38" t="s">
        <v>27</v>
      </c>
      <c r="G62" s="1160">
        <f>84.7-20.2</f>
        <v>64.5</v>
      </c>
      <c r="H62" s="1160">
        <f>84.7-20.2</f>
        <v>64.5</v>
      </c>
      <c r="I62" s="1156">
        <f>+H62-G62</f>
        <v>0</v>
      </c>
      <c r="J62" s="210"/>
      <c r="K62" s="202"/>
      <c r="L62" s="319"/>
      <c r="M62" s="1160"/>
      <c r="N62" s="1154"/>
      <c r="O62" s="378"/>
      <c r="P62" s="120"/>
      <c r="Q62" s="807"/>
      <c r="R62" s="803"/>
      <c r="S62" s="807"/>
      <c r="T62" s="803"/>
      <c r="U62" s="807"/>
      <c r="V62" s="378"/>
      <c r="W62" s="378"/>
      <c r="X62" s="58"/>
      <c r="Y62" s="58"/>
      <c r="Z62" s="58"/>
      <c r="AA62" s="58"/>
    </row>
    <row r="63" spans="1:27" s="65" customFormat="1" ht="17.25" customHeight="1" x14ac:dyDescent="0.35">
      <c r="A63" s="114"/>
      <c r="B63" s="777"/>
      <c r="C63" s="281"/>
      <c r="D63" s="773" t="s">
        <v>39</v>
      </c>
      <c r="E63" s="790" t="s">
        <v>140</v>
      </c>
      <c r="F63" s="988" t="s">
        <v>220</v>
      </c>
      <c r="G63" s="958">
        <v>11</v>
      </c>
      <c r="H63" s="958">
        <f>+G63</f>
        <v>11</v>
      </c>
      <c r="I63" s="969">
        <f>+H63-G63</f>
        <v>0</v>
      </c>
      <c r="J63" s="1240">
        <v>11</v>
      </c>
      <c r="K63" s="1242">
        <f>+J63</f>
        <v>11</v>
      </c>
      <c r="L63" s="1236">
        <f>+K63-J63</f>
        <v>0</v>
      </c>
      <c r="M63" s="964">
        <v>11</v>
      </c>
      <c r="N63" s="958">
        <f>+M63</f>
        <v>11</v>
      </c>
      <c r="O63" s="965">
        <f>+N63-M63</f>
        <v>0</v>
      </c>
      <c r="P63" s="1084" t="s">
        <v>68</v>
      </c>
      <c r="Q63" s="437">
        <v>17</v>
      </c>
      <c r="R63" s="788"/>
      <c r="S63" s="263">
        <v>17</v>
      </c>
      <c r="T63" s="797"/>
      <c r="U63" s="437">
        <v>17</v>
      </c>
      <c r="V63" s="124"/>
      <c r="W63" s="124"/>
    </row>
    <row r="64" spans="1:27" s="65" customFormat="1" ht="15" customHeight="1" x14ac:dyDescent="0.35">
      <c r="A64" s="114"/>
      <c r="B64" s="777"/>
      <c r="C64" s="779"/>
      <c r="D64" s="86"/>
      <c r="E64" s="784"/>
      <c r="F64" s="1239"/>
      <c r="G64" s="1243"/>
      <c r="H64" s="1243"/>
      <c r="I64" s="1237"/>
      <c r="J64" s="1241"/>
      <c r="K64" s="1243"/>
      <c r="L64" s="1237"/>
      <c r="M64" s="1241"/>
      <c r="N64" s="1243"/>
      <c r="O64" s="967"/>
      <c r="P64" s="1077"/>
      <c r="Q64" s="251"/>
      <c r="R64" s="789"/>
      <c r="S64" s="251"/>
      <c r="T64" s="789"/>
      <c r="U64" s="251"/>
      <c r="V64" s="177"/>
      <c r="W64" s="177"/>
    </row>
    <row r="65" spans="1:27" s="65" customFormat="1" ht="21" customHeight="1" x14ac:dyDescent="0.35">
      <c r="A65" s="114"/>
      <c r="B65" s="777"/>
      <c r="C65" s="779"/>
      <c r="D65" s="1354" t="s">
        <v>40</v>
      </c>
      <c r="E65" s="720" t="s">
        <v>126</v>
      </c>
      <c r="F65" s="994" t="s">
        <v>220</v>
      </c>
      <c r="G65" s="1242">
        <f>22.5-4</f>
        <v>18.5</v>
      </c>
      <c r="H65" s="1242">
        <f>+G65</f>
        <v>18.5</v>
      </c>
      <c r="I65" s="1236">
        <f>+H65-G65</f>
        <v>0</v>
      </c>
      <c r="J65" s="1240">
        <v>22.5</v>
      </c>
      <c r="K65" s="1242">
        <f>+J65</f>
        <v>22.5</v>
      </c>
      <c r="L65" s="1236">
        <f>+K65-J65</f>
        <v>0</v>
      </c>
      <c r="M65" s="1240">
        <v>22.5</v>
      </c>
      <c r="N65" s="1242">
        <f>+M65</f>
        <v>22.5</v>
      </c>
      <c r="O65" s="963">
        <f>+N65-M65</f>
        <v>0</v>
      </c>
      <c r="P65" s="1502" t="s">
        <v>235</v>
      </c>
      <c r="Q65" s="1167">
        <v>4.5</v>
      </c>
      <c r="R65" s="813"/>
      <c r="S65" s="1167">
        <v>5.5</v>
      </c>
      <c r="T65" s="813"/>
      <c r="U65" s="1167">
        <v>5.5</v>
      </c>
      <c r="V65" s="283"/>
      <c r="W65" s="283"/>
    </row>
    <row r="66" spans="1:27" s="65" customFormat="1" ht="21" customHeight="1" x14ac:dyDescent="0.35">
      <c r="A66" s="114"/>
      <c r="B66" s="777"/>
      <c r="C66" s="779"/>
      <c r="D66" s="1384"/>
      <c r="E66" s="586"/>
      <c r="F66" s="995"/>
      <c r="G66" s="1243"/>
      <c r="H66" s="1243"/>
      <c r="I66" s="1237"/>
      <c r="J66" s="1241"/>
      <c r="K66" s="1243"/>
      <c r="L66" s="1237"/>
      <c r="M66" s="1241"/>
      <c r="N66" s="1243"/>
      <c r="O66" s="967"/>
      <c r="P66" s="1555"/>
      <c r="Q66" s="587"/>
      <c r="R66" s="875"/>
      <c r="S66" s="587"/>
      <c r="T66" s="875"/>
      <c r="U66" s="587"/>
      <c r="V66" s="284"/>
      <c r="W66" s="284"/>
    </row>
    <row r="67" spans="1:27" s="65" customFormat="1" ht="14.25" customHeight="1" x14ac:dyDescent="0.35">
      <c r="A67" s="114"/>
      <c r="B67" s="777"/>
      <c r="C67" s="779"/>
      <c r="D67" s="1354" t="s">
        <v>103</v>
      </c>
      <c r="E67" s="585" t="s">
        <v>126</v>
      </c>
      <c r="F67" s="996" t="s">
        <v>220</v>
      </c>
      <c r="G67" s="958"/>
      <c r="H67" s="958"/>
      <c r="I67" s="969"/>
      <c r="J67" s="1019"/>
      <c r="K67" s="997"/>
      <c r="L67" s="998"/>
      <c r="M67" s="1019"/>
      <c r="N67" s="997"/>
      <c r="O67" s="1268"/>
      <c r="P67" s="1556" t="s">
        <v>129</v>
      </c>
      <c r="Q67" s="852"/>
      <c r="R67" s="876"/>
      <c r="S67" s="852"/>
      <c r="T67" s="876"/>
      <c r="U67" s="852"/>
      <c r="V67" s="285"/>
      <c r="W67" s="285"/>
    </row>
    <row r="68" spans="1:27" s="65" customFormat="1" ht="14.25" customHeight="1" x14ac:dyDescent="0.35">
      <c r="A68" s="114"/>
      <c r="B68" s="777"/>
      <c r="C68" s="779"/>
      <c r="D68" s="1367"/>
      <c r="E68" s="641"/>
      <c r="F68" s="996" t="s">
        <v>221</v>
      </c>
      <c r="G68" s="958"/>
      <c r="H68" s="958"/>
      <c r="I68" s="969"/>
      <c r="J68" s="964"/>
      <c r="K68" s="958"/>
      <c r="L68" s="969"/>
      <c r="M68" s="964"/>
      <c r="N68" s="958"/>
      <c r="O68" s="959"/>
      <c r="P68" s="1557"/>
      <c r="Q68" s="851"/>
      <c r="R68" s="464"/>
      <c r="S68" s="851"/>
      <c r="T68" s="464"/>
      <c r="U68" s="851"/>
      <c r="V68" s="835"/>
      <c r="W68" s="464"/>
    </row>
    <row r="69" spans="1:27" s="65" customFormat="1" ht="14.25" customHeight="1" x14ac:dyDescent="0.35">
      <c r="A69" s="114"/>
      <c r="B69" s="777"/>
      <c r="C69" s="779"/>
      <c r="D69" s="780"/>
      <c r="E69" s="641"/>
      <c r="F69" s="996" t="s">
        <v>223</v>
      </c>
      <c r="G69" s="1269"/>
      <c r="H69" s="1004"/>
      <c r="I69" s="969"/>
      <c r="J69" s="964"/>
      <c r="K69" s="958"/>
      <c r="L69" s="969"/>
      <c r="M69" s="964">
        <v>400</v>
      </c>
      <c r="N69" s="958">
        <f>+M69</f>
        <v>400</v>
      </c>
      <c r="O69" s="959">
        <f>+N69-M69</f>
        <v>0</v>
      </c>
      <c r="P69" s="1556" t="s">
        <v>185</v>
      </c>
      <c r="Q69" s="462"/>
      <c r="R69" s="837"/>
      <c r="S69" s="462"/>
      <c r="T69" s="837"/>
      <c r="U69" s="462">
        <v>100</v>
      </c>
      <c r="V69" s="287"/>
      <c r="W69" s="287"/>
    </row>
    <row r="70" spans="1:27" s="65" customFormat="1" ht="14.25" customHeight="1" x14ac:dyDescent="0.35">
      <c r="A70" s="114"/>
      <c r="B70" s="777"/>
      <c r="C70" s="779"/>
      <c r="D70" s="780"/>
      <c r="E70" s="641"/>
      <c r="F70" s="999" t="s">
        <v>220</v>
      </c>
      <c r="G70" s="1000"/>
      <c r="H70" s="1000"/>
      <c r="I70" s="1001"/>
      <c r="J70" s="1022"/>
      <c r="K70" s="1000"/>
      <c r="L70" s="1001"/>
      <c r="M70" s="1022">
        <v>100</v>
      </c>
      <c r="N70" s="1000">
        <f>+M70</f>
        <v>100</v>
      </c>
      <c r="O70" s="1270">
        <f>+N70-M70</f>
        <v>0</v>
      </c>
      <c r="P70" s="1557"/>
      <c r="Q70" s="851"/>
      <c r="R70" s="464"/>
      <c r="S70" s="851"/>
      <c r="T70" s="464"/>
      <c r="U70" s="851"/>
      <c r="V70" s="835"/>
      <c r="W70" s="464"/>
    </row>
    <row r="71" spans="1:27" s="65" customFormat="1" ht="27.75" customHeight="1" x14ac:dyDescent="0.35">
      <c r="A71" s="114"/>
      <c r="B71" s="777"/>
      <c r="C71" s="779"/>
      <c r="D71" s="414" t="s">
        <v>109</v>
      </c>
      <c r="E71" s="416"/>
      <c r="F71" s="1002" t="s">
        <v>220</v>
      </c>
      <c r="G71" s="973"/>
      <c r="H71" s="973"/>
      <c r="I71" s="974"/>
      <c r="J71" s="972"/>
      <c r="K71" s="973"/>
      <c r="L71" s="974"/>
      <c r="M71" s="972"/>
      <c r="N71" s="973"/>
      <c r="O71" s="1003"/>
      <c r="P71" s="179" t="s">
        <v>104</v>
      </c>
      <c r="Q71" s="207"/>
      <c r="R71" s="877"/>
      <c r="S71" s="207"/>
      <c r="T71" s="877"/>
      <c r="U71" s="207"/>
      <c r="V71" s="418"/>
      <c r="W71" s="418"/>
    </row>
    <row r="72" spans="1:27" s="65" customFormat="1" ht="20.25" customHeight="1" x14ac:dyDescent="0.35">
      <c r="A72" s="114"/>
      <c r="B72" s="777"/>
      <c r="C72" s="779"/>
      <c r="D72" s="1376" t="s">
        <v>173</v>
      </c>
      <c r="E72" s="790" t="s">
        <v>140</v>
      </c>
      <c r="F72" s="994" t="s">
        <v>220</v>
      </c>
      <c r="G72" s="958">
        <f>68.8-30</f>
        <v>38.799999999999997</v>
      </c>
      <c r="H72" s="958">
        <f>+G72</f>
        <v>38.799999999999997</v>
      </c>
      <c r="I72" s="969">
        <f>+H72-G72</f>
        <v>0</v>
      </c>
      <c r="J72" s="964">
        <f>100+30</f>
        <v>130</v>
      </c>
      <c r="K72" s="958">
        <f>+J72</f>
        <v>130</v>
      </c>
      <c r="L72" s="969">
        <f>+K72-J72</f>
        <v>0</v>
      </c>
      <c r="M72" s="964">
        <v>100</v>
      </c>
      <c r="N72" s="958">
        <f>+M72</f>
        <v>100</v>
      </c>
      <c r="O72" s="965">
        <f>+N72-M72</f>
        <v>0</v>
      </c>
      <c r="P72" s="494" t="s">
        <v>191</v>
      </c>
      <c r="Q72" s="592"/>
      <c r="R72" s="878"/>
      <c r="S72" s="1179">
        <v>1</v>
      </c>
      <c r="T72" s="880"/>
      <c r="U72" s="592"/>
      <c r="V72" s="493"/>
      <c r="W72" s="493"/>
    </row>
    <row r="73" spans="1:27" s="65" customFormat="1" ht="20.25" customHeight="1" x14ac:dyDescent="0.35">
      <c r="A73" s="114"/>
      <c r="B73" s="777"/>
      <c r="C73" s="407"/>
      <c r="D73" s="1377"/>
      <c r="E73" s="727" t="s">
        <v>31</v>
      </c>
      <c r="F73" s="996" t="s">
        <v>223</v>
      </c>
      <c r="G73" s="958"/>
      <c r="H73" s="958"/>
      <c r="I73" s="969"/>
      <c r="J73" s="964"/>
      <c r="K73" s="958"/>
      <c r="L73" s="969"/>
      <c r="M73" s="964">
        <v>100</v>
      </c>
      <c r="N73" s="958">
        <f>+M73</f>
        <v>100</v>
      </c>
      <c r="O73" s="959">
        <f>+N73-M73</f>
        <v>0</v>
      </c>
      <c r="P73" s="1080" t="s">
        <v>192</v>
      </c>
      <c r="Q73" s="1176">
        <v>1</v>
      </c>
      <c r="R73" s="838"/>
      <c r="S73" s="653"/>
      <c r="T73" s="838"/>
      <c r="U73" s="879"/>
      <c r="V73" s="853"/>
      <c r="W73" s="496"/>
    </row>
    <row r="74" spans="1:27" s="65" customFormat="1" ht="30" customHeight="1" x14ac:dyDescent="0.35">
      <c r="A74" s="114"/>
      <c r="B74" s="777"/>
      <c r="C74" s="407"/>
      <c r="D74" s="1378"/>
      <c r="E74" s="591"/>
      <c r="F74" s="995"/>
      <c r="G74" s="1004"/>
      <c r="H74" s="1004"/>
      <c r="I74" s="969"/>
      <c r="J74" s="964"/>
      <c r="K74" s="958"/>
      <c r="L74" s="969"/>
      <c r="M74" s="1241"/>
      <c r="N74" s="1243"/>
      <c r="O74" s="1266"/>
      <c r="P74" s="1082" t="s">
        <v>207</v>
      </c>
      <c r="Q74" s="592"/>
      <c r="R74" s="878"/>
      <c r="S74" s="1180">
        <v>30</v>
      </c>
      <c r="T74" s="878"/>
      <c r="U74" s="1181">
        <v>100</v>
      </c>
      <c r="V74" s="853"/>
      <c r="W74" s="496"/>
    </row>
    <row r="75" spans="1:27" s="65" customFormat="1" ht="29.15" customHeight="1" x14ac:dyDescent="0.35">
      <c r="A75" s="114"/>
      <c r="B75" s="777"/>
      <c r="C75" s="407"/>
      <c r="D75" s="810" t="s">
        <v>204</v>
      </c>
      <c r="E75" s="590"/>
      <c r="F75" s="1002" t="s">
        <v>221</v>
      </c>
      <c r="G75" s="1005">
        <f>84.7-20.2</f>
        <v>64.5</v>
      </c>
      <c r="H75" s="1005">
        <f>84.7-20.2</f>
        <v>64.5</v>
      </c>
      <c r="I75" s="974">
        <f>+H75-G75</f>
        <v>0</v>
      </c>
      <c r="J75" s="1003"/>
      <c r="K75" s="1005"/>
      <c r="L75" s="974"/>
      <c r="M75" s="972"/>
      <c r="N75" s="973"/>
      <c r="O75" s="1003"/>
      <c r="P75" s="179" t="s">
        <v>192</v>
      </c>
      <c r="Q75" s="1168">
        <v>1</v>
      </c>
      <c r="R75" s="519"/>
      <c r="S75" s="593"/>
      <c r="T75" s="519"/>
      <c r="U75" s="593"/>
      <c r="V75" s="854"/>
      <c r="W75" s="1057"/>
    </row>
    <row r="76" spans="1:27" s="65" customFormat="1" ht="18" customHeight="1" thickBot="1" x14ac:dyDescent="0.35">
      <c r="A76" s="148"/>
      <c r="B76" s="149"/>
      <c r="C76" s="50"/>
      <c r="D76" s="273"/>
      <c r="E76" s="594"/>
      <c r="F76" s="68" t="s">
        <v>20</v>
      </c>
      <c r="G76" s="260">
        <f>+G60+G61+G62</f>
        <v>132.80000000000001</v>
      </c>
      <c r="H76" s="260">
        <f>+H60+H61+H62</f>
        <v>132.80000000000001</v>
      </c>
      <c r="I76" s="257">
        <f>+I60+I61+I62</f>
        <v>0</v>
      </c>
      <c r="J76" s="818">
        <f t="shared" ref="J76:M76" si="13">+J60+J61+J62</f>
        <v>163.5</v>
      </c>
      <c r="K76" s="260">
        <f t="shared" ref="K76:L76" si="14">+K60+K61+K62</f>
        <v>163.5</v>
      </c>
      <c r="L76" s="257">
        <f t="shared" si="14"/>
        <v>0</v>
      </c>
      <c r="M76" s="315">
        <f t="shared" si="13"/>
        <v>733.5</v>
      </c>
      <c r="N76" s="269">
        <f t="shared" ref="N76:O76" si="15">+N60+N61+N62</f>
        <v>733.5</v>
      </c>
      <c r="O76" s="818">
        <f t="shared" si="15"/>
        <v>0</v>
      </c>
      <c r="P76" s="497"/>
      <c r="Q76" s="340"/>
      <c r="R76" s="453"/>
      <c r="S76" s="340"/>
      <c r="T76" s="453"/>
      <c r="U76" s="340"/>
      <c r="V76" s="268"/>
      <c r="W76" s="453"/>
    </row>
    <row r="77" spans="1:27" s="65" customFormat="1" ht="13.5" customHeight="1" x14ac:dyDescent="0.35">
      <c r="A77" s="117" t="s">
        <v>11</v>
      </c>
      <c r="B77" s="776" t="s">
        <v>28</v>
      </c>
      <c r="C77" s="778" t="s">
        <v>21</v>
      </c>
      <c r="D77" s="1386" t="s">
        <v>41</v>
      </c>
      <c r="E77" s="682"/>
      <c r="F77" s="1219" t="s">
        <v>32</v>
      </c>
      <c r="G77" s="1222">
        <f>753.8+19-100-38.6</f>
        <v>634.19999999999993</v>
      </c>
      <c r="H77" s="1222">
        <f>753.8+19-100-38.6-190.9-7.8</f>
        <v>435.49999999999994</v>
      </c>
      <c r="I77" s="1223">
        <f>+H77-G77</f>
        <v>-198.7</v>
      </c>
      <c r="J77" s="1224">
        <f>311.1+37+4+100+38.6</f>
        <v>490.70000000000005</v>
      </c>
      <c r="K77" s="1224">
        <f>311.1+37+4+100+38.6+332.2</f>
        <v>822.90000000000009</v>
      </c>
      <c r="L77" s="1223">
        <f>+K77-J77</f>
        <v>332.20000000000005</v>
      </c>
      <c r="M77" s="677"/>
      <c r="N77" s="677"/>
      <c r="O77" s="673"/>
      <c r="P77" s="1099"/>
      <c r="Q77" s="677"/>
      <c r="R77" s="675"/>
      <c r="S77" s="677"/>
      <c r="T77" s="675"/>
      <c r="U77" s="673"/>
      <c r="V77" s="675"/>
      <c r="X77" s="1271"/>
      <c r="Y77" s="58"/>
      <c r="Z77" s="58"/>
      <c r="AA77" s="58"/>
    </row>
    <row r="78" spans="1:27" s="65" customFormat="1" ht="13.5" customHeight="1" x14ac:dyDescent="0.35">
      <c r="A78" s="114"/>
      <c r="B78" s="777"/>
      <c r="C78" s="779"/>
      <c r="D78" s="1387"/>
      <c r="E78" s="64"/>
      <c r="F78" s="639" t="s">
        <v>23</v>
      </c>
      <c r="G78" s="210">
        <f>78.8+8-2.7</f>
        <v>84.1</v>
      </c>
      <c r="H78" s="210">
        <f>78.8+8-2.7</f>
        <v>84.1</v>
      </c>
      <c r="I78" s="319">
        <f>+H78-G78</f>
        <v>0</v>
      </c>
      <c r="J78" s="210">
        <f>79.8+13.9</f>
        <v>93.7</v>
      </c>
      <c r="K78" s="210">
        <f>79.8+13.9</f>
        <v>93.7</v>
      </c>
      <c r="L78" s="319">
        <f>+K78-J78</f>
        <v>0</v>
      </c>
      <c r="M78" s="210">
        <f>79.8+34.2</f>
        <v>114</v>
      </c>
      <c r="N78" s="210">
        <f>79.8+34.2</f>
        <v>114</v>
      </c>
      <c r="O78" s="319">
        <f>+N78-M78</f>
        <v>0</v>
      </c>
      <c r="P78" s="146"/>
      <c r="Q78" s="210"/>
      <c r="R78" s="25"/>
      <c r="S78" s="734"/>
      <c r="T78" s="319"/>
      <c r="U78" s="210"/>
      <c r="V78" s="377"/>
      <c r="W78" s="1232"/>
      <c r="X78" s="58"/>
      <c r="Y78" s="58"/>
      <c r="Z78" s="58"/>
      <c r="AA78" s="58"/>
    </row>
    <row r="79" spans="1:27" s="65" customFormat="1" ht="13.5" customHeight="1" x14ac:dyDescent="0.35">
      <c r="A79" s="114"/>
      <c r="B79" s="777"/>
      <c r="C79" s="779"/>
      <c r="D79" s="210"/>
      <c r="E79" s="64"/>
      <c r="F79" s="639" t="s">
        <v>75</v>
      </c>
      <c r="G79" s="210">
        <v>521.29999999999995</v>
      </c>
      <c r="H79" s="210">
        <v>521.29999999999995</v>
      </c>
      <c r="I79" s="319">
        <f t="shared" ref="I79:I85" si="16">+H79-G79</f>
        <v>0</v>
      </c>
      <c r="J79" s="210"/>
      <c r="K79" s="210"/>
      <c r="L79" s="319"/>
      <c r="M79" s="210"/>
      <c r="N79" s="210"/>
      <c r="O79" s="319"/>
      <c r="P79" s="146"/>
      <c r="Q79" s="210"/>
      <c r="R79" s="319"/>
      <c r="S79" s="210"/>
      <c r="T79" s="319"/>
      <c r="U79" s="210"/>
      <c r="V79" s="377"/>
      <c r="W79" s="1232"/>
      <c r="Y79" s="58"/>
    </row>
    <row r="80" spans="1:27" s="65" customFormat="1" ht="13.5" customHeight="1" x14ac:dyDescent="0.35">
      <c r="A80" s="114"/>
      <c r="B80" s="777"/>
      <c r="C80" s="779"/>
      <c r="D80" s="210"/>
      <c r="E80" s="64"/>
      <c r="F80" s="146" t="s">
        <v>44</v>
      </c>
      <c r="G80" s="210">
        <v>44.7</v>
      </c>
      <c r="H80" s="210">
        <v>44.7</v>
      </c>
      <c r="I80" s="319">
        <f t="shared" si="16"/>
        <v>0</v>
      </c>
      <c r="J80" s="210"/>
      <c r="K80" s="210"/>
      <c r="L80" s="319"/>
      <c r="M80" s="210"/>
      <c r="N80" s="210"/>
      <c r="O80" s="319"/>
      <c r="P80" s="146"/>
      <c r="Q80" s="210"/>
      <c r="R80" s="319"/>
      <c r="S80" s="210"/>
      <c r="T80" s="319"/>
      <c r="U80" s="210"/>
      <c r="V80" s="377"/>
      <c r="W80" s="1232"/>
      <c r="Y80" s="58"/>
    </row>
    <row r="81" spans="1:25" s="65" customFormat="1" ht="13.5" customHeight="1" x14ac:dyDescent="0.35">
      <c r="A81" s="114"/>
      <c r="B81" s="777"/>
      <c r="C81" s="779"/>
      <c r="D81" s="210"/>
      <c r="E81" s="64"/>
      <c r="F81" s="146" t="s">
        <v>70</v>
      </c>
      <c r="G81" s="210">
        <v>22</v>
      </c>
      <c r="H81" s="210">
        <v>22</v>
      </c>
      <c r="I81" s="319">
        <f t="shared" si="16"/>
        <v>0</v>
      </c>
      <c r="J81" s="210">
        <v>22</v>
      </c>
      <c r="K81" s="210">
        <v>22</v>
      </c>
      <c r="L81" s="319">
        <f>+K81-J81</f>
        <v>0</v>
      </c>
      <c r="M81" s="210"/>
      <c r="N81" s="210"/>
      <c r="O81" s="319"/>
      <c r="P81" s="146"/>
      <c r="Q81" s="210"/>
      <c r="R81" s="319"/>
      <c r="S81" s="210"/>
      <c r="T81" s="319"/>
      <c r="U81" s="210"/>
      <c r="V81" s="377"/>
      <c r="W81" s="1232"/>
      <c r="Y81" s="58"/>
    </row>
    <row r="82" spans="1:25" s="65" customFormat="1" ht="13.5" customHeight="1" x14ac:dyDescent="0.35">
      <c r="A82" s="114"/>
      <c r="B82" s="777"/>
      <c r="C82" s="779"/>
      <c r="D82" s="210"/>
      <c r="E82" s="64"/>
      <c r="F82" s="639" t="s">
        <v>74</v>
      </c>
      <c r="G82" s="210">
        <v>177.4</v>
      </c>
      <c r="H82" s="210">
        <v>177.4</v>
      </c>
      <c r="I82" s="319">
        <f t="shared" si="16"/>
        <v>0</v>
      </c>
      <c r="J82" s="210"/>
      <c r="K82" s="210"/>
      <c r="L82" s="319"/>
      <c r="M82" s="210"/>
      <c r="N82" s="210"/>
      <c r="O82" s="319"/>
      <c r="P82" s="146"/>
      <c r="Q82" s="210"/>
      <c r="R82" s="319"/>
      <c r="S82" s="210"/>
      <c r="T82" s="319"/>
      <c r="U82" s="210"/>
      <c r="V82" s="377"/>
      <c r="W82" s="1232"/>
      <c r="Y82" s="58"/>
    </row>
    <row r="83" spans="1:25" s="65" customFormat="1" ht="13.5" customHeight="1" x14ac:dyDescent="0.35">
      <c r="A83" s="114"/>
      <c r="B83" s="777"/>
      <c r="C83" s="779"/>
      <c r="D83" s="210"/>
      <c r="E83" s="64"/>
      <c r="F83" s="74" t="s">
        <v>94</v>
      </c>
      <c r="G83" s="210">
        <v>0.1</v>
      </c>
      <c r="H83" s="210">
        <v>0.1</v>
      </c>
      <c r="I83" s="319">
        <f t="shared" si="16"/>
        <v>0</v>
      </c>
      <c r="J83" s="210"/>
      <c r="K83" s="210"/>
      <c r="L83" s="319"/>
      <c r="M83" s="210"/>
      <c r="N83" s="210"/>
      <c r="O83" s="319"/>
      <c r="P83" s="146"/>
      <c r="Q83" s="210"/>
      <c r="R83" s="319"/>
      <c r="S83" s="210"/>
      <c r="T83" s="319"/>
      <c r="U83" s="210"/>
      <c r="V83" s="377"/>
      <c r="W83" s="1232"/>
    </row>
    <row r="84" spans="1:25" s="65" customFormat="1" ht="13.5" customHeight="1" x14ac:dyDescent="0.35">
      <c r="A84" s="114"/>
      <c r="B84" s="777"/>
      <c r="C84" s="779"/>
      <c r="D84" s="210"/>
      <c r="E84" s="64"/>
      <c r="F84" s="74" t="s">
        <v>27</v>
      </c>
      <c r="G84" s="210">
        <v>142.69999999999999</v>
      </c>
      <c r="H84" s="210">
        <v>142.69999999999999</v>
      </c>
      <c r="I84" s="319">
        <f t="shared" si="16"/>
        <v>0</v>
      </c>
      <c r="J84" s="210"/>
      <c r="K84" s="210"/>
      <c r="L84" s="319"/>
      <c r="M84" s="210"/>
      <c r="N84" s="210"/>
      <c r="O84" s="319"/>
      <c r="P84" s="146"/>
      <c r="Q84" s="210"/>
      <c r="R84" s="319"/>
      <c r="S84" s="210"/>
      <c r="T84" s="319"/>
      <c r="U84" s="210"/>
      <c r="V84" s="377"/>
      <c r="W84" s="1232"/>
    </row>
    <row r="85" spans="1:25" s="65" customFormat="1" ht="13.5" customHeight="1" thickBot="1" x14ac:dyDescent="0.4">
      <c r="A85" s="114"/>
      <c r="B85" s="777"/>
      <c r="C85" s="779"/>
      <c r="D85" s="210"/>
      <c r="E85" s="83"/>
      <c r="F85" s="75" t="s">
        <v>138</v>
      </c>
      <c r="G85" s="210">
        <v>0.1</v>
      </c>
      <c r="H85" s="210">
        <v>0.1</v>
      </c>
      <c r="I85" s="319">
        <f t="shared" si="16"/>
        <v>0</v>
      </c>
      <c r="J85" s="1160"/>
      <c r="K85" s="1160"/>
      <c r="L85" s="1156"/>
      <c r="M85" s="1160"/>
      <c r="N85" s="1160"/>
      <c r="O85" s="1156"/>
      <c r="P85" s="120"/>
      <c r="Q85" s="807"/>
      <c r="R85" s="803"/>
      <c r="S85" s="210"/>
      <c r="T85" s="803"/>
      <c r="U85" s="807"/>
      <c r="V85" s="378"/>
      <c r="W85" s="1232"/>
    </row>
    <row r="86" spans="1:25" s="65" customFormat="1" ht="17.25" customHeight="1" x14ac:dyDescent="0.35">
      <c r="A86" s="4"/>
      <c r="B86" s="5"/>
      <c r="C86" s="53"/>
      <c r="D86" s="1349" t="s">
        <v>73</v>
      </c>
      <c r="E86" s="107" t="s">
        <v>123</v>
      </c>
      <c r="F86" s="1219" t="s">
        <v>223</v>
      </c>
      <c r="G86" s="1220">
        <v>478</v>
      </c>
      <c r="H86" s="1220">
        <f>478-190.9</f>
        <v>287.10000000000002</v>
      </c>
      <c r="I86" s="1221">
        <f>+H86-G86</f>
        <v>-190.89999999999998</v>
      </c>
      <c r="J86" s="1220">
        <v>311.10000000000002</v>
      </c>
      <c r="K86" s="1220">
        <f>311.1+332.2</f>
        <v>643.29999999999995</v>
      </c>
      <c r="L86" s="1221">
        <f>+K86-J86</f>
        <v>332.19999999999993</v>
      </c>
      <c r="M86" s="301"/>
      <c r="N86" s="299"/>
      <c r="O86" s="1170"/>
      <c r="P86" s="1537" t="s">
        <v>78</v>
      </c>
      <c r="Q86" s="1225">
        <v>50</v>
      </c>
      <c r="R86" s="1226">
        <v>45</v>
      </c>
      <c r="S86" s="468">
        <v>100</v>
      </c>
      <c r="T86" s="831"/>
      <c r="U86" s="468"/>
      <c r="V86" s="218"/>
      <c r="W86" s="1499" t="s">
        <v>271</v>
      </c>
    </row>
    <row r="87" spans="1:25" s="65" customFormat="1" ht="17.25" customHeight="1" x14ac:dyDescent="0.35">
      <c r="A87" s="4"/>
      <c r="B87" s="5"/>
      <c r="C87" s="53"/>
      <c r="D87" s="1346"/>
      <c r="E87" s="727" t="s">
        <v>31</v>
      </c>
      <c r="F87" s="1171"/>
      <c r="G87" s="730"/>
      <c r="H87" s="730"/>
      <c r="I87" s="1172"/>
      <c r="J87" s="730"/>
      <c r="K87" s="730"/>
      <c r="L87" s="1172"/>
      <c r="M87" s="730"/>
      <c r="N87" s="729"/>
      <c r="O87" s="1172"/>
      <c r="P87" s="1538"/>
      <c r="Q87" s="462"/>
      <c r="R87" s="837"/>
      <c r="S87" s="462"/>
      <c r="T87" s="837"/>
      <c r="U87" s="462"/>
      <c r="V87" s="287"/>
      <c r="W87" s="1500"/>
    </row>
    <row r="88" spans="1:25" s="65" customFormat="1" ht="17.25" customHeight="1" x14ac:dyDescent="0.35">
      <c r="A88" s="4"/>
      <c r="B88" s="5"/>
      <c r="C88" s="53"/>
      <c r="D88" s="1346"/>
      <c r="E88" s="64" t="s">
        <v>126</v>
      </c>
      <c r="F88" s="978" t="s">
        <v>224</v>
      </c>
      <c r="G88" s="964">
        <v>22</v>
      </c>
      <c r="H88" s="964">
        <f>+G88</f>
        <v>22</v>
      </c>
      <c r="I88" s="969">
        <f>+H88-G88</f>
        <v>0</v>
      </c>
      <c r="J88" s="964">
        <v>22</v>
      </c>
      <c r="K88" s="964">
        <f>+J88</f>
        <v>22</v>
      </c>
      <c r="L88" s="969">
        <f>+K88-J88</f>
        <v>0</v>
      </c>
      <c r="M88" s="210"/>
      <c r="N88" s="202"/>
      <c r="O88" s="319"/>
      <c r="P88" s="1538"/>
      <c r="Q88" s="595"/>
      <c r="R88" s="881"/>
      <c r="S88" s="595"/>
      <c r="T88" s="881"/>
      <c r="U88" s="595"/>
      <c r="V88" s="325"/>
      <c r="W88" s="1500"/>
    </row>
    <row r="89" spans="1:25" s="65" customFormat="1" ht="148" customHeight="1" x14ac:dyDescent="0.35">
      <c r="A89" s="4"/>
      <c r="B89" s="5"/>
      <c r="C89" s="53"/>
      <c r="D89" s="1370"/>
      <c r="E89" s="796" t="s">
        <v>140</v>
      </c>
      <c r="F89" s="1171"/>
      <c r="G89" s="210"/>
      <c r="H89" s="210"/>
      <c r="I89" s="319"/>
      <c r="J89" s="210"/>
      <c r="K89" s="210"/>
      <c r="L89" s="319"/>
      <c r="M89" s="210"/>
      <c r="N89" s="202"/>
      <c r="O89" s="319"/>
      <c r="P89" s="1539"/>
      <c r="Q89" s="462"/>
      <c r="R89" s="837"/>
      <c r="S89" s="462"/>
      <c r="T89" s="837"/>
      <c r="U89" s="462"/>
      <c r="V89" s="287"/>
      <c r="W89" s="1501"/>
    </row>
    <row r="90" spans="1:25" s="65" customFormat="1" ht="18" customHeight="1" x14ac:dyDescent="0.35">
      <c r="A90" s="114"/>
      <c r="B90" s="777"/>
      <c r="C90" s="779"/>
      <c r="D90" s="1354" t="s">
        <v>42</v>
      </c>
      <c r="E90" s="107" t="s">
        <v>123</v>
      </c>
      <c r="F90" s="1238" t="s">
        <v>220</v>
      </c>
      <c r="G90" s="1240">
        <v>78.8</v>
      </c>
      <c r="H90" s="1240">
        <f>+G90</f>
        <v>78.8</v>
      </c>
      <c r="I90" s="1236">
        <f>+H90-G90</f>
        <v>0</v>
      </c>
      <c r="J90" s="1240">
        <v>79.8</v>
      </c>
      <c r="K90" s="1240">
        <f>+J90</f>
        <v>79.8</v>
      </c>
      <c r="L90" s="1236">
        <f>+K90-J90</f>
        <v>0</v>
      </c>
      <c r="M90" s="1240">
        <v>79.8</v>
      </c>
      <c r="N90" s="1242">
        <f>+M90</f>
        <v>79.8</v>
      </c>
      <c r="O90" s="1236">
        <f>+N90-M90</f>
        <v>0</v>
      </c>
      <c r="P90" s="1100" t="s">
        <v>253</v>
      </c>
      <c r="Q90" s="469">
        <v>179</v>
      </c>
      <c r="R90" s="1064"/>
      <c r="S90" s="469">
        <v>150</v>
      </c>
      <c r="T90" s="882"/>
      <c r="U90" s="948">
        <v>150</v>
      </c>
      <c r="V90" s="326"/>
      <c r="W90" s="1528"/>
    </row>
    <row r="91" spans="1:25" s="65" customFormat="1" ht="18.75" customHeight="1" x14ac:dyDescent="0.35">
      <c r="A91" s="4"/>
      <c r="B91" s="5"/>
      <c r="C91" s="53"/>
      <c r="D91" s="1367"/>
      <c r="E91" s="761" t="s">
        <v>240</v>
      </c>
      <c r="F91" s="982" t="s">
        <v>221</v>
      </c>
      <c r="G91" s="958">
        <v>12.4</v>
      </c>
      <c r="H91" s="958">
        <f>+G91</f>
        <v>12.4</v>
      </c>
      <c r="I91" s="969">
        <f>+H91-G91</f>
        <v>0</v>
      </c>
      <c r="J91" s="964"/>
      <c r="K91" s="964"/>
      <c r="L91" s="969"/>
      <c r="M91" s="964"/>
      <c r="N91" s="958"/>
      <c r="O91" s="969"/>
      <c r="P91" s="344" t="s">
        <v>254</v>
      </c>
      <c r="Q91" s="470">
        <v>2051</v>
      </c>
      <c r="R91" s="1065"/>
      <c r="S91" s="944">
        <v>2090</v>
      </c>
      <c r="T91" s="883"/>
      <c r="U91" s="947">
        <v>2090</v>
      </c>
      <c r="V91" s="327"/>
      <c r="W91" s="1529"/>
    </row>
    <row r="92" spans="1:25" s="65" customFormat="1" ht="56.25" customHeight="1" x14ac:dyDescent="0.35">
      <c r="A92" s="110"/>
      <c r="B92" s="5"/>
      <c r="C92" s="111"/>
      <c r="D92" s="771"/>
      <c r="E92" s="667"/>
      <c r="F92" s="983"/>
      <c r="G92" s="1243"/>
      <c r="H92" s="1243"/>
      <c r="I92" s="1237"/>
      <c r="J92" s="1241"/>
      <c r="K92" s="1241"/>
      <c r="L92" s="1237"/>
      <c r="M92" s="1241"/>
      <c r="N92" s="1243"/>
      <c r="O92" s="1237"/>
      <c r="P92" s="1086" t="s">
        <v>255</v>
      </c>
      <c r="Q92" s="1074">
        <v>100</v>
      </c>
      <c r="R92" s="1066"/>
      <c r="S92" s="748"/>
      <c r="T92" s="889"/>
      <c r="U92" s="748"/>
      <c r="V92" s="328"/>
      <c r="W92" s="1530"/>
    </row>
    <row r="93" spans="1:25" s="65" customFormat="1" ht="29.5" customHeight="1" x14ac:dyDescent="0.35">
      <c r="A93" s="110"/>
      <c r="B93" s="5"/>
      <c r="C93" s="111"/>
      <c r="D93" s="1297" t="s">
        <v>238</v>
      </c>
      <c r="E93" s="786" t="s">
        <v>123</v>
      </c>
      <c r="F93" s="984" t="s">
        <v>223</v>
      </c>
      <c r="G93" s="1242">
        <f>7+12</f>
        <v>19</v>
      </c>
      <c r="H93" s="1242">
        <f>+G93</f>
        <v>19</v>
      </c>
      <c r="I93" s="1236">
        <f>+H93-G93</f>
        <v>0</v>
      </c>
      <c r="J93" s="1242">
        <f>37+4</f>
        <v>41</v>
      </c>
      <c r="K93" s="1242">
        <f>37+4</f>
        <v>41</v>
      </c>
      <c r="L93" s="1236">
        <f>+K93-J93</f>
        <v>0</v>
      </c>
      <c r="M93" s="1240"/>
      <c r="N93" s="1242"/>
      <c r="O93" s="1236"/>
      <c r="P93" s="509" t="s">
        <v>195</v>
      </c>
      <c r="Q93" s="424">
        <v>1</v>
      </c>
      <c r="R93" s="403"/>
      <c r="S93" s="424">
        <v>1</v>
      </c>
      <c r="T93" s="403"/>
      <c r="U93" s="886"/>
      <c r="V93" s="858"/>
      <c r="W93" s="1059"/>
    </row>
    <row r="94" spans="1:25" s="65" customFormat="1" ht="16.5" customHeight="1" x14ac:dyDescent="0.35">
      <c r="A94" s="110"/>
      <c r="B94" s="5"/>
      <c r="C94" s="111"/>
      <c r="D94" s="1298"/>
      <c r="E94" s="761" t="s">
        <v>240</v>
      </c>
      <c r="F94" s="985"/>
      <c r="G94" s="986"/>
      <c r="H94" s="958"/>
      <c r="I94" s="969"/>
      <c r="J94" s="964"/>
      <c r="K94" s="958"/>
      <c r="L94" s="969"/>
      <c r="M94" s="964"/>
      <c r="N94" s="958"/>
      <c r="O94" s="969"/>
      <c r="P94" s="510" t="s">
        <v>196</v>
      </c>
      <c r="Q94" s="855">
        <v>1</v>
      </c>
      <c r="R94" s="488"/>
      <c r="S94" s="855"/>
      <c r="T94" s="488"/>
      <c r="U94" s="887"/>
      <c r="V94" s="859"/>
      <c r="W94" s="506"/>
    </row>
    <row r="95" spans="1:25" s="65" customFormat="1" ht="23.5" customHeight="1" x14ac:dyDescent="0.35">
      <c r="A95" s="110"/>
      <c r="B95" s="5"/>
      <c r="C95" s="111"/>
      <c r="D95" s="1299"/>
      <c r="E95" s="504"/>
      <c r="F95" s="987" t="s">
        <v>220</v>
      </c>
      <c r="G95" s="1243">
        <f>8-2.7</f>
        <v>5.3</v>
      </c>
      <c r="H95" s="1243">
        <f>8-2.7</f>
        <v>5.3</v>
      </c>
      <c r="I95" s="1237">
        <f>+H95-G95</f>
        <v>0</v>
      </c>
      <c r="J95" s="1241">
        <f>13.9</f>
        <v>13.9</v>
      </c>
      <c r="K95" s="1243">
        <f>+J95</f>
        <v>13.9</v>
      </c>
      <c r="L95" s="1237">
        <f>+K95-J95</f>
        <v>0</v>
      </c>
      <c r="M95" s="1241">
        <f>34.2</f>
        <v>34.200000000000003</v>
      </c>
      <c r="N95" s="1243">
        <f>+M95</f>
        <v>34.200000000000003</v>
      </c>
      <c r="O95" s="1237">
        <f>+N95-M95</f>
        <v>0</v>
      </c>
      <c r="P95" s="511" t="s">
        <v>197</v>
      </c>
      <c r="Q95" s="856">
        <v>1</v>
      </c>
      <c r="R95" s="884"/>
      <c r="S95" s="856">
        <v>1</v>
      </c>
      <c r="T95" s="884"/>
      <c r="U95" s="888">
        <v>2</v>
      </c>
      <c r="V95" s="860"/>
      <c r="W95" s="1058"/>
    </row>
    <row r="96" spans="1:25" s="65" customFormat="1" ht="27" customHeight="1" x14ac:dyDescent="0.35">
      <c r="A96" s="1395"/>
      <c r="B96" s="1399"/>
      <c r="C96" s="1403"/>
      <c r="D96" s="1354" t="s">
        <v>107</v>
      </c>
      <c r="E96" s="107" t="s">
        <v>123</v>
      </c>
      <c r="F96" s="988" t="s">
        <v>225</v>
      </c>
      <c r="G96" s="955">
        <v>16.600000000000001</v>
      </c>
      <c r="H96" s="1242">
        <f>+G96</f>
        <v>16.600000000000001</v>
      </c>
      <c r="I96" s="1236">
        <f>+H96-G96</f>
        <v>0</v>
      </c>
      <c r="J96" s="1240"/>
      <c r="K96" s="1242"/>
      <c r="L96" s="1236"/>
      <c r="M96" s="1240"/>
      <c r="N96" s="1242"/>
      <c r="O96" s="1236"/>
      <c r="P96" s="351" t="s">
        <v>66</v>
      </c>
      <c r="Q96" s="857">
        <v>100</v>
      </c>
      <c r="R96" s="885"/>
      <c r="S96" s="857"/>
      <c r="T96" s="885"/>
      <c r="U96" s="857"/>
      <c r="V96" s="329"/>
      <c r="W96" s="329"/>
    </row>
    <row r="97" spans="1:23" s="65" customFormat="1" ht="14.25" customHeight="1" x14ac:dyDescent="0.35">
      <c r="A97" s="1395"/>
      <c r="B97" s="1399"/>
      <c r="C97" s="1403"/>
      <c r="D97" s="1367"/>
      <c r="E97" s="727" t="s">
        <v>31</v>
      </c>
      <c r="F97" s="988"/>
      <c r="G97" s="986"/>
      <c r="H97" s="958"/>
      <c r="I97" s="969"/>
      <c r="J97" s="964"/>
      <c r="K97" s="964"/>
      <c r="L97" s="969"/>
      <c r="M97" s="964"/>
      <c r="N97" s="958"/>
      <c r="O97" s="969"/>
      <c r="P97" s="1083"/>
      <c r="Q97" s="500"/>
      <c r="R97" s="811"/>
      <c r="S97" s="500"/>
      <c r="T97" s="811"/>
      <c r="U97" s="826"/>
      <c r="V97" s="863"/>
      <c r="W97" s="330"/>
    </row>
    <row r="98" spans="1:23" s="65" customFormat="1" ht="13.5" customHeight="1" x14ac:dyDescent="0.35">
      <c r="A98" s="1395"/>
      <c r="B98" s="1399"/>
      <c r="C98" s="1403"/>
      <c r="D98" s="1367"/>
      <c r="E98" s="64" t="s">
        <v>126</v>
      </c>
      <c r="F98" s="988" t="s">
        <v>226</v>
      </c>
      <c r="G98" s="958">
        <f>5.5-1.5</f>
        <v>4</v>
      </c>
      <c r="H98" s="958">
        <f>5.5-1.5</f>
        <v>4</v>
      </c>
      <c r="I98" s="969">
        <f>+H98-G98</f>
        <v>0</v>
      </c>
      <c r="J98" s="964"/>
      <c r="K98" s="964"/>
      <c r="L98" s="969"/>
      <c r="M98" s="964"/>
      <c r="N98" s="958"/>
      <c r="O98" s="969"/>
      <c r="P98" s="1538" t="s">
        <v>125</v>
      </c>
      <c r="Q98" s="500"/>
      <c r="R98" s="811"/>
      <c r="S98" s="500"/>
      <c r="T98" s="811"/>
      <c r="U98" s="500"/>
      <c r="V98" s="330"/>
      <c r="W98" s="330"/>
    </row>
    <row r="99" spans="1:23" s="65" customFormat="1" ht="13.5" customHeight="1" x14ac:dyDescent="0.35">
      <c r="A99" s="1396"/>
      <c r="B99" s="1400"/>
      <c r="C99" s="1404"/>
      <c r="D99" s="1526"/>
      <c r="E99" s="1042" t="s">
        <v>140</v>
      </c>
      <c r="F99" s="1239"/>
      <c r="G99" s="989"/>
      <c r="H99" s="1243"/>
      <c r="I99" s="1237"/>
      <c r="J99" s="989"/>
      <c r="K99" s="1243"/>
      <c r="L99" s="1237"/>
      <c r="M99" s="989"/>
      <c r="N99" s="958"/>
      <c r="O99" s="1237"/>
      <c r="P99" s="1540"/>
      <c r="Q99" s="823"/>
      <c r="R99" s="943"/>
      <c r="S99" s="500"/>
      <c r="T99" s="811"/>
      <c r="U99" s="474"/>
      <c r="V99" s="330"/>
      <c r="W99" s="75"/>
    </row>
    <row r="100" spans="1:23" s="65" customFormat="1" ht="24.65" customHeight="1" x14ac:dyDescent="0.35">
      <c r="A100" s="1397"/>
      <c r="B100" s="1401"/>
      <c r="C100" s="1405"/>
      <c r="D100" s="1426" t="s">
        <v>256</v>
      </c>
      <c r="E100" s="107" t="s">
        <v>123</v>
      </c>
      <c r="F100" s="988" t="s">
        <v>226</v>
      </c>
      <c r="G100" s="958">
        <v>1.5</v>
      </c>
      <c r="H100" s="958">
        <f>1.5+1.5</f>
        <v>3</v>
      </c>
      <c r="I100" s="969">
        <f>+H100-G100</f>
        <v>1.5</v>
      </c>
      <c r="J100" s="964"/>
      <c r="K100" s="964"/>
      <c r="L100" s="969"/>
      <c r="M100" s="964"/>
      <c r="N100" s="1242"/>
      <c r="O100" s="969"/>
      <c r="P100" s="1085" t="s">
        <v>266</v>
      </c>
      <c r="Q100" s="500">
        <v>1</v>
      </c>
      <c r="R100" s="1029"/>
      <c r="S100" s="1030"/>
      <c r="T100" s="892"/>
      <c r="U100" s="1030"/>
      <c r="V100" s="885"/>
      <c r="W100" s="1509"/>
    </row>
    <row r="101" spans="1:23" s="65" customFormat="1" ht="26.5" customHeight="1" x14ac:dyDescent="0.35">
      <c r="A101" s="1397"/>
      <c r="B101" s="1401"/>
      <c r="C101" s="1405"/>
      <c r="D101" s="1427"/>
      <c r="E101" s="64" t="s">
        <v>126</v>
      </c>
      <c r="F101" s="988"/>
      <c r="G101" s="986"/>
      <c r="H101" s="958"/>
      <c r="I101" s="969"/>
      <c r="J101" s="964"/>
      <c r="K101" s="964"/>
      <c r="L101" s="969"/>
      <c r="M101" s="964"/>
      <c r="N101" s="958"/>
      <c r="O101" s="969"/>
      <c r="P101" s="1081" t="s">
        <v>257</v>
      </c>
      <c r="Q101" s="472"/>
      <c r="R101" s="863"/>
      <c r="S101" s="500"/>
      <c r="T101" s="863"/>
      <c r="U101" s="500"/>
      <c r="V101" s="330"/>
      <c r="W101" s="1510"/>
    </row>
    <row r="102" spans="1:23" s="65" customFormat="1" ht="16.5" customHeight="1" x14ac:dyDescent="0.35">
      <c r="A102" s="1397"/>
      <c r="B102" s="1401"/>
      <c r="C102" s="1405"/>
      <c r="D102" s="1527"/>
      <c r="E102" s="1042" t="s">
        <v>140</v>
      </c>
      <c r="F102" s="988"/>
      <c r="G102" s="989"/>
      <c r="H102" s="1243"/>
      <c r="I102" s="969"/>
      <c r="J102" s="964"/>
      <c r="K102" s="964"/>
      <c r="L102" s="969"/>
      <c r="M102" s="964"/>
      <c r="N102" s="958"/>
      <c r="O102" s="969"/>
      <c r="P102" s="1101"/>
      <c r="Q102" s="500"/>
      <c r="R102" s="942"/>
      <c r="S102" s="500"/>
      <c r="T102" s="942"/>
      <c r="U102" s="500"/>
      <c r="V102" s="330"/>
      <c r="W102" s="1511"/>
    </row>
    <row r="103" spans="1:23" s="11" customFormat="1" ht="14.25" customHeight="1" x14ac:dyDescent="0.35">
      <c r="A103" s="1397"/>
      <c r="B103" s="1401"/>
      <c r="C103" s="1405"/>
      <c r="D103" s="1297" t="s">
        <v>85</v>
      </c>
      <c r="E103" s="107" t="s">
        <v>123</v>
      </c>
      <c r="F103" s="984" t="s">
        <v>225</v>
      </c>
      <c r="G103" s="1269">
        <v>0.1</v>
      </c>
      <c r="H103" s="1242">
        <v>0.1</v>
      </c>
      <c r="I103" s="1236">
        <f>+H103-G103</f>
        <v>0</v>
      </c>
      <c r="J103" s="1240"/>
      <c r="K103" s="1240"/>
      <c r="L103" s="1236"/>
      <c r="M103" s="1159"/>
      <c r="N103" s="1153"/>
      <c r="O103" s="1155"/>
      <c r="P103" s="1541" t="s">
        <v>86</v>
      </c>
      <c r="Q103" s="437"/>
      <c r="R103" s="788"/>
      <c r="S103" s="437"/>
      <c r="T103" s="788"/>
      <c r="U103" s="437"/>
      <c r="V103" s="124"/>
      <c r="W103" s="124"/>
    </row>
    <row r="104" spans="1:23" s="11" customFormat="1" ht="14.25" customHeight="1" x14ac:dyDescent="0.35">
      <c r="A104" s="1397"/>
      <c r="B104" s="1401"/>
      <c r="C104" s="1405"/>
      <c r="D104" s="1298"/>
      <c r="E104" s="64" t="s">
        <v>126</v>
      </c>
      <c r="F104" s="985" t="s">
        <v>226</v>
      </c>
      <c r="G104" s="986">
        <v>50.1</v>
      </c>
      <c r="H104" s="964">
        <v>50.1</v>
      </c>
      <c r="I104" s="969">
        <f t="shared" ref="I104:I112" si="17">+H104-G104</f>
        <v>0</v>
      </c>
      <c r="J104" s="964"/>
      <c r="K104" s="964"/>
      <c r="L104" s="969"/>
      <c r="M104" s="210"/>
      <c r="N104" s="202"/>
      <c r="O104" s="319"/>
      <c r="P104" s="1542"/>
      <c r="Q104" s="263"/>
      <c r="R104" s="797"/>
      <c r="S104" s="263"/>
      <c r="T104" s="797"/>
      <c r="U104" s="263"/>
      <c r="V104" s="128"/>
      <c r="W104" s="128"/>
    </row>
    <row r="105" spans="1:23" s="11" customFormat="1" ht="14.25" customHeight="1" x14ac:dyDescent="0.35">
      <c r="A105" s="1397"/>
      <c r="B105" s="1401"/>
      <c r="C105" s="1405"/>
      <c r="D105" s="1298"/>
      <c r="E105" s="108" t="s">
        <v>140</v>
      </c>
      <c r="F105" s="985" t="s">
        <v>227</v>
      </c>
      <c r="G105" s="986">
        <v>0.1</v>
      </c>
      <c r="H105" s="964">
        <v>0.1</v>
      </c>
      <c r="I105" s="969">
        <f t="shared" si="17"/>
        <v>0</v>
      </c>
      <c r="J105" s="964"/>
      <c r="K105" s="964"/>
      <c r="L105" s="969"/>
      <c r="M105" s="210"/>
      <c r="N105" s="202"/>
      <c r="O105" s="319"/>
      <c r="P105" s="1543"/>
      <c r="Q105" s="263"/>
      <c r="R105" s="797"/>
      <c r="S105" s="263"/>
      <c r="T105" s="797"/>
      <c r="U105" s="263"/>
      <c r="V105" s="128"/>
      <c r="W105" s="128"/>
    </row>
    <row r="106" spans="1:23" s="11" customFormat="1" ht="14.25" customHeight="1" x14ac:dyDescent="0.35">
      <c r="A106" s="1397"/>
      <c r="B106" s="1401"/>
      <c r="C106" s="1405"/>
      <c r="D106" s="1298"/>
      <c r="E106" s="727" t="s">
        <v>31</v>
      </c>
      <c r="F106" s="985" t="s">
        <v>228</v>
      </c>
      <c r="G106" s="986">
        <v>0.1</v>
      </c>
      <c r="H106" s="964">
        <v>0.1</v>
      </c>
      <c r="I106" s="969">
        <f t="shared" si="17"/>
        <v>0</v>
      </c>
      <c r="J106" s="964"/>
      <c r="K106" s="964"/>
      <c r="L106" s="969"/>
      <c r="M106" s="210"/>
      <c r="N106" s="202"/>
      <c r="O106" s="319"/>
      <c r="P106" s="1543"/>
      <c r="Q106" s="263"/>
      <c r="R106" s="797"/>
      <c r="S106" s="263"/>
      <c r="T106" s="797"/>
      <c r="U106" s="263"/>
      <c r="V106" s="128"/>
      <c r="W106" s="128"/>
    </row>
    <row r="107" spans="1:23" s="11" customFormat="1" ht="14.25" customHeight="1" x14ac:dyDescent="0.35">
      <c r="A107" s="1397"/>
      <c r="B107" s="1401"/>
      <c r="C107" s="1405"/>
      <c r="D107" s="1298"/>
      <c r="E107" s="640"/>
      <c r="F107" s="987" t="s">
        <v>229</v>
      </c>
      <c r="G107" s="986">
        <v>0.1</v>
      </c>
      <c r="H107" s="964">
        <v>0.1</v>
      </c>
      <c r="I107" s="969">
        <f t="shared" si="17"/>
        <v>0</v>
      </c>
      <c r="J107" s="964"/>
      <c r="K107" s="964"/>
      <c r="L107" s="969"/>
      <c r="M107" s="210"/>
      <c r="N107" s="202"/>
      <c r="O107" s="319"/>
      <c r="P107" s="1544"/>
      <c r="Q107" s="251"/>
      <c r="R107" s="789"/>
      <c r="S107" s="263"/>
      <c r="T107" s="797"/>
      <c r="U107" s="263"/>
      <c r="V107" s="128"/>
      <c r="W107" s="128"/>
    </row>
    <row r="108" spans="1:23" s="11" customFormat="1" ht="12.75" customHeight="1" x14ac:dyDescent="0.35">
      <c r="A108" s="1397"/>
      <c r="B108" s="1401"/>
      <c r="C108" s="1405"/>
      <c r="D108" s="1354" t="s">
        <v>108</v>
      </c>
      <c r="E108" s="107" t="s">
        <v>126</v>
      </c>
      <c r="F108" s="990" t="s">
        <v>226</v>
      </c>
      <c r="G108" s="955">
        <f>123.3-1.5</f>
        <v>121.8</v>
      </c>
      <c r="H108" s="1240">
        <f>123.3-1.5-1.5</f>
        <v>120.3</v>
      </c>
      <c r="I108" s="1236">
        <f t="shared" si="17"/>
        <v>-1.5</v>
      </c>
      <c r="J108" s="1240"/>
      <c r="K108" s="1242"/>
      <c r="L108" s="1236"/>
      <c r="M108" s="1159"/>
      <c r="N108" s="1153"/>
      <c r="O108" s="1155"/>
      <c r="P108" s="1545" t="s">
        <v>111</v>
      </c>
      <c r="Q108" s="263">
        <v>100</v>
      </c>
      <c r="R108" s="797"/>
      <c r="S108" s="437"/>
      <c r="T108" s="788"/>
      <c r="U108" s="437"/>
      <c r="V108" s="124"/>
      <c r="W108" s="1502" t="s">
        <v>272</v>
      </c>
    </row>
    <row r="109" spans="1:23" s="11" customFormat="1" ht="37.5" customHeight="1" x14ac:dyDescent="0.35">
      <c r="A109" s="1397"/>
      <c r="B109" s="1401"/>
      <c r="C109" s="1405"/>
      <c r="D109" s="1367"/>
      <c r="E109" s="727" t="s">
        <v>31</v>
      </c>
      <c r="F109" s="1182" t="s">
        <v>223</v>
      </c>
      <c r="G109" s="1201">
        <f>275.8-100-38.6</f>
        <v>137.20000000000002</v>
      </c>
      <c r="H109" s="1201">
        <f>275.8-100-38.6-7.8</f>
        <v>129.4</v>
      </c>
      <c r="I109" s="1186">
        <f t="shared" si="17"/>
        <v>-7.8000000000000114</v>
      </c>
      <c r="J109" s="202">
        <f>100+38.6</f>
        <v>138.6</v>
      </c>
      <c r="K109" s="202">
        <f>100+38.6</f>
        <v>138.6</v>
      </c>
      <c r="L109" s="319">
        <f>+K109-J109</f>
        <v>0</v>
      </c>
      <c r="M109" s="210"/>
      <c r="N109" s="202"/>
      <c r="O109" s="319"/>
      <c r="P109" s="1506"/>
      <c r="Q109" s="263"/>
      <c r="R109" s="797"/>
      <c r="S109" s="263"/>
      <c r="T109" s="797"/>
      <c r="U109" s="263"/>
      <c r="V109" s="128"/>
      <c r="W109" s="1503"/>
    </row>
    <row r="110" spans="1:23" s="11" customFormat="1" ht="15.65" customHeight="1" x14ac:dyDescent="0.35">
      <c r="A110" s="1397"/>
      <c r="B110" s="1401"/>
      <c r="C110" s="1405"/>
      <c r="D110" s="1367"/>
      <c r="E110" s="733"/>
      <c r="F110" s="991" t="s">
        <v>225</v>
      </c>
      <c r="G110" s="958">
        <v>504.6</v>
      </c>
      <c r="H110" s="958">
        <v>504.6</v>
      </c>
      <c r="I110" s="969">
        <f t="shared" si="17"/>
        <v>0</v>
      </c>
      <c r="J110" s="210"/>
      <c r="K110" s="210"/>
      <c r="L110" s="319"/>
      <c r="M110" s="210"/>
      <c r="N110" s="202"/>
      <c r="O110" s="319"/>
      <c r="P110" s="1546"/>
      <c r="Q110" s="862"/>
      <c r="R110" s="485"/>
      <c r="S110" s="862"/>
      <c r="T110" s="485"/>
      <c r="U110" s="862"/>
      <c r="V110" s="861"/>
      <c r="W110" s="1503"/>
    </row>
    <row r="111" spans="1:23" s="11" customFormat="1" ht="37.5" customHeight="1" x14ac:dyDescent="0.35">
      <c r="A111" s="1397"/>
      <c r="B111" s="1401"/>
      <c r="C111" s="1405"/>
      <c r="D111" s="1367"/>
      <c r="E111" s="733"/>
      <c r="F111" s="990" t="s">
        <v>227</v>
      </c>
      <c r="G111" s="958">
        <v>44.6</v>
      </c>
      <c r="H111" s="958">
        <v>44.6</v>
      </c>
      <c r="I111" s="969">
        <f t="shared" si="17"/>
        <v>0</v>
      </c>
      <c r="J111" s="210"/>
      <c r="K111" s="210"/>
      <c r="L111" s="319"/>
      <c r="M111" s="210"/>
      <c r="N111" s="202"/>
      <c r="O111" s="319"/>
      <c r="P111" s="1506" t="s">
        <v>187</v>
      </c>
      <c r="Q111" s="263"/>
      <c r="R111" s="797"/>
      <c r="S111" s="263">
        <v>20</v>
      </c>
      <c r="T111" s="1051"/>
      <c r="U111" s="263"/>
      <c r="V111" s="128"/>
      <c r="W111" s="1503"/>
    </row>
    <row r="112" spans="1:23" s="11" customFormat="1" ht="0.65" customHeight="1" x14ac:dyDescent="0.35">
      <c r="A112" s="1397"/>
      <c r="B112" s="1401"/>
      <c r="C112" s="1405"/>
      <c r="D112" s="1367"/>
      <c r="E112" s="733"/>
      <c r="F112" s="987" t="s">
        <v>221</v>
      </c>
      <c r="G112" s="992">
        <f>127.1-20+23.2</f>
        <v>130.29999999999998</v>
      </c>
      <c r="H112" s="992">
        <f>127.1-20+23.2</f>
        <v>130.29999999999998</v>
      </c>
      <c r="I112" s="969">
        <f t="shared" si="17"/>
        <v>0</v>
      </c>
      <c r="J112" s="210"/>
      <c r="K112" s="202"/>
      <c r="L112" s="1156"/>
      <c r="M112" s="210"/>
      <c r="N112" s="202"/>
      <c r="O112" s="319"/>
      <c r="P112" s="1506"/>
      <c r="Q112" s="263"/>
      <c r="R112" s="797"/>
      <c r="S112" s="263"/>
      <c r="T112" s="797"/>
      <c r="U112" s="263"/>
      <c r="V112" s="128"/>
      <c r="W112" s="1504"/>
    </row>
    <row r="113" spans="1:27" s="65" customFormat="1" ht="18" customHeight="1" thickBot="1" x14ac:dyDescent="0.4">
      <c r="A113" s="1398"/>
      <c r="B113" s="1402"/>
      <c r="C113" s="1406"/>
      <c r="D113" s="304"/>
      <c r="E113" s="309"/>
      <c r="F113" s="501" t="s">
        <v>20</v>
      </c>
      <c r="G113" s="269">
        <f t="shared" ref="G113:O113" si="18">+G77+G78+G79+G80+G81+G82+G83+G84+G85</f>
        <v>1626.6</v>
      </c>
      <c r="H113" s="269">
        <f t="shared" si="18"/>
        <v>1427.8999999999999</v>
      </c>
      <c r="I113" s="257">
        <f t="shared" si="18"/>
        <v>-198.7</v>
      </c>
      <c r="J113" s="315">
        <f t="shared" si="18"/>
        <v>606.40000000000009</v>
      </c>
      <c r="K113" s="269">
        <f t="shared" si="18"/>
        <v>938.60000000000014</v>
      </c>
      <c r="L113" s="257">
        <f t="shared" si="18"/>
        <v>332.20000000000005</v>
      </c>
      <c r="M113" s="315">
        <f t="shared" si="18"/>
        <v>114</v>
      </c>
      <c r="N113" s="269">
        <f t="shared" si="18"/>
        <v>114</v>
      </c>
      <c r="O113" s="257">
        <f t="shared" si="18"/>
        <v>0</v>
      </c>
      <c r="P113" s="597"/>
      <c r="Q113" s="340"/>
      <c r="R113" s="453"/>
      <c r="S113" s="340"/>
      <c r="T113" s="453"/>
      <c r="U113" s="340"/>
      <c r="V113" s="268"/>
      <c r="W113" s="453"/>
      <c r="X113" s="58"/>
      <c r="Y113" s="58"/>
      <c r="Z113" s="58"/>
      <c r="AA113" s="58"/>
    </row>
    <row r="114" spans="1:27" s="65" customFormat="1" ht="15.75" customHeight="1" x14ac:dyDescent="0.35">
      <c r="A114" s="16" t="s">
        <v>11</v>
      </c>
      <c r="B114" s="17" t="s">
        <v>28</v>
      </c>
      <c r="C114" s="54" t="s">
        <v>28</v>
      </c>
      <c r="D114" s="1422" t="s">
        <v>83</v>
      </c>
      <c r="E114" s="1424" t="s">
        <v>156</v>
      </c>
      <c r="F114" s="1227" t="s">
        <v>32</v>
      </c>
      <c r="G114" s="1222">
        <f>5+12</f>
        <v>17</v>
      </c>
      <c r="H114" s="1222">
        <f>5+12+7.8</f>
        <v>24.8</v>
      </c>
      <c r="I114" s="1223">
        <f>+H114-G114</f>
        <v>7.8000000000000007</v>
      </c>
      <c r="J114" s="677">
        <f>162.6+17</f>
        <v>179.6</v>
      </c>
      <c r="K114" s="677">
        <f>162.6+17</f>
        <v>179.6</v>
      </c>
      <c r="L114" s="675">
        <f>+K114-J114</f>
        <v>0</v>
      </c>
      <c r="M114" s="677">
        <f>530+57</f>
        <v>587</v>
      </c>
      <c r="N114" s="677">
        <f>530+57</f>
        <v>587</v>
      </c>
      <c r="O114" s="819">
        <f>+N114-M114</f>
        <v>0</v>
      </c>
      <c r="P114" s="360"/>
      <c r="Q114" s="311"/>
      <c r="R114" s="890"/>
      <c r="S114" s="311"/>
      <c r="T114" s="890"/>
      <c r="U114" s="311"/>
      <c r="V114" s="126"/>
      <c r="W114" s="126"/>
      <c r="X114" s="58"/>
      <c r="Z114" s="58"/>
      <c r="AA114" s="58"/>
    </row>
    <row r="115" spans="1:27" s="65" customFormat="1" ht="16" customHeight="1" x14ac:dyDescent="0.35">
      <c r="A115" s="791"/>
      <c r="B115" s="792"/>
      <c r="C115" s="793"/>
      <c r="D115" s="1423"/>
      <c r="E115" s="1425"/>
      <c r="F115" s="1072"/>
      <c r="G115" s="1070"/>
      <c r="H115" s="1070"/>
      <c r="I115" s="1071"/>
      <c r="J115" s="313"/>
      <c r="K115" s="313"/>
      <c r="L115" s="353"/>
      <c r="M115" s="313"/>
      <c r="N115" s="321"/>
      <c r="O115" s="820"/>
      <c r="P115" s="1077"/>
      <c r="Q115" s="167"/>
      <c r="R115" s="891"/>
      <c r="S115" s="167"/>
      <c r="T115" s="891"/>
      <c r="U115" s="167"/>
      <c r="V115" s="127"/>
      <c r="W115" s="127"/>
    </row>
    <row r="116" spans="1:27" s="11" customFormat="1" ht="18" customHeight="1" x14ac:dyDescent="0.35">
      <c r="A116" s="56"/>
      <c r="B116" s="57"/>
      <c r="C116" s="59"/>
      <c r="D116" s="1414" t="s">
        <v>263</v>
      </c>
      <c r="E116" s="1068" t="s">
        <v>140</v>
      </c>
      <c r="F116" s="1182" t="s">
        <v>223</v>
      </c>
      <c r="G116" s="1187">
        <v>14.3</v>
      </c>
      <c r="H116" s="1187">
        <f>14.3+7.8</f>
        <v>22.1</v>
      </c>
      <c r="I116" s="1183">
        <f>+H116-G116</f>
        <v>7.8000000000000007</v>
      </c>
      <c r="J116" s="1286">
        <f>50+12</f>
        <v>62</v>
      </c>
      <c r="K116" s="1281">
        <f>+J116</f>
        <v>62</v>
      </c>
      <c r="L116" s="1283">
        <f>+K116-J116</f>
        <v>0</v>
      </c>
      <c r="M116" s="1286">
        <v>380</v>
      </c>
      <c r="N116" s="1281">
        <f>+M116</f>
        <v>380</v>
      </c>
      <c r="O116" s="1293">
        <f>+N116-M116</f>
        <v>0</v>
      </c>
      <c r="P116" s="598" t="s">
        <v>274</v>
      </c>
      <c r="Q116" s="1188">
        <v>0</v>
      </c>
      <c r="R116" s="1051">
        <v>1</v>
      </c>
      <c r="S116" s="1188">
        <v>1</v>
      </c>
      <c r="T116" s="1051">
        <v>2</v>
      </c>
      <c r="U116" s="263"/>
      <c r="V116" s="128"/>
      <c r="W116" s="1502" t="s">
        <v>275</v>
      </c>
    </row>
    <row r="117" spans="1:27" s="11" customFormat="1" ht="18.75" customHeight="1" x14ac:dyDescent="0.35">
      <c r="A117" s="56"/>
      <c r="B117" s="57"/>
      <c r="C117" s="59"/>
      <c r="D117" s="1415"/>
      <c r="E117" s="101"/>
      <c r="F117" s="146"/>
      <c r="G117" s="210"/>
      <c r="H117" s="210"/>
      <c r="I117" s="319"/>
      <c r="J117" s="210"/>
      <c r="K117" s="202"/>
      <c r="L117" s="319"/>
      <c r="M117" s="210"/>
      <c r="N117" s="202"/>
      <c r="O117" s="377"/>
      <c r="P117" s="1503" t="s">
        <v>188</v>
      </c>
      <c r="Q117" s="855"/>
      <c r="R117" s="488"/>
      <c r="S117" s="855"/>
      <c r="T117" s="488"/>
      <c r="U117" s="855">
        <v>20</v>
      </c>
      <c r="V117" s="864"/>
      <c r="W117" s="1503"/>
    </row>
    <row r="118" spans="1:27" s="11" customFormat="1" ht="175" customHeight="1" x14ac:dyDescent="0.35">
      <c r="A118" s="56"/>
      <c r="B118" s="57"/>
      <c r="C118" s="59"/>
      <c r="D118" s="1416"/>
      <c r="E118" s="101"/>
      <c r="F118" s="120"/>
      <c r="G118" s="1282"/>
      <c r="H118" s="1282"/>
      <c r="I118" s="1284"/>
      <c r="J118" s="1287"/>
      <c r="K118" s="1282"/>
      <c r="L118" s="1284"/>
      <c r="M118" s="1287"/>
      <c r="N118" s="1282"/>
      <c r="O118" s="1246"/>
      <c r="P118" s="1554"/>
      <c r="Q118" s="251"/>
      <c r="R118" s="789"/>
      <c r="S118" s="251"/>
      <c r="T118" s="789"/>
      <c r="U118" s="251"/>
      <c r="V118" s="177"/>
      <c r="W118" s="1504"/>
    </row>
    <row r="119" spans="1:27" s="65" customFormat="1" ht="21" customHeight="1" x14ac:dyDescent="0.35">
      <c r="A119" s="114"/>
      <c r="B119" s="777"/>
      <c r="C119" s="419"/>
      <c r="D119" s="1354" t="s">
        <v>174</v>
      </c>
      <c r="E119" s="724"/>
      <c r="F119" s="1455" t="s">
        <v>223</v>
      </c>
      <c r="G119" s="1457"/>
      <c r="H119" s="1457"/>
      <c r="I119" s="1393"/>
      <c r="J119" s="1457">
        <v>30.6</v>
      </c>
      <c r="K119" s="1459">
        <f>+J119</f>
        <v>30.6</v>
      </c>
      <c r="L119" s="1393">
        <f>+K119-J119</f>
        <v>0</v>
      </c>
      <c r="M119" s="1457">
        <v>100</v>
      </c>
      <c r="N119" s="1459">
        <f>+M119</f>
        <v>100</v>
      </c>
      <c r="O119" s="1548">
        <f>+N119-M119</f>
        <v>0</v>
      </c>
      <c r="P119" s="427" t="s">
        <v>176</v>
      </c>
      <c r="Q119" s="424"/>
      <c r="R119" s="403"/>
      <c r="S119" s="424"/>
      <c r="T119" s="403"/>
      <c r="U119" s="424">
        <v>1</v>
      </c>
      <c r="V119" s="849"/>
      <c r="W119" s="403"/>
    </row>
    <row r="120" spans="1:27" s="65" customFormat="1" ht="21" customHeight="1" x14ac:dyDescent="0.35">
      <c r="A120" s="114"/>
      <c r="B120" s="777"/>
      <c r="C120" s="419"/>
      <c r="D120" s="1355"/>
      <c r="E120" s="1067"/>
      <c r="F120" s="1456"/>
      <c r="G120" s="1458"/>
      <c r="H120" s="1458"/>
      <c r="I120" s="1394"/>
      <c r="J120" s="1458"/>
      <c r="K120" s="1460"/>
      <c r="L120" s="1394"/>
      <c r="M120" s="1458"/>
      <c r="N120" s="1460"/>
      <c r="O120" s="1549"/>
      <c r="P120" s="262" t="s">
        <v>177</v>
      </c>
      <c r="Q120" s="251"/>
      <c r="R120" s="789"/>
      <c r="S120" s="251"/>
      <c r="T120" s="789"/>
      <c r="U120" s="251"/>
      <c r="V120" s="177"/>
      <c r="W120" s="789"/>
    </row>
    <row r="121" spans="1:27" s="65" customFormat="1" ht="27.65" customHeight="1" x14ac:dyDescent="0.35">
      <c r="A121" s="114"/>
      <c r="B121" s="777"/>
      <c r="C121" s="419"/>
      <c r="D121" s="1354" t="s">
        <v>260</v>
      </c>
      <c r="E121" s="724"/>
      <c r="F121" s="1277" t="s">
        <v>223</v>
      </c>
      <c r="G121" s="1278">
        <f>5+12</f>
        <v>17</v>
      </c>
      <c r="H121" s="1278">
        <f>5+12-14.3</f>
        <v>2.6999999999999993</v>
      </c>
      <c r="I121" s="1280">
        <f>+H121-G121</f>
        <v>-14.3</v>
      </c>
      <c r="J121" s="1279">
        <f>45+17</f>
        <v>62</v>
      </c>
      <c r="K121" s="1279">
        <f>45+17</f>
        <v>62</v>
      </c>
      <c r="L121" s="1280">
        <f>+K121-J121</f>
        <v>0</v>
      </c>
      <c r="M121" s="1279">
        <v>57</v>
      </c>
      <c r="N121" s="1279">
        <v>57</v>
      </c>
      <c r="O121" s="1280">
        <f>+N121-M121</f>
        <v>0</v>
      </c>
      <c r="P121" s="1076" t="s">
        <v>264</v>
      </c>
      <c r="Q121" s="437"/>
      <c r="R121" s="1045"/>
      <c r="S121" s="1047"/>
      <c r="T121" s="1048"/>
      <c r="U121" s="680">
        <v>1</v>
      </c>
      <c r="V121" s="1049"/>
      <c r="W121" s="1502"/>
    </row>
    <row r="122" spans="1:27" s="65" customFormat="1" ht="124.5" customHeight="1" x14ac:dyDescent="0.35">
      <c r="A122" s="114"/>
      <c r="B122" s="1044"/>
      <c r="C122" s="419"/>
      <c r="D122" s="1525"/>
      <c r="E122" s="1068"/>
      <c r="F122" s="639"/>
      <c r="G122" s="210"/>
      <c r="H122" s="1245"/>
      <c r="I122" s="319"/>
      <c r="J122" s="648"/>
      <c r="K122" s="1245"/>
      <c r="L122" s="1244"/>
      <c r="M122" s="648"/>
      <c r="N122" s="1245"/>
      <c r="O122" s="377"/>
      <c r="P122" s="1084"/>
      <c r="Q122" s="251"/>
      <c r="R122" s="1046"/>
      <c r="S122" s="1050"/>
      <c r="T122" s="1051"/>
      <c r="U122" s="263"/>
      <c r="V122" s="1052"/>
      <c r="W122" s="1504"/>
    </row>
    <row r="123" spans="1:27" s="65" customFormat="1" ht="27" customHeight="1" x14ac:dyDescent="0.35">
      <c r="A123" s="114"/>
      <c r="B123" s="777"/>
      <c r="C123" s="419"/>
      <c r="D123" s="1354" t="s">
        <v>189</v>
      </c>
      <c r="E123" s="1068"/>
      <c r="F123" s="1289" t="s">
        <v>223</v>
      </c>
      <c r="G123" s="968"/>
      <c r="H123" s="968"/>
      <c r="I123" s="1288"/>
      <c r="J123" s="1290">
        <v>25</v>
      </c>
      <c r="K123" s="1291">
        <f>+J123</f>
        <v>25</v>
      </c>
      <c r="L123" s="1288">
        <f>+K123-J123</f>
        <v>0</v>
      </c>
      <c r="M123" s="1290">
        <v>50</v>
      </c>
      <c r="N123" s="1291">
        <f>+M123</f>
        <v>50</v>
      </c>
      <c r="O123" s="1292">
        <f>+N123-M123</f>
        <v>0</v>
      </c>
      <c r="P123" s="479" t="s">
        <v>190</v>
      </c>
      <c r="Q123" s="437"/>
      <c r="R123" s="788"/>
      <c r="S123" s="424">
        <v>1</v>
      </c>
      <c r="T123" s="403"/>
      <c r="U123" s="424"/>
      <c r="V123" s="849"/>
      <c r="W123" s="1502"/>
    </row>
    <row r="124" spans="1:27" s="65" customFormat="1" ht="18" customHeight="1" x14ac:dyDescent="0.35">
      <c r="A124" s="114"/>
      <c r="B124" s="777"/>
      <c r="C124" s="419"/>
      <c r="D124" s="1367"/>
      <c r="E124" s="1069"/>
      <c r="F124" s="639"/>
      <c r="G124" s="25"/>
      <c r="H124" s="202"/>
      <c r="I124" s="319"/>
      <c r="J124" s="210"/>
      <c r="K124" s="202"/>
      <c r="L124" s="319"/>
      <c r="M124" s="210"/>
      <c r="N124" s="202"/>
      <c r="O124" s="377"/>
      <c r="P124" s="1084" t="s">
        <v>69</v>
      </c>
      <c r="Q124" s="848"/>
      <c r="R124" s="874"/>
      <c r="S124" s="263"/>
      <c r="T124" s="797"/>
      <c r="U124" s="862">
        <v>0.5</v>
      </c>
      <c r="V124" s="861"/>
      <c r="W124" s="1503"/>
    </row>
    <row r="125" spans="1:27" s="65" customFormat="1" ht="18" customHeight="1" x14ac:dyDescent="0.35">
      <c r="A125" s="114"/>
      <c r="B125" s="777"/>
      <c r="C125" s="419"/>
      <c r="D125" s="1355"/>
      <c r="E125" s="1073"/>
      <c r="F125" s="1285"/>
      <c r="G125" s="1282"/>
      <c r="H125" s="1282"/>
      <c r="I125" s="1284"/>
      <c r="J125" s="1287"/>
      <c r="K125" s="1282"/>
      <c r="L125" s="1284"/>
      <c r="M125" s="1287"/>
      <c r="N125" s="1282"/>
      <c r="O125" s="1246"/>
      <c r="P125" s="404" t="s">
        <v>177</v>
      </c>
      <c r="Q125" s="251"/>
      <c r="R125" s="789"/>
      <c r="S125" s="856"/>
      <c r="T125" s="884"/>
      <c r="U125" s="251"/>
      <c r="V125" s="177"/>
      <c r="W125" s="1504"/>
    </row>
    <row r="126" spans="1:27" s="65" customFormat="1" ht="18" customHeight="1" thickBot="1" x14ac:dyDescent="0.35">
      <c r="A126" s="148"/>
      <c r="B126" s="149"/>
      <c r="C126" s="50"/>
      <c r="D126" s="600"/>
      <c r="E126" s="594"/>
      <c r="F126" s="501" t="s">
        <v>20</v>
      </c>
      <c r="G126" s="260">
        <f>+G114+G115</f>
        <v>17</v>
      </c>
      <c r="H126" s="260">
        <f>+H114+H115</f>
        <v>24.8</v>
      </c>
      <c r="I126" s="257">
        <f>+I114+I115</f>
        <v>7.8000000000000007</v>
      </c>
      <c r="J126" s="818">
        <f t="shared" ref="J126:M126" si="19">+J114</f>
        <v>179.6</v>
      </c>
      <c r="K126" s="260">
        <f t="shared" ref="K126:L126" si="20">+K114</f>
        <v>179.6</v>
      </c>
      <c r="L126" s="257">
        <f t="shared" si="20"/>
        <v>0</v>
      </c>
      <c r="M126" s="315">
        <f t="shared" si="19"/>
        <v>587</v>
      </c>
      <c r="N126" s="269">
        <f t="shared" ref="N126:O126" si="21">+N114</f>
        <v>587</v>
      </c>
      <c r="O126" s="818">
        <f t="shared" si="21"/>
        <v>0</v>
      </c>
      <c r="P126" s="601"/>
      <c r="Q126" s="295"/>
      <c r="R126" s="616"/>
      <c r="S126" s="340"/>
      <c r="T126" s="453"/>
      <c r="U126" s="295"/>
      <c r="V126" s="453"/>
      <c r="W126" s="277"/>
    </row>
    <row r="127" spans="1:27" s="65" customFormat="1" ht="17.25" customHeight="1" x14ac:dyDescent="0.35">
      <c r="A127" s="16" t="s">
        <v>11</v>
      </c>
      <c r="B127" s="17" t="s">
        <v>28</v>
      </c>
      <c r="C127" s="54" t="s">
        <v>30</v>
      </c>
      <c r="D127" s="785" t="s">
        <v>43</v>
      </c>
      <c r="E127" s="312"/>
      <c r="F127" s="74" t="s">
        <v>23</v>
      </c>
      <c r="G127" s="671">
        <f>30+33.6</f>
        <v>63.6</v>
      </c>
      <c r="H127" s="673">
        <f>30+33.6</f>
        <v>63.6</v>
      </c>
      <c r="I127" s="675">
        <f t="shared" ref="I127:I133" si="22">+H127-G127</f>
        <v>0</v>
      </c>
      <c r="J127" s="677">
        <f>30+14.4</f>
        <v>44.4</v>
      </c>
      <c r="K127" s="677">
        <f>30+14.4</f>
        <v>44.4</v>
      </c>
      <c r="L127" s="675">
        <f>+K127-J127</f>
        <v>0</v>
      </c>
      <c r="M127" s="677">
        <f>30+12.6</f>
        <v>42.6</v>
      </c>
      <c r="N127" s="677">
        <f>30+12.6</f>
        <v>42.6</v>
      </c>
      <c r="O127" s="819">
        <f>+N127-M127</f>
        <v>0</v>
      </c>
      <c r="P127" s="706"/>
      <c r="Q127" s="312"/>
      <c r="R127" s="352"/>
      <c r="S127" s="312"/>
      <c r="T127" s="352"/>
      <c r="U127" s="312"/>
      <c r="V127" s="352"/>
      <c r="W127" s="1505" t="s">
        <v>270</v>
      </c>
    </row>
    <row r="128" spans="1:27" s="65" customFormat="1" ht="17.25" customHeight="1" x14ac:dyDescent="0.35">
      <c r="A128" s="931"/>
      <c r="B128" s="932"/>
      <c r="C128" s="933"/>
      <c r="D128" s="952"/>
      <c r="E128" s="708"/>
      <c r="F128" s="953" t="s">
        <v>213</v>
      </c>
      <c r="G128" s="734">
        <f>30-30</f>
        <v>0</v>
      </c>
      <c r="H128" s="25">
        <f>30-30</f>
        <v>0</v>
      </c>
      <c r="I128" s="319">
        <f t="shared" si="22"/>
        <v>0</v>
      </c>
      <c r="J128" s="210">
        <v>25</v>
      </c>
      <c r="K128" s="210">
        <v>25</v>
      </c>
      <c r="L128" s="319">
        <f>+K128-J128</f>
        <v>0</v>
      </c>
      <c r="M128" s="210">
        <v>20</v>
      </c>
      <c r="N128" s="210">
        <v>20</v>
      </c>
      <c r="O128" s="25">
        <f>+N128-M128</f>
        <v>0</v>
      </c>
      <c r="P128" s="707"/>
      <c r="Q128" s="684"/>
      <c r="R128" s="708"/>
      <c r="S128" s="684"/>
      <c r="T128" s="708"/>
      <c r="U128" s="684"/>
      <c r="V128" s="708"/>
      <c r="W128" s="1506"/>
    </row>
    <row r="129" spans="1:23" s="65" customFormat="1" ht="17.25" customHeight="1" x14ac:dyDescent="0.35">
      <c r="A129" s="791"/>
      <c r="B129" s="792"/>
      <c r="C129" s="793"/>
      <c r="D129" s="691"/>
      <c r="E129" s="321"/>
      <c r="F129" s="1184" t="s">
        <v>44</v>
      </c>
      <c r="G129" s="1228">
        <v>30</v>
      </c>
      <c r="H129" s="1229">
        <f>30+28.5</f>
        <v>58.5</v>
      </c>
      <c r="I129" s="1230">
        <f t="shared" si="22"/>
        <v>28.5</v>
      </c>
      <c r="J129" s="1160"/>
      <c r="K129" s="1160"/>
      <c r="L129" s="1156"/>
      <c r="M129" s="210"/>
      <c r="N129" s="210"/>
      <c r="O129" s="25"/>
      <c r="P129" s="705"/>
      <c r="Q129" s="313"/>
      <c r="R129" s="353"/>
      <c r="S129" s="313"/>
      <c r="T129" s="353"/>
      <c r="U129" s="313"/>
      <c r="V129" s="353"/>
      <c r="W129" s="1506"/>
    </row>
    <row r="130" spans="1:23" s="65" customFormat="1" ht="28.5" customHeight="1" x14ac:dyDescent="0.35">
      <c r="A130" s="791"/>
      <c r="B130" s="792"/>
      <c r="C130" s="793"/>
      <c r="D130" s="794" t="s">
        <v>63</v>
      </c>
      <c r="E130" s="795" t="s">
        <v>140</v>
      </c>
      <c r="F130" s="1032" t="s">
        <v>220</v>
      </c>
      <c r="G130" s="1240">
        <v>30</v>
      </c>
      <c r="H130" s="1240">
        <f>+G130</f>
        <v>30</v>
      </c>
      <c r="I130" s="1236">
        <f t="shared" si="22"/>
        <v>0</v>
      </c>
      <c r="J130" s="1240">
        <v>30</v>
      </c>
      <c r="K130" s="1242">
        <f>+J130</f>
        <v>30</v>
      </c>
      <c r="L130" s="1236">
        <f>+K130-J130</f>
        <v>0</v>
      </c>
      <c r="M130" s="1240">
        <v>30</v>
      </c>
      <c r="N130" s="1242">
        <f>+M130</f>
        <v>30</v>
      </c>
      <c r="O130" s="963">
        <f>+N130-M130</f>
        <v>0</v>
      </c>
      <c r="P130" s="1076" t="s">
        <v>89</v>
      </c>
      <c r="Q130" s="1167">
        <v>1.1000000000000001</v>
      </c>
      <c r="R130" s="813"/>
      <c r="S130" s="1168">
        <v>1.1000000000000001</v>
      </c>
      <c r="T130" s="813"/>
      <c r="U130" s="1167">
        <v>1.1000000000000001</v>
      </c>
      <c r="V130" s="283"/>
      <c r="W130" s="1506"/>
    </row>
    <row r="131" spans="1:23" s="65" customFormat="1" ht="26.25" customHeight="1" x14ac:dyDescent="0.35">
      <c r="A131" s="1395"/>
      <c r="B131" s="1399"/>
      <c r="C131" s="1463"/>
      <c r="D131" s="1354" t="s">
        <v>112</v>
      </c>
      <c r="E131" s="1389"/>
      <c r="F131" s="1238" t="s">
        <v>220</v>
      </c>
      <c r="G131" s="1240">
        <v>33.6</v>
      </c>
      <c r="H131" s="1240">
        <f>+G131</f>
        <v>33.6</v>
      </c>
      <c r="I131" s="1236">
        <f t="shared" si="22"/>
        <v>0</v>
      </c>
      <c r="J131" s="1240">
        <v>14.4</v>
      </c>
      <c r="K131" s="1242">
        <f>+J131</f>
        <v>14.4</v>
      </c>
      <c r="L131" s="1236">
        <f>+K131-J131</f>
        <v>0</v>
      </c>
      <c r="M131" s="1240">
        <v>12.6</v>
      </c>
      <c r="N131" s="1242">
        <f>+M131</f>
        <v>12.6</v>
      </c>
      <c r="O131" s="963">
        <f>+N131-M131</f>
        <v>0</v>
      </c>
      <c r="P131" s="1079" t="s">
        <v>76</v>
      </c>
      <c r="Q131" s="471">
        <v>2300</v>
      </c>
      <c r="R131" s="892"/>
      <c r="S131" s="471">
        <v>1000</v>
      </c>
      <c r="T131" s="892"/>
      <c r="U131" s="471">
        <v>1000</v>
      </c>
      <c r="V131" s="355"/>
      <c r="W131" s="1506"/>
    </row>
    <row r="132" spans="1:23" s="65" customFormat="1" ht="14.25" customHeight="1" x14ac:dyDescent="0.35">
      <c r="A132" s="1461"/>
      <c r="B132" s="1462"/>
      <c r="C132" s="1464"/>
      <c r="D132" s="1388"/>
      <c r="E132" s="1389"/>
      <c r="F132" s="1184" t="s">
        <v>227</v>
      </c>
      <c r="G132" s="1201">
        <v>30</v>
      </c>
      <c r="H132" s="1201">
        <f>30+28.5</f>
        <v>58.5</v>
      </c>
      <c r="I132" s="1186">
        <f t="shared" si="22"/>
        <v>28.5</v>
      </c>
      <c r="J132" s="210"/>
      <c r="K132" s="202"/>
      <c r="L132" s="319"/>
      <c r="M132" s="210"/>
      <c r="N132" s="202"/>
      <c r="O132" s="25"/>
      <c r="P132" s="1532" t="s">
        <v>236</v>
      </c>
      <c r="Q132" s="472">
        <v>8.3000000000000007</v>
      </c>
      <c r="R132" s="863"/>
      <c r="S132" s="472">
        <v>6</v>
      </c>
      <c r="T132" s="863"/>
      <c r="U132" s="472">
        <v>6</v>
      </c>
      <c r="V132" s="354"/>
      <c r="W132" s="1506"/>
    </row>
    <row r="133" spans="1:23" s="65" customFormat="1" ht="13.5" customHeight="1" x14ac:dyDescent="0.35">
      <c r="A133" s="1461"/>
      <c r="B133" s="1462"/>
      <c r="C133" s="1464"/>
      <c r="D133" s="1388"/>
      <c r="E133" s="1389"/>
      <c r="F133" s="988" t="s">
        <v>230</v>
      </c>
      <c r="G133" s="964">
        <f>30-30</f>
        <v>0</v>
      </c>
      <c r="H133" s="964">
        <f>30-30</f>
        <v>0</v>
      </c>
      <c r="I133" s="969">
        <f t="shared" si="22"/>
        <v>0</v>
      </c>
      <c r="J133" s="964">
        <v>25</v>
      </c>
      <c r="K133" s="958">
        <f>+J133</f>
        <v>25</v>
      </c>
      <c r="L133" s="969">
        <f>+K133-J133</f>
        <v>0</v>
      </c>
      <c r="M133" s="964">
        <v>20</v>
      </c>
      <c r="N133" s="958">
        <f>+M133</f>
        <v>20</v>
      </c>
      <c r="O133" s="965">
        <f>+N133-M133</f>
        <v>0</v>
      </c>
      <c r="P133" s="1533"/>
      <c r="Q133" s="822"/>
      <c r="R133" s="893"/>
      <c r="S133" s="822"/>
      <c r="T133" s="893"/>
      <c r="U133" s="822"/>
      <c r="V133" s="129"/>
      <c r="W133" s="1506"/>
    </row>
    <row r="134" spans="1:23" s="65" customFormat="1" ht="16.5" customHeight="1" x14ac:dyDescent="0.35">
      <c r="A134" s="1461"/>
      <c r="B134" s="1462"/>
      <c r="C134" s="1464"/>
      <c r="D134" s="1384"/>
      <c r="E134" s="1390"/>
      <c r="F134" s="1239"/>
      <c r="G134" s="1241"/>
      <c r="H134" s="1241"/>
      <c r="I134" s="1237"/>
      <c r="J134" s="1241"/>
      <c r="K134" s="1243"/>
      <c r="L134" s="1237"/>
      <c r="M134" s="1241"/>
      <c r="N134" s="1243"/>
      <c r="O134" s="967"/>
      <c r="P134" s="1102" t="s">
        <v>120</v>
      </c>
      <c r="Q134" s="823"/>
      <c r="R134" s="812"/>
      <c r="S134" s="823">
        <v>1</v>
      </c>
      <c r="T134" s="812"/>
      <c r="U134" s="823"/>
      <c r="V134" s="130"/>
      <c r="W134" s="1507"/>
    </row>
    <row r="135" spans="1:23" s="65" customFormat="1" ht="18" customHeight="1" thickBot="1" x14ac:dyDescent="0.35">
      <c r="A135" s="148"/>
      <c r="B135" s="149"/>
      <c r="C135" s="50"/>
      <c r="D135" s="600"/>
      <c r="E135" s="606"/>
      <c r="F135" s="68" t="s">
        <v>20</v>
      </c>
      <c r="G135" s="214">
        <f>+G127+G129+G128</f>
        <v>93.6</v>
      </c>
      <c r="H135" s="214">
        <f>+H127+H129+H128</f>
        <v>122.1</v>
      </c>
      <c r="I135" s="899">
        <f>+I127+I129+I128</f>
        <v>28.5</v>
      </c>
      <c r="J135" s="214">
        <f>+J127+J129+J128</f>
        <v>69.400000000000006</v>
      </c>
      <c r="K135" s="214">
        <f>+K127+K129+K128</f>
        <v>69.400000000000006</v>
      </c>
      <c r="L135" s="1041">
        <f t="shared" ref="L135:O135" si="23">+L127+L129+L128</f>
        <v>0</v>
      </c>
      <c r="M135" s="489">
        <f t="shared" si="23"/>
        <v>62.6</v>
      </c>
      <c r="N135" s="214">
        <f t="shared" si="23"/>
        <v>62.6</v>
      </c>
      <c r="O135" s="214">
        <f t="shared" si="23"/>
        <v>0</v>
      </c>
      <c r="P135" s="1103"/>
      <c r="Q135" s="295"/>
      <c r="R135" s="616"/>
      <c r="S135" s="295"/>
      <c r="T135" s="616"/>
      <c r="U135" s="340"/>
      <c r="V135" s="268"/>
      <c r="W135" s="268"/>
    </row>
    <row r="136" spans="1:23" s="65" customFormat="1" ht="15" customHeight="1" thickBot="1" x14ac:dyDescent="0.4">
      <c r="A136" s="12" t="s">
        <v>11</v>
      </c>
      <c r="B136" s="9" t="s">
        <v>28</v>
      </c>
      <c r="C136" s="1357" t="s">
        <v>33</v>
      </c>
      <c r="D136" s="1357"/>
      <c r="E136" s="1357"/>
      <c r="F136" s="1357"/>
      <c r="G136" s="270">
        <f t="shared" ref="G136:O136" si="24">G135+G126+G113+G76</f>
        <v>1869.9999999999998</v>
      </c>
      <c r="H136" s="270">
        <f t="shared" si="24"/>
        <v>1707.6</v>
      </c>
      <c r="I136" s="259">
        <f t="shared" si="24"/>
        <v>-162.39999999999998</v>
      </c>
      <c r="J136" s="392">
        <f t="shared" si="24"/>
        <v>1018.9000000000001</v>
      </c>
      <c r="K136" s="392">
        <f t="shared" si="24"/>
        <v>1351.1000000000001</v>
      </c>
      <c r="L136" s="850">
        <f t="shared" si="24"/>
        <v>332.20000000000005</v>
      </c>
      <c r="M136" s="271">
        <f t="shared" si="24"/>
        <v>1497.1</v>
      </c>
      <c r="N136" s="270">
        <f t="shared" si="24"/>
        <v>1497.1</v>
      </c>
      <c r="O136" s="850">
        <f t="shared" si="24"/>
        <v>0</v>
      </c>
      <c r="P136" s="1379"/>
      <c r="Q136" s="1380"/>
      <c r="R136" s="1380"/>
      <c r="S136" s="1380"/>
      <c r="T136" s="1380"/>
      <c r="U136" s="1380"/>
      <c r="V136" s="782"/>
      <c r="W136" s="872"/>
    </row>
    <row r="137" spans="1:23" s="65" customFormat="1" ht="16.5" customHeight="1" thickBot="1" x14ac:dyDescent="0.4">
      <c r="A137" s="8" t="s">
        <v>11</v>
      </c>
      <c r="B137" s="9" t="s">
        <v>30</v>
      </c>
      <c r="C137" s="1440" t="s">
        <v>72</v>
      </c>
      <c r="D137" s="1440"/>
      <c r="E137" s="1440"/>
      <c r="F137" s="1440"/>
      <c r="G137" s="1440"/>
      <c r="H137" s="1440"/>
      <c r="I137" s="1440"/>
      <c r="J137" s="1440"/>
      <c r="K137" s="1440"/>
      <c r="L137" s="1440"/>
      <c r="M137" s="1440"/>
      <c r="N137" s="1440"/>
      <c r="O137" s="1440"/>
      <c r="P137" s="1440"/>
      <c r="Q137" s="1440"/>
      <c r="R137" s="1440"/>
      <c r="S137" s="1440"/>
      <c r="T137" s="1440"/>
      <c r="U137" s="1440"/>
      <c r="V137" s="898"/>
      <c r="W137" s="897"/>
    </row>
    <row r="138" spans="1:23" s="65" customFormat="1" ht="15.75" customHeight="1" x14ac:dyDescent="0.35">
      <c r="A138" s="16" t="s">
        <v>11</v>
      </c>
      <c r="B138" s="694" t="s">
        <v>30</v>
      </c>
      <c r="C138" s="695" t="s">
        <v>11</v>
      </c>
      <c r="D138" s="1422" t="s">
        <v>122</v>
      </c>
      <c r="E138" s="320"/>
      <c r="F138" s="73" t="s">
        <v>32</v>
      </c>
      <c r="G138" s="672">
        <f>303.4+40+141.6</f>
        <v>485</v>
      </c>
      <c r="H138" s="672">
        <f>303.4+40+141.6</f>
        <v>485</v>
      </c>
      <c r="I138" s="675">
        <f>+H138-G138</f>
        <v>0</v>
      </c>
      <c r="J138" s="677">
        <f>160+200</f>
        <v>360</v>
      </c>
      <c r="K138" s="677">
        <f>160+200</f>
        <v>360</v>
      </c>
      <c r="L138" s="675">
        <f>+K138-J138</f>
        <v>0</v>
      </c>
      <c r="M138" s="677"/>
      <c r="N138" s="672"/>
      <c r="O138" s="819"/>
      <c r="P138" s="706"/>
      <c r="Q138" s="312"/>
      <c r="R138" s="352"/>
      <c r="S138" s="312"/>
      <c r="T138" s="352"/>
      <c r="U138" s="312"/>
      <c r="V138" s="700"/>
      <c r="W138" s="1231"/>
    </row>
    <row r="139" spans="1:23" s="65" customFormat="1" ht="15.75" customHeight="1" x14ac:dyDescent="0.35">
      <c r="A139" s="791"/>
      <c r="B139" s="703"/>
      <c r="C139" s="704"/>
      <c r="D139" s="1491"/>
      <c r="E139" s="684"/>
      <c r="F139" s="74" t="s">
        <v>23</v>
      </c>
      <c r="G139" s="210">
        <f>80</f>
        <v>80</v>
      </c>
      <c r="H139" s="210">
        <f>80</f>
        <v>80</v>
      </c>
      <c r="I139" s="319">
        <f>+H139-G139</f>
        <v>0</v>
      </c>
      <c r="J139" s="210"/>
      <c r="K139" s="202"/>
      <c r="L139" s="319"/>
      <c r="M139" s="210"/>
      <c r="N139" s="202"/>
      <c r="O139" s="377"/>
      <c r="P139" s="707"/>
      <c r="Q139" s="684"/>
      <c r="R139" s="708"/>
      <c r="S139" s="684"/>
      <c r="T139" s="708"/>
      <c r="U139" s="684"/>
      <c r="V139" s="866"/>
      <c r="W139" s="1232"/>
    </row>
    <row r="140" spans="1:23" s="65" customFormat="1" ht="15.75" customHeight="1" x14ac:dyDescent="0.35">
      <c r="A140" s="791"/>
      <c r="B140" s="703"/>
      <c r="C140" s="704"/>
      <c r="D140" s="1491"/>
      <c r="E140" s="684"/>
      <c r="F140" s="97" t="s">
        <v>74</v>
      </c>
      <c r="G140" s="210">
        <f>0.2+8.4</f>
        <v>8.6</v>
      </c>
      <c r="H140" s="210">
        <f>0.2+8.4</f>
        <v>8.6</v>
      </c>
      <c r="I140" s="319">
        <f t="shared" ref="I140:I142" si="25">+H140-G140</f>
        <v>0</v>
      </c>
      <c r="J140" s="210"/>
      <c r="K140" s="202"/>
      <c r="L140" s="319"/>
      <c r="M140" s="210"/>
      <c r="N140" s="202"/>
      <c r="O140" s="377"/>
      <c r="P140" s="707"/>
      <c r="Q140" s="684"/>
      <c r="R140" s="708"/>
      <c r="S140" s="684"/>
      <c r="T140" s="708"/>
      <c r="U140" s="684"/>
      <c r="V140" s="866"/>
      <c r="W140" s="1232"/>
    </row>
    <row r="141" spans="1:23" s="65" customFormat="1" ht="15.75" customHeight="1" x14ac:dyDescent="0.35">
      <c r="A141" s="791"/>
      <c r="B141" s="703"/>
      <c r="C141" s="704"/>
      <c r="D141" s="1491"/>
      <c r="E141" s="684"/>
      <c r="F141" s="97" t="s">
        <v>27</v>
      </c>
      <c r="G141" s="210">
        <v>3.1</v>
      </c>
      <c r="H141" s="210">
        <v>3.1</v>
      </c>
      <c r="I141" s="319">
        <f t="shared" si="25"/>
        <v>0</v>
      </c>
      <c r="J141" s="210"/>
      <c r="K141" s="202"/>
      <c r="L141" s="319"/>
      <c r="M141" s="210"/>
      <c r="N141" s="202"/>
      <c r="O141" s="377"/>
      <c r="P141" s="707"/>
      <c r="Q141" s="684"/>
      <c r="R141" s="708"/>
      <c r="S141" s="684"/>
      <c r="T141" s="708"/>
      <c r="U141" s="684"/>
      <c r="V141" s="866"/>
      <c r="W141" s="1232"/>
    </row>
    <row r="142" spans="1:23" s="65" customFormat="1" ht="15.75" customHeight="1" x14ac:dyDescent="0.35">
      <c r="A142" s="791"/>
      <c r="B142" s="703"/>
      <c r="C142" s="704"/>
      <c r="D142" s="1492"/>
      <c r="E142" s="684"/>
      <c r="F142" s="38" t="s">
        <v>94</v>
      </c>
      <c r="G142" s="210">
        <v>18.3</v>
      </c>
      <c r="H142" s="210">
        <v>18.3</v>
      </c>
      <c r="I142" s="319">
        <f t="shared" si="25"/>
        <v>0</v>
      </c>
      <c r="J142" s="210"/>
      <c r="K142" s="202"/>
      <c r="L142" s="319"/>
      <c r="M142" s="210"/>
      <c r="N142" s="202"/>
      <c r="O142" s="377"/>
      <c r="P142" s="705"/>
      <c r="Q142" s="684"/>
      <c r="R142" s="708"/>
      <c r="S142" s="684"/>
      <c r="T142" s="708"/>
      <c r="U142" s="313"/>
      <c r="V142" s="820"/>
      <c r="W142" s="1234"/>
    </row>
    <row r="143" spans="1:23" s="65" customFormat="1" ht="14.25" customHeight="1" x14ac:dyDescent="0.35">
      <c r="A143" s="114"/>
      <c r="B143" s="766"/>
      <c r="C143" s="696"/>
      <c r="D143" s="1354" t="s">
        <v>84</v>
      </c>
      <c r="E143" s="790" t="s">
        <v>31</v>
      </c>
      <c r="F143" s="994" t="s">
        <v>226</v>
      </c>
      <c r="G143" s="955">
        <v>0.2</v>
      </c>
      <c r="H143" s="963">
        <f>0.2</f>
        <v>0.2</v>
      </c>
      <c r="I143" s="1236">
        <f t="shared" ref="I143:I149" si="26">+H143-G143</f>
        <v>0</v>
      </c>
      <c r="J143" s="1240"/>
      <c r="K143" s="1242"/>
      <c r="L143" s="1236"/>
      <c r="M143" s="1240"/>
      <c r="N143" s="1242"/>
      <c r="O143" s="1256"/>
      <c r="P143" s="1534" t="s">
        <v>105</v>
      </c>
      <c r="Q143" s="1169">
        <v>1</v>
      </c>
      <c r="R143" s="710"/>
      <c r="S143" s="824"/>
      <c r="T143" s="710"/>
      <c r="U143" s="824"/>
      <c r="V143" s="867"/>
      <c r="W143" s="1232"/>
    </row>
    <row r="144" spans="1:23" s="65" customFormat="1" ht="14.25" customHeight="1" x14ac:dyDescent="0.35">
      <c r="A144" s="114"/>
      <c r="B144" s="766"/>
      <c r="C144" s="767"/>
      <c r="D144" s="1442"/>
      <c r="E144" s="724" t="s">
        <v>123</v>
      </c>
      <c r="F144" s="996" t="s">
        <v>221</v>
      </c>
      <c r="G144" s="958">
        <v>3.1</v>
      </c>
      <c r="H144" s="958">
        <f t="shared" ref="H144:H149" si="27">+G144</f>
        <v>3.1</v>
      </c>
      <c r="I144" s="969">
        <f t="shared" si="26"/>
        <v>0</v>
      </c>
      <c r="J144" s="964"/>
      <c r="K144" s="958"/>
      <c r="L144" s="969"/>
      <c r="M144" s="964"/>
      <c r="N144" s="958"/>
      <c r="O144" s="959"/>
      <c r="P144" s="1535"/>
      <c r="Q144" s="592"/>
      <c r="R144" s="878"/>
      <c r="S144" s="476"/>
      <c r="T144" s="894"/>
      <c r="U144" s="476"/>
      <c r="V144" s="374"/>
      <c r="W144" s="1232"/>
    </row>
    <row r="145" spans="1:37" s="65" customFormat="1" ht="19.5" customHeight="1" x14ac:dyDescent="0.35">
      <c r="A145" s="114"/>
      <c r="B145" s="766"/>
      <c r="C145" s="767"/>
      <c r="D145" s="1423"/>
      <c r="E145" s="796"/>
      <c r="F145" s="995" t="s">
        <v>229</v>
      </c>
      <c r="G145" s="1243">
        <v>18.3</v>
      </c>
      <c r="H145" s="1243">
        <f t="shared" si="27"/>
        <v>18.3</v>
      </c>
      <c r="I145" s="1237">
        <f t="shared" si="26"/>
        <v>0</v>
      </c>
      <c r="J145" s="964"/>
      <c r="K145" s="958"/>
      <c r="L145" s="969"/>
      <c r="M145" s="964"/>
      <c r="N145" s="958"/>
      <c r="O145" s="959"/>
      <c r="P145" s="1536"/>
      <c r="Q145" s="609"/>
      <c r="R145" s="894"/>
      <c r="S145" s="476"/>
      <c r="T145" s="894"/>
      <c r="U145" s="476"/>
      <c r="V145" s="374"/>
      <c r="W145" s="1234"/>
    </row>
    <row r="146" spans="1:37" s="61" customFormat="1" ht="28.5" customHeight="1" x14ac:dyDescent="0.35">
      <c r="A146" s="114"/>
      <c r="B146" s="766"/>
      <c r="C146" s="767"/>
      <c r="D146" s="1354" t="s">
        <v>143</v>
      </c>
      <c r="E146" s="790" t="s">
        <v>31</v>
      </c>
      <c r="F146" s="1238" t="s">
        <v>223</v>
      </c>
      <c r="G146" s="958">
        <f>463.4-160</f>
        <v>303.39999999999998</v>
      </c>
      <c r="H146" s="958">
        <f t="shared" si="27"/>
        <v>303.39999999999998</v>
      </c>
      <c r="I146" s="969">
        <f t="shared" si="26"/>
        <v>0</v>
      </c>
      <c r="J146" s="1240">
        <v>160</v>
      </c>
      <c r="K146" s="1242">
        <f>+J146</f>
        <v>160</v>
      </c>
      <c r="L146" s="1236">
        <f>+K146-J146</f>
        <v>0</v>
      </c>
      <c r="M146" s="1240"/>
      <c r="N146" s="1242"/>
      <c r="O146" s="1256"/>
      <c r="P146" s="401" t="s">
        <v>69</v>
      </c>
      <c r="Q146" s="475"/>
      <c r="R146" s="895"/>
      <c r="S146" s="475"/>
      <c r="T146" s="895"/>
      <c r="U146" s="475"/>
      <c r="V146" s="429"/>
      <c r="W146" s="1233"/>
    </row>
    <row r="147" spans="1:37" s="61" customFormat="1" ht="28.5" customHeight="1" x14ac:dyDescent="0.35">
      <c r="A147" s="114"/>
      <c r="B147" s="766"/>
      <c r="C147" s="767"/>
      <c r="D147" s="1428"/>
      <c r="E147" s="761" t="s">
        <v>240</v>
      </c>
      <c r="F147" s="996" t="s">
        <v>226</v>
      </c>
      <c r="G147" s="958">
        <v>8.4</v>
      </c>
      <c r="H147" s="958">
        <f t="shared" si="27"/>
        <v>8.4</v>
      </c>
      <c r="I147" s="969">
        <f t="shared" si="26"/>
        <v>0</v>
      </c>
      <c r="J147" s="964"/>
      <c r="K147" s="958"/>
      <c r="L147" s="969"/>
      <c r="M147" s="1241"/>
      <c r="N147" s="1243"/>
      <c r="O147" s="1266"/>
      <c r="P147" s="262" t="s">
        <v>121</v>
      </c>
      <c r="Q147" s="462">
        <v>100</v>
      </c>
      <c r="R147" s="837"/>
      <c r="S147" s="458"/>
      <c r="T147" s="478"/>
      <c r="U147" s="462"/>
      <c r="V147" s="287"/>
      <c r="W147" s="287"/>
    </row>
    <row r="148" spans="1:37" s="61" customFormat="1" ht="21" customHeight="1" x14ac:dyDescent="0.35">
      <c r="A148" s="114"/>
      <c r="B148" s="766"/>
      <c r="C148" s="502"/>
      <c r="D148" s="1297" t="s">
        <v>206</v>
      </c>
      <c r="E148" s="1429" t="s">
        <v>31</v>
      </c>
      <c r="F148" s="984" t="s">
        <v>223</v>
      </c>
      <c r="G148" s="955">
        <f>40+141.6</f>
        <v>181.6</v>
      </c>
      <c r="H148" s="963">
        <f>40+141.6</f>
        <v>181.6</v>
      </c>
      <c r="I148" s="1236">
        <f t="shared" si="26"/>
        <v>0</v>
      </c>
      <c r="J148" s="1240">
        <f>207-7</f>
        <v>200</v>
      </c>
      <c r="K148" s="1242">
        <f>+J148</f>
        <v>200</v>
      </c>
      <c r="L148" s="1236">
        <f>+K148-J148</f>
        <v>0</v>
      </c>
      <c r="M148" s="964"/>
      <c r="N148" s="958"/>
      <c r="O148" s="959"/>
      <c r="P148" s="180" t="s">
        <v>177</v>
      </c>
      <c r="Q148" s="437">
        <v>60</v>
      </c>
      <c r="R148" s="1048"/>
      <c r="S148" s="263">
        <v>100</v>
      </c>
      <c r="T148" s="797"/>
      <c r="U148" s="896"/>
      <c r="V148" s="868"/>
      <c r="W148" s="668"/>
    </row>
    <row r="149" spans="1:37" s="61" customFormat="1" ht="19.5" customHeight="1" x14ac:dyDescent="0.35">
      <c r="A149" s="114"/>
      <c r="B149" s="766"/>
      <c r="C149" s="502"/>
      <c r="D149" s="1299"/>
      <c r="E149" s="1430"/>
      <c r="F149" s="987" t="s">
        <v>220</v>
      </c>
      <c r="G149" s="1243">
        <v>80</v>
      </c>
      <c r="H149" s="1243">
        <f t="shared" si="27"/>
        <v>80</v>
      </c>
      <c r="I149" s="1237">
        <f t="shared" si="26"/>
        <v>0</v>
      </c>
      <c r="J149" s="1241"/>
      <c r="K149" s="1243"/>
      <c r="L149" s="1237"/>
      <c r="M149" s="1241"/>
      <c r="N149" s="1243"/>
      <c r="O149" s="1266"/>
      <c r="P149" s="1088"/>
      <c r="Q149" s="825"/>
      <c r="R149" s="789"/>
      <c r="S149" s="251"/>
      <c r="T149" s="789"/>
      <c r="U149" s="888"/>
      <c r="V149" s="860"/>
      <c r="W149" s="508"/>
    </row>
    <row r="150" spans="1:37" s="65" customFormat="1" ht="15" customHeight="1" thickBot="1" x14ac:dyDescent="0.35">
      <c r="A150" s="148"/>
      <c r="B150" s="149"/>
      <c r="C150" s="407"/>
      <c r="D150" s="622"/>
      <c r="E150" s="503"/>
      <c r="F150" s="624" t="s">
        <v>20</v>
      </c>
      <c r="G150" s="206">
        <f t="shared" ref="G150:O150" si="28">+G138+G139+G140+G141+G142</f>
        <v>595</v>
      </c>
      <c r="H150" s="206">
        <f t="shared" si="28"/>
        <v>595</v>
      </c>
      <c r="I150" s="899">
        <f t="shared" si="28"/>
        <v>0</v>
      </c>
      <c r="J150" s="214">
        <f t="shared" si="28"/>
        <v>360</v>
      </c>
      <c r="K150" s="206">
        <f t="shared" si="28"/>
        <v>360</v>
      </c>
      <c r="L150" s="899">
        <f t="shared" si="28"/>
        <v>0</v>
      </c>
      <c r="M150" s="214">
        <f t="shared" si="28"/>
        <v>0</v>
      </c>
      <c r="N150" s="206">
        <f t="shared" si="28"/>
        <v>0</v>
      </c>
      <c r="O150" s="214">
        <f t="shared" si="28"/>
        <v>0</v>
      </c>
      <c r="P150" s="601"/>
      <c r="Q150" s="340"/>
      <c r="R150" s="453"/>
      <c r="S150" s="340"/>
      <c r="T150" s="453"/>
      <c r="U150" s="295"/>
      <c r="V150" s="277"/>
      <c r="W150" s="277"/>
      <c r="X150" s="58"/>
      <c r="Y150" s="58"/>
      <c r="Z150" s="58"/>
      <c r="AA150" s="58"/>
    </row>
    <row r="151" spans="1:37" s="65" customFormat="1" ht="15.75" customHeight="1" thickBot="1" x14ac:dyDescent="0.4">
      <c r="A151" s="43" t="s">
        <v>11</v>
      </c>
      <c r="B151" s="113" t="s">
        <v>30</v>
      </c>
      <c r="C151" s="1434" t="s">
        <v>33</v>
      </c>
      <c r="D151" s="1435"/>
      <c r="E151" s="1435"/>
      <c r="F151" s="1436"/>
      <c r="G151" s="389">
        <f t="shared" ref="G151:M151" si="29">G150</f>
        <v>595</v>
      </c>
      <c r="H151" s="389">
        <f t="shared" ref="H151:I151" si="30">H150</f>
        <v>595</v>
      </c>
      <c r="I151" s="901">
        <f t="shared" si="30"/>
        <v>0</v>
      </c>
      <c r="J151" s="900">
        <f t="shared" si="29"/>
        <v>360</v>
      </c>
      <c r="K151" s="389">
        <f t="shared" ref="K151:L151" si="31">K150</f>
        <v>360</v>
      </c>
      <c r="L151" s="901">
        <f t="shared" si="31"/>
        <v>0</v>
      </c>
      <c r="M151" s="900">
        <f t="shared" si="29"/>
        <v>0</v>
      </c>
      <c r="N151" s="389">
        <f t="shared" ref="N151:O151" si="32">N150</f>
        <v>0</v>
      </c>
      <c r="O151" s="384">
        <f t="shared" si="32"/>
        <v>0</v>
      </c>
      <c r="P151" s="1379"/>
      <c r="Q151" s="1380"/>
      <c r="R151" s="1380"/>
      <c r="S151" s="1380"/>
      <c r="T151" s="1380"/>
      <c r="U151" s="1380"/>
      <c r="V151" s="828"/>
      <c r="W151" s="783"/>
    </row>
    <row r="152" spans="1:37" s="65" customFormat="1" ht="15.75" customHeight="1" thickBot="1" x14ac:dyDescent="0.4">
      <c r="A152" s="12" t="s">
        <v>11</v>
      </c>
      <c r="B152" s="1443" t="s">
        <v>45</v>
      </c>
      <c r="C152" s="1444"/>
      <c r="D152" s="1444"/>
      <c r="E152" s="1444"/>
      <c r="F152" s="1445"/>
      <c r="G152" s="651">
        <f t="shared" ref="G152:O152" si="33">G136+G58+G34+G151</f>
        <v>9181.4</v>
      </c>
      <c r="H152" s="651">
        <f t="shared" si="33"/>
        <v>9034</v>
      </c>
      <c r="I152" s="902">
        <f t="shared" si="33"/>
        <v>-147.39999999999998</v>
      </c>
      <c r="J152" s="651">
        <f t="shared" si="33"/>
        <v>7502.9000000000005</v>
      </c>
      <c r="K152" s="390">
        <f t="shared" si="33"/>
        <v>7841.4000000000005</v>
      </c>
      <c r="L152" s="902">
        <f t="shared" si="33"/>
        <v>338.50000000000006</v>
      </c>
      <c r="M152" s="651">
        <f t="shared" si="33"/>
        <v>7196.1</v>
      </c>
      <c r="N152" s="390">
        <f t="shared" si="33"/>
        <v>7202.4</v>
      </c>
      <c r="O152" s="385">
        <f t="shared" si="33"/>
        <v>6.3</v>
      </c>
      <c r="P152" s="380"/>
      <c r="Q152" s="380"/>
      <c r="R152" s="380"/>
      <c r="S152" s="380"/>
      <c r="T152" s="380"/>
      <c r="U152" s="380"/>
      <c r="V152" s="380"/>
      <c r="W152" s="381"/>
    </row>
    <row r="153" spans="1:37" s="65" customFormat="1" ht="15.75" customHeight="1" thickBot="1" x14ac:dyDescent="0.4">
      <c r="A153" s="20" t="s">
        <v>15</v>
      </c>
      <c r="B153" s="1446" t="s">
        <v>46</v>
      </c>
      <c r="C153" s="1447"/>
      <c r="D153" s="1447"/>
      <c r="E153" s="1447"/>
      <c r="F153" s="1448"/>
      <c r="G153" s="652">
        <f t="shared" ref="G153:M153" si="34">G152</f>
        <v>9181.4</v>
      </c>
      <c r="H153" s="652">
        <f t="shared" ref="H153:I153" si="35">H152</f>
        <v>9034</v>
      </c>
      <c r="I153" s="903">
        <f t="shared" si="35"/>
        <v>-147.39999999999998</v>
      </c>
      <c r="J153" s="652">
        <f t="shared" si="34"/>
        <v>7502.9000000000005</v>
      </c>
      <c r="K153" s="391">
        <f t="shared" ref="K153:L153" si="36">K152</f>
        <v>7841.4000000000005</v>
      </c>
      <c r="L153" s="903">
        <f t="shared" si="36"/>
        <v>338.50000000000006</v>
      </c>
      <c r="M153" s="652">
        <f t="shared" si="34"/>
        <v>7196.1</v>
      </c>
      <c r="N153" s="391">
        <f t="shared" ref="N153:O153" si="37">N152</f>
        <v>7202.4</v>
      </c>
      <c r="O153" s="379">
        <f t="shared" si="37"/>
        <v>6.3</v>
      </c>
      <c r="P153" s="382"/>
      <c r="Q153" s="382"/>
      <c r="R153" s="382"/>
      <c r="S153" s="382"/>
      <c r="T153" s="382"/>
      <c r="U153" s="382"/>
      <c r="V153" s="382"/>
      <c r="W153" s="383"/>
    </row>
    <row r="154" spans="1:37" s="45" customFormat="1" ht="11.25" customHeight="1" x14ac:dyDescent="0.35">
      <c r="A154" s="1449"/>
      <c r="B154" s="1450"/>
      <c r="C154" s="1450"/>
      <c r="D154" s="1450"/>
      <c r="E154" s="1450"/>
      <c r="F154" s="1450"/>
      <c r="G154" s="171"/>
      <c r="H154" s="171"/>
      <c r="I154" s="171"/>
      <c r="J154" s="171"/>
      <c r="K154" s="171"/>
      <c r="L154" s="171"/>
      <c r="M154" s="171"/>
      <c r="N154" s="171"/>
      <c r="O154" s="171"/>
      <c r="P154" s="88"/>
      <c r="Q154" s="88"/>
      <c r="R154" s="88"/>
      <c r="S154" s="88"/>
      <c r="T154" s="88"/>
      <c r="U154" s="88"/>
      <c r="V154" s="88"/>
      <c r="W154" s="88"/>
      <c r="X154" s="65"/>
      <c r="Y154" s="65"/>
      <c r="Z154" s="65"/>
      <c r="AA154" s="65"/>
      <c r="AB154" s="65"/>
      <c r="AC154" s="65"/>
      <c r="AD154" s="65"/>
      <c r="AE154" s="65"/>
      <c r="AF154" s="65"/>
      <c r="AG154" s="65"/>
      <c r="AH154" s="65"/>
      <c r="AI154" s="65"/>
      <c r="AJ154" s="65"/>
      <c r="AK154" s="65"/>
    </row>
    <row r="155" spans="1:37" s="46" customFormat="1" ht="14.25" customHeight="1" x14ac:dyDescent="0.35">
      <c r="A155" s="88"/>
      <c r="B155" s="612"/>
      <c r="C155" s="612"/>
      <c r="D155" s="612"/>
      <c r="E155" s="613"/>
      <c r="F155" s="612"/>
      <c r="G155" s="614"/>
      <c r="H155" s="614"/>
      <c r="I155" s="614"/>
      <c r="J155" s="614"/>
      <c r="K155" s="614"/>
      <c r="L155" s="614"/>
      <c r="M155" s="614"/>
      <c r="N155" s="614"/>
      <c r="O155" s="614"/>
      <c r="P155" s="615"/>
      <c r="Q155" s="88"/>
      <c r="R155" s="88"/>
      <c r="S155" s="88"/>
      <c r="T155" s="88"/>
      <c r="U155" s="88"/>
      <c r="V155" s="88"/>
      <c r="W155" s="88"/>
      <c r="X155" s="65"/>
      <c r="Y155" s="65"/>
      <c r="Z155" s="65"/>
      <c r="AA155" s="65"/>
      <c r="AB155" s="65"/>
      <c r="AC155" s="65"/>
      <c r="AD155" s="65"/>
      <c r="AE155" s="65"/>
      <c r="AF155" s="65"/>
      <c r="AG155" s="65"/>
      <c r="AH155" s="65"/>
      <c r="AI155" s="65"/>
      <c r="AJ155" s="65"/>
      <c r="AK155" s="65"/>
    </row>
    <row r="156" spans="1:37" s="21" customFormat="1" ht="16.5" customHeight="1" thickBot="1" x14ac:dyDescent="0.4">
      <c r="A156" s="1451" t="s">
        <v>47</v>
      </c>
      <c r="B156" s="1451"/>
      <c r="C156" s="1451"/>
      <c r="D156" s="1451"/>
      <c r="E156" s="1451"/>
      <c r="F156" s="1451"/>
      <c r="G156" s="22"/>
      <c r="H156" s="22"/>
      <c r="I156" s="22"/>
      <c r="J156" s="22"/>
      <c r="K156" s="22"/>
      <c r="L156" s="22"/>
      <c r="M156" s="22"/>
      <c r="N156" s="22"/>
      <c r="O156" s="22"/>
      <c r="P156" s="6"/>
      <c r="Q156" s="6"/>
      <c r="R156" s="6"/>
      <c r="S156" s="6"/>
      <c r="T156" s="6"/>
      <c r="U156" s="6"/>
      <c r="V156" s="6"/>
      <c r="W156" s="6"/>
      <c r="X156" s="65"/>
      <c r="Y156" s="65"/>
      <c r="Z156" s="65"/>
      <c r="AA156" s="65"/>
      <c r="AB156" s="65"/>
      <c r="AC156" s="65"/>
      <c r="AD156" s="65"/>
      <c r="AE156" s="65"/>
      <c r="AF156" s="65"/>
      <c r="AG156" s="65"/>
      <c r="AH156" s="65"/>
      <c r="AI156" s="65"/>
      <c r="AJ156" s="65"/>
      <c r="AK156" s="65"/>
    </row>
    <row r="157" spans="1:37" s="65" customFormat="1" ht="149.5" customHeight="1" thickBot="1" x14ac:dyDescent="0.4">
      <c r="A157" s="1485" t="s">
        <v>48</v>
      </c>
      <c r="B157" s="1486"/>
      <c r="C157" s="1486"/>
      <c r="D157" s="1486"/>
      <c r="E157" s="1486"/>
      <c r="F157" s="1487"/>
      <c r="G157" s="905" t="s">
        <v>241</v>
      </c>
      <c r="H157" s="906" t="s">
        <v>246</v>
      </c>
      <c r="I157" s="907" t="s">
        <v>247</v>
      </c>
      <c r="J157" s="908" t="s">
        <v>242</v>
      </c>
      <c r="K157" s="909" t="s">
        <v>248</v>
      </c>
      <c r="L157" s="907" t="s">
        <v>247</v>
      </c>
      <c r="M157" s="905" t="s">
        <v>243</v>
      </c>
      <c r="N157" s="906" t="s">
        <v>249</v>
      </c>
      <c r="O157" s="907" t="s">
        <v>247</v>
      </c>
      <c r="P157" s="1"/>
      <c r="Q157" s="1"/>
      <c r="R157" s="1"/>
      <c r="S157" s="1"/>
      <c r="T157" s="1"/>
      <c r="U157" s="1"/>
      <c r="V157" s="1"/>
      <c r="W157" s="1"/>
    </row>
    <row r="158" spans="1:37" s="65" customFormat="1" x14ac:dyDescent="0.35">
      <c r="A158" s="1488" t="s">
        <v>49</v>
      </c>
      <c r="B158" s="1489"/>
      <c r="C158" s="1489"/>
      <c r="D158" s="1489"/>
      <c r="E158" s="1489"/>
      <c r="F158" s="1490"/>
      <c r="G158" s="917">
        <f t="shared" ref="G158:M158" si="38">G159+G166+G167+G169+G168+G170</f>
        <v>9159.4000000000015</v>
      </c>
      <c r="H158" s="924">
        <f t="shared" ref="H158:I158" si="39">H159+H166+H167+H169+H168+H170</f>
        <v>9012</v>
      </c>
      <c r="I158" s="910">
        <f t="shared" si="39"/>
        <v>-147.39999999999998</v>
      </c>
      <c r="J158" s="917">
        <f t="shared" si="38"/>
        <v>7455.9000000000005</v>
      </c>
      <c r="K158" s="924">
        <f t="shared" ref="K158:L158" si="40">K159+K166+K167+K169+K168+K170</f>
        <v>7794.4000000000005</v>
      </c>
      <c r="L158" s="910">
        <f t="shared" si="40"/>
        <v>338.50000000000006</v>
      </c>
      <c r="M158" s="917">
        <f t="shared" si="38"/>
        <v>6993.8</v>
      </c>
      <c r="N158" s="924">
        <f t="shared" ref="N158:O158" si="41">N159+N166+N167+N169+N168+N170</f>
        <v>7000.1</v>
      </c>
      <c r="O158" s="910">
        <f t="shared" si="41"/>
        <v>6.3</v>
      </c>
      <c r="P158" s="23"/>
      <c r="Q158" s="1"/>
      <c r="R158" s="1"/>
      <c r="S158" s="1"/>
      <c r="T158" s="1"/>
      <c r="U158" s="1"/>
      <c r="V158" s="1"/>
      <c r="W158" s="515"/>
    </row>
    <row r="159" spans="1:37" s="65" customFormat="1" ht="12.75" customHeight="1" x14ac:dyDescent="0.3">
      <c r="A159" s="1437" t="s">
        <v>50</v>
      </c>
      <c r="B159" s="1438"/>
      <c r="C159" s="1438"/>
      <c r="D159" s="1438"/>
      <c r="E159" s="1438"/>
      <c r="F159" s="1439"/>
      <c r="G159" s="918">
        <f t="shared" ref="G159:M159" si="42">SUM(G160:G165)</f>
        <v>7949.3</v>
      </c>
      <c r="H159" s="925">
        <f t="shared" ref="H159:I159" si="43">SUM(H160:H165)</f>
        <v>7788</v>
      </c>
      <c r="I159" s="911">
        <f t="shared" si="43"/>
        <v>-161.29999999999995</v>
      </c>
      <c r="J159" s="918">
        <f t="shared" si="42"/>
        <v>6817.8</v>
      </c>
      <c r="K159" s="925">
        <f t="shared" ref="K159:L159" si="44">SUM(K160:K165)</f>
        <v>7156.3</v>
      </c>
      <c r="L159" s="911">
        <f t="shared" si="44"/>
        <v>338.50000000000006</v>
      </c>
      <c r="M159" s="918">
        <f t="shared" si="42"/>
        <v>6642</v>
      </c>
      <c r="N159" s="925">
        <f t="shared" ref="N159:O159" si="45">SUM(N160:N165)</f>
        <v>6648.3</v>
      </c>
      <c r="O159" s="911">
        <f t="shared" si="45"/>
        <v>6.3</v>
      </c>
      <c r="P159" s="85"/>
      <c r="Q159" s="1"/>
      <c r="R159" s="1"/>
      <c r="S159" s="1"/>
      <c r="T159" s="1"/>
      <c r="U159" s="1"/>
      <c r="V159" s="1"/>
      <c r="W159" s="515"/>
    </row>
    <row r="160" spans="1:37" s="65" customFormat="1" x14ac:dyDescent="0.35">
      <c r="A160" s="1493" t="s">
        <v>51</v>
      </c>
      <c r="B160" s="1494"/>
      <c r="C160" s="1494"/>
      <c r="D160" s="1494"/>
      <c r="E160" s="1494"/>
      <c r="F160" s="1495"/>
      <c r="G160" s="919">
        <f>SUMIF(F14:F153,"SB",G14:G153)</f>
        <v>1969.3</v>
      </c>
      <c r="H160" s="926">
        <f>SUMIF(F14:F153,"SB",H14:H153)</f>
        <v>1779.5</v>
      </c>
      <c r="I160" s="912">
        <f>SUMIF(F14:F153,"SB",I14:I153)</f>
        <v>-189.79999999999995</v>
      </c>
      <c r="J160" s="919">
        <f>SUMIF(F14:F153,"SB",J14:J153)</f>
        <v>1341.5</v>
      </c>
      <c r="K160" s="926">
        <f>SUMIF(F14:F153,"SB",K14:K153)</f>
        <v>1680</v>
      </c>
      <c r="L160" s="912">
        <f>SUMIF(F14:F153,"SB",L14:L153)</f>
        <v>338.50000000000006</v>
      </c>
      <c r="M160" s="919">
        <f>SUMIF(F14:F153,"SB",M14:M153)</f>
        <v>1087</v>
      </c>
      <c r="N160" s="926">
        <f>SUMIF(F14:F153,"SB",N14:N153)</f>
        <v>1093.3</v>
      </c>
      <c r="O160" s="912">
        <f>SUMIF(F14:F153,"SB",O14:O153)</f>
        <v>6.3</v>
      </c>
      <c r="P160" s="85"/>
      <c r="Q160" s="1"/>
      <c r="R160" s="1"/>
      <c r="S160" s="1"/>
      <c r="T160" s="1"/>
      <c r="U160" s="1"/>
      <c r="V160" s="1"/>
      <c r="W160" s="515"/>
    </row>
    <row r="161" spans="1:23" s="65" customFormat="1" ht="14.25" customHeight="1" x14ac:dyDescent="0.35">
      <c r="A161" s="1496" t="s">
        <v>110</v>
      </c>
      <c r="B161" s="1497"/>
      <c r="C161" s="1497"/>
      <c r="D161" s="1497"/>
      <c r="E161" s="1497"/>
      <c r="F161" s="1498"/>
      <c r="G161" s="920">
        <f>SUMIF(F14:F153,"SB(AA)",G14:G153)</f>
        <v>504</v>
      </c>
      <c r="H161" s="927">
        <f>SUMIF(F14:F153,"SB(AA)",H14:H153)</f>
        <v>504</v>
      </c>
      <c r="I161" s="913">
        <f>SUMIF(F14:F153,"SB(AA)",I14:I153)</f>
        <v>0</v>
      </c>
      <c r="J161" s="920">
        <f>SUMIF(F14:F153,"SB(AA)",J14:J153)</f>
        <v>638.29999999999995</v>
      </c>
      <c r="K161" s="927">
        <f>SUMIF(F14:F153,"SB(AA)",K14:K153)</f>
        <v>638.29999999999995</v>
      </c>
      <c r="L161" s="913">
        <f>SUMIF(F14:F153,"SB(AA)",L14:L153)</f>
        <v>0</v>
      </c>
      <c r="M161" s="920">
        <f>SUMIF(F14:F153,"SB(AA)",M14:M153)</f>
        <v>717</v>
      </c>
      <c r="N161" s="927">
        <f>SUMIF(F14:F153,"SB(AA)",N14:N153)</f>
        <v>717</v>
      </c>
      <c r="O161" s="913">
        <f>SUMIF(F14:F153,"SB(AA)",O14:O153)</f>
        <v>0</v>
      </c>
      <c r="P161" s="85"/>
      <c r="Q161" s="1"/>
      <c r="R161" s="1"/>
      <c r="S161" s="1"/>
      <c r="T161" s="1"/>
      <c r="U161" s="1"/>
      <c r="V161" s="1"/>
      <c r="W161" s="515"/>
    </row>
    <row r="162" spans="1:23" s="65" customFormat="1" x14ac:dyDescent="0.35">
      <c r="A162" s="1431" t="s">
        <v>52</v>
      </c>
      <c r="B162" s="1432"/>
      <c r="C162" s="1432"/>
      <c r="D162" s="1432"/>
      <c r="E162" s="1432"/>
      <c r="F162" s="1433"/>
      <c r="G162" s="919">
        <f>SUMIF(F14:F153,"SB(VR)",G14:G153)</f>
        <v>4880</v>
      </c>
      <c r="H162" s="926">
        <f>SUMIF(F14:F153,"SB(VR)",H14:H153)</f>
        <v>4880</v>
      </c>
      <c r="I162" s="912">
        <f>SUMIF(F14:F153,"SB(VR)",I14:I153)</f>
        <v>0</v>
      </c>
      <c r="J162" s="919">
        <f>SUMIF(F14:F153,"SB(VR)",J14:J153)</f>
        <v>4838</v>
      </c>
      <c r="K162" s="926">
        <f>SUMIF(F14:F153,"SB(VR)",K14:K153)</f>
        <v>4838</v>
      </c>
      <c r="L162" s="912">
        <f>SUMIF(F14:F153,"SB(VR)",L14:L153)</f>
        <v>0</v>
      </c>
      <c r="M162" s="919">
        <f>SUMIF(F14:F153,"SB(VR)",M14:M153)</f>
        <v>4838</v>
      </c>
      <c r="N162" s="926">
        <f>SUMIF(F14:F153,"SB(VR)",N14:N153)</f>
        <v>4838</v>
      </c>
      <c r="O162" s="912">
        <f>SUMIF(F14:F153,"SB(VR)",O14:O153)</f>
        <v>0</v>
      </c>
      <c r="P162" s="85"/>
      <c r="Q162" s="1"/>
      <c r="R162" s="1"/>
      <c r="S162" s="1"/>
      <c r="T162" s="1"/>
      <c r="U162" s="1"/>
      <c r="V162" s="1"/>
      <c r="W162" s="515"/>
    </row>
    <row r="163" spans="1:23" s="65" customFormat="1" ht="14.25" customHeight="1" x14ac:dyDescent="0.35">
      <c r="A163" s="1431" t="s">
        <v>53</v>
      </c>
      <c r="B163" s="1432"/>
      <c r="C163" s="1432"/>
      <c r="D163" s="1432"/>
      <c r="E163" s="1432"/>
      <c r="F163" s="1433"/>
      <c r="G163" s="919">
        <f>SUMIF(F14:F153,"SB(VB)",G14:G153)</f>
        <v>74.7</v>
      </c>
      <c r="H163" s="926">
        <f>SUMIF(F14:F153,"SB(VB)",H14:H153)</f>
        <v>103.2</v>
      </c>
      <c r="I163" s="912">
        <f>SUMIF(F14:F153,"SB(VB)",I14:I153)</f>
        <v>28.5</v>
      </c>
      <c r="J163" s="919">
        <f>SUMIF(F14:F153,"SB(VB)",J14:J153)</f>
        <v>0</v>
      </c>
      <c r="K163" s="926">
        <f>SUMIF(F14:F153,"SB(VB)",K14:K153)</f>
        <v>0</v>
      </c>
      <c r="L163" s="912">
        <f>SUMIF(F14:F153,"SB(VB)",L14:L153)</f>
        <v>0</v>
      </c>
      <c r="M163" s="919">
        <f>SUMIF(F14:F153,"SB(VB)",M14:M153)</f>
        <v>0</v>
      </c>
      <c r="N163" s="926">
        <f>SUMIF(F14:F153,"SB(VB)",N14:N153)</f>
        <v>0</v>
      </c>
      <c r="O163" s="912">
        <f>SUMIF(F14:F153,"SB(VB)",O14:O153)</f>
        <v>0</v>
      </c>
      <c r="P163" s="85"/>
      <c r="Q163" s="1"/>
      <c r="R163" s="1"/>
      <c r="S163" s="1"/>
      <c r="T163" s="1"/>
      <c r="U163" s="1"/>
      <c r="V163" s="1"/>
      <c r="W163" s="515"/>
    </row>
    <row r="164" spans="1:23" s="65" customFormat="1" ht="27" customHeight="1" x14ac:dyDescent="0.35">
      <c r="A164" s="1431" t="s">
        <v>98</v>
      </c>
      <c r="B164" s="1432"/>
      <c r="C164" s="1432"/>
      <c r="D164" s="1432"/>
      <c r="E164" s="1432"/>
      <c r="F164" s="1433"/>
      <c r="G164" s="919">
        <f>SUMIF(F14:F153,"SB(ESA)",G14:G153)</f>
        <v>0</v>
      </c>
      <c r="H164" s="926">
        <f>SUMIF(F14:F153,"SB(ESA)",H14:H153)</f>
        <v>0</v>
      </c>
      <c r="I164" s="912">
        <f>SUMIF(F14:F153,"SB(ESA)",I14:I153)</f>
        <v>0</v>
      </c>
      <c r="J164" s="919">
        <f>SUMIF(F33:F152,"SB(ESA)",J34:J153)</f>
        <v>0</v>
      </c>
      <c r="K164" s="926">
        <f>SUMIF(F14:F153,"SB(ESA)",K14:K153)</f>
        <v>0</v>
      </c>
      <c r="L164" s="912">
        <f>SUMIF(F34:F153,"SB(ESA)",L34:L153)</f>
        <v>0</v>
      </c>
      <c r="M164" s="919">
        <f>SUMIF(F14:F153,"SB(ESA)",M14:M153)</f>
        <v>0</v>
      </c>
      <c r="N164" s="926">
        <f>SUMIF(F14:F153,"SB(ESA)",N14:N153)</f>
        <v>0</v>
      </c>
      <c r="O164" s="912">
        <f>SUMIF(F14:F153,"SB(ESA)",O14:O153)</f>
        <v>0</v>
      </c>
      <c r="P164" s="85"/>
      <c r="Q164" s="1"/>
      <c r="R164" s="1"/>
      <c r="S164" s="1"/>
      <c r="T164" s="1"/>
      <c r="U164" s="1"/>
      <c r="V164" s="1"/>
      <c r="W164" s="515"/>
    </row>
    <row r="165" spans="1:23" s="65" customFormat="1" ht="27.75" customHeight="1" x14ac:dyDescent="0.35">
      <c r="A165" s="1431" t="s">
        <v>237</v>
      </c>
      <c r="B165" s="1432"/>
      <c r="C165" s="1432"/>
      <c r="D165" s="1432"/>
      <c r="E165" s="1432"/>
      <c r="F165" s="1433"/>
      <c r="G165" s="919">
        <f>SUMIF(F14:F153,"SB(ES)",G14:G153)</f>
        <v>521.29999999999995</v>
      </c>
      <c r="H165" s="926">
        <f>SUMIF(F14:F153,"SB(ES)",H14:H153)</f>
        <v>521.29999999999995</v>
      </c>
      <c r="I165" s="912">
        <f>SUMIF(F14:F153,"SB(ES)",I14:I153)</f>
        <v>0</v>
      </c>
      <c r="J165" s="919">
        <f>SUMIF(F14:F153,"SB(ES)",J14:J153)</f>
        <v>0</v>
      </c>
      <c r="K165" s="926">
        <f>SUMIF(F14:F153,"SB(ES)",K14:K153)</f>
        <v>0</v>
      </c>
      <c r="L165" s="912">
        <f>SUMIF(F14:F153,"SB(ES)",L14:L153)</f>
        <v>0</v>
      </c>
      <c r="M165" s="919">
        <f>SUMIF(F14:F153,"SB(ES)",M14:M153)</f>
        <v>0</v>
      </c>
      <c r="N165" s="926">
        <f>SUMIF(F14:F153,"SB(ES)",N14:N153)</f>
        <v>0</v>
      </c>
      <c r="O165" s="912">
        <f>SUMIF(F14:F153,"SB(ES)",O14:O153)</f>
        <v>0</v>
      </c>
      <c r="P165" s="85"/>
      <c r="Q165" s="1"/>
      <c r="R165" s="1"/>
      <c r="S165" s="1"/>
      <c r="T165" s="1"/>
      <c r="U165" s="1"/>
      <c r="V165" s="1"/>
      <c r="W165" s="515"/>
    </row>
    <row r="166" spans="1:23" s="65" customFormat="1" ht="27" customHeight="1" x14ac:dyDescent="0.35">
      <c r="A166" s="1470" t="s">
        <v>54</v>
      </c>
      <c r="B166" s="1471"/>
      <c r="C166" s="1471"/>
      <c r="D166" s="1471"/>
      <c r="E166" s="1471"/>
      <c r="F166" s="1472"/>
      <c r="G166" s="921">
        <f>SUMIF(F14:F153,"SB(AAL)",G14:G153)</f>
        <v>230.49999999999997</v>
      </c>
      <c r="H166" s="928">
        <f>SUMIF(F14:F153,"SB(AAL)",H14:H153)</f>
        <v>230.49999999999997</v>
      </c>
      <c r="I166" s="914">
        <f>SUMIF(F14:F153,"SB(AAL)",I14:I153)</f>
        <v>0</v>
      </c>
      <c r="J166" s="921">
        <f>SUMIF(F14:F153,"SB(AAL)",J14:J153)</f>
        <v>0</v>
      </c>
      <c r="K166" s="928">
        <f>SUMIF(F14:F153,"SB(AAL)",K14:K153)</f>
        <v>0</v>
      </c>
      <c r="L166" s="914">
        <f>SUMIF(F14:F153,"SB(AAL)",L14:L153)</f>
        <v>0</v>
      </c>
      <c r="M166" s="921">
        <f>SUMIF(F14:F153,"SB(AAL)",M14:M153)</f>
        <v>0</v>
      </c>
      <c r="N166" s="928">
        <f>SUMIF(F14:F153,"SB(AAL)",N14:N153)</f>
        <v>0</v>
      </c>
      <c r="O166" s="914">
        <f>SUMIF(F14:F153,"SB(AAL)",O14:O153)</f>
        <v>0</v>
      </c>
      <c r="P166" s="85"/>
      <c r="Q166" s="1"/>
      <c r="R166" s="1"/>
      <c r="S166" s="1"/>
      <c r="T166" s="1"/>
      <c r="U166" s="1"/>
      <c r="V166" s="1"/>
      <c r="W166" s="515"/>
    </row>
    <row r="167" spans="1:23" s="65" customFormat="1" ht="27.75" customHeight="1" x14ac:dyDescent="0.35">
      <c r="A167" s="1482" t="s">
        <v>211</v>
      </c>
      <c r="B167" s="1483"/>
      <c r="C167" s="1483"/>
      <c r="D167" s="1483"/>
      <c r="E167" s="1483"/>
      <c r="F167" s="1484"/>
      <c r="G167" s="921">
        <f>SUMIF(F14:F153,"SB(ESL)",G14:G153)</f>
        <v>18.400000000000002</v>
      </c>
      <c r="H167" s="928">
        <f>SUMIF(F14:F153,"SB(ESL)",H14:H153)</f>
        <v>18.400000000000002</v>
      </c>
      <c r="I167" s="914">
        <f>SUMIF(F14:F153,"SB(ESL)",I14:I153)</f>
        <v>0</v>
      </c>
      <c r="J167" s="921">
        <f>SUMIF(F14:F153,"SB(ESL)",J14:J153)</f>
        <v>0</v>
      </c>
      <c r="K167" s="928">
        <f>SUMIF(F14:F153,"SB(ESL)",K14:K153)</f>
        <v>0</v>
      </c>
      <c r="L167" s="914">
        <f>SUMIF(F14:F153,"SB(ESL)",L14:L153)</f>
        <v>0</v>
      </c>
      <c r="M167" s="921">
        <f>SUMIF(F14:F153,"SB(ESL)",M14:M153)</f>
        <v>0</v>
      </c>
      <c r="N167" s="928">
        <f>SUMIF(F14:F153,"SB(ESL)",N14:N153)</f>
        <v>0</v>
      </c>
      <c r="O167" s="914">
        <f>SUMIF(F14:F153,"SB(ESL)",O14:O153)</f>
        <v>0</v>
      </c>
      <c r="P167" s="85"/>
      <c r="Q167" s="1"/>
      <c r="R167" s="1"/>
      <c r="S167" s="1"/>
      <c r="T167" s="1"/>
      <c r="U167" s="1"/>
      <c r="V167" s="1"/>
      <c r="W167" s="515"/>
    </row>
    <row r="168" spans="1:23" s="65" customFormat="1" ht="13" customHeight="1" x14ac:dyDescent="0.35">
      <c r="A168" s="1470" t="s">
        <v>209</v>
      </c>
      <c r="B168" s="1471"/>
      <c r="C168" s="1471"/>
      <c r="D168" s="1471"/>
      <c r="E168" s="1471"/>
      <c r="F168" s="1472"/>
      <c r="G168" s="921">
        <f>SUMIF(F14:F153,"SB(VRL)",G14:G153)</f>
        <v>775.1</v>
      </c>
      <c r="H168" s="928">
        <f>SUMIF(F14:F153,"SB(VRL)",H14:H153)</f>
        <v>789</v>
      </c>
      <c r="I168" s="914">
        <f>SUMIF(F14:F153,"SB(VRL)",I14:I153)</f>
        <v>13.899999999999977</v>
      </c>
      <c r="J168" s="921">
        <f>SUMIF(F14:F153,"SB(VRL)",J14:J153)</f>
        <v>638.1</v>
      </c>
      <c r="K168" s="928">
        <f>SUMIF(F14:F153,"SB(VRL)",K14:K153)</f>
        <v>638.1</v>
      </c>
      <c r="L168" s="914">
        <f>SUMIF(F14:F153,"SB(VRL)",L14:L153)</f>
        <v>0</v>
      </c>
      <c r="M168" s="921">
        <f>SUMIF(F14:F153,"SB(VRL)",M14:M153)</f>
        <v>351.8</v>
      </c>
      <c r="N168" s="928">
        <f>SUMIF(F14:F153,"SB(VRL)",N14:N153)</f>
        <v>351.8</v>
      </c>
      <c r="O168" s="914">
        <f>SUMIF(F14:F153,"SB(VRL)",O14:O153)</f>
        <v>0</v>
      </c>
      <c r="P168" s="85"/>
      <c r="Q168" s="1"/>
      <c r="R168" s="1"/>
      <c r="S168" s="1"/>
      <c r="T168" s="1"/>
      <c r="U168" s="1"/>
      <c r="V168" s="1"/>
      <c r="W168" s="515"/>
    </row>
    <row r="169" spans="1:23" s="65" customFormat="1" ht="14.5" customHeight="1" x14ac:dyDescent="0.35">
      <c r="A169" s="1470" t="s">
        <v>210</v>
      </c>
      <c r="B169" s="1471"/>
      <c r="C169" s="1471"/>
      <c r="D169" s="1471"/>
      <c r="E169" s="1471"/>
      <c r="F169" s="1472"/>
      <c r="G169" s="921">
        <f>SUMIF(F14:F153,"SB(L)",G14:G153)</f>
        <v>186</v>
      </c>
      <c r="H169" s="928">
        <f>SUMIF(F14:F153,"SB(L)",H14:H153)</f>
        <v>186</v>
      </c>
      <c r="I169" s="914">
        <f>SUMIF(F14:F153,"SB(L)",I14:I153)</f>
        <v>0</v>
      </c>
      <c r="J169" s="921">
        <f>SUMIF(G14:G154,"SB(L)",J14:J154)</f>
        <v>0</v>
      </c>
      <c r="K169" s="928">
        <f>SUMIF(F14:F153,"SB(L)",K14:K153)</f>
        <v>0</v>
      </c>
      <c r="L169" s="914">
        <f>SUMIF(F14:F153,"SB(L)",L14:L153)</f>
        <v>0</v>
      </c>
      <c r="M169" s="921">
        <f>SUMIF(F14:F153,"SB(L)",M14:M153)</f>
        <v>0</v>
      </c>
      <c r="N169" s="928">
        <f>SUMIF(F14:F153,"SB(L)",N14:N153)</f>
        <v>0</v>
      </c>
      <c r="O169" s="914">
        <f>SUMIF(F14:F153,"SB(L)",O14:O153)</f>
        <v>0</v>
      </c>
      <c r="P169" s="85"/>
      <c r="Q169" s="1"/>
      <c r="R169" s="1"/>
      <c r="S169" s="1"/>
      <c r="T169" s="1"/>
      <c r="U169" s="1"/>
      <c r="V169" s="1"/>
      <c r="W169" s="515"/>
    </row>
    <row r="170" spans="1:23" s="65" customFormat="1" ht="26.25" customHeight="1" x14ac:dyDescent="0.35">
      <c r="A170" s="1470" t="s">
        <v>139</v>
      </c>
      <c r="B170" s="1471"/>
      <c r="C170" s="1471"/>
      <c r="D170" s="1471"/>
      <c r="E170" s="1471"/>
      <c r="F170" s="1472"/>
      <c r="G170" s="921">
        <f>SUMIF(F14:F153,"SB(VBL)",G14:G153)</f>
        <v>0.1</v>
      </c>
      <c r="H170" s="928">
        <f>SUMIF(F14:F153,"SB(VBL)",H14:H153)</f>
        <v>0.1</v>
      </c>
      <c r="I170" s="914">
        <f>SUMIF(F14:F153,"SB(VBL)",I14:I153)</f>
        <v>0</v>
      </c>
      <c r="J170" s="921">
        <f>SUMIF(F14:F153,"SB(VBL)",J14:J153)</f>
        <v>0</v>
      </c>
      <c r="K170" s="928">
        <f>SUMIF(F14:F153,"SB(VBL)",K14:K153)</f>
        <v>0</v>
      </c>
      <c r="L170" s="914">
        <f>SUMIF(F14:F153,"SB(VBL)",L14:L153)</f>
        <v>0</v>
      </c>
      <c r="M170" s="921">
        <f>SUMIF(F14:F153,"SB(VBL)",M14:M153)</f>
        <v>0</v>
      </c>
      <c r="N170" s="928">
        <f>SUMIF(F14:F153,"SB(VBL)",N14:N153)</f>
        <v>0</v>
      </c>
      <c r="O170" s="914">
        <f>SUMIF(F14:F153,"SB(VBL)",O14:O153)</f>
        <v>0</v>
      </c>
      <c r="P170" s="85"/>
      <c r="Q170" s="1"/>
      <c r="R170" s="1"/>
      <c r="S170" s="1"/>
      <c r="T170" s="1"/>
      <c r="U170" s="1"/>
      <c r="V170" s="1"/>
      <c r="W170" s="515"/>
    </row>
    <row r="171" spans="1:23" s="65" customFormat="1" x14ac:dyDescent="0.35">
      <c r="A171" s="1473" t="s">
        <v>55</v>
      </c>
      <c r="B171" s="1474"/>
      <c r="C171" s="1474"/>
      <c r="D171" s="1474"/>
      <c r="E171" s="1474"/>
      <c r="F171" s="1475"/>
      <c r="G171" s="922">
        <f t="shared" ref="G171:J171" si="46">SUM(G172:G174)</f>
        <v>22</v>
      </c>
      <c r="H171" s="929">
        <f t="shared" ref="H171:I171" si="47">SUM(H172:H174)</f>
        <v>22</v>
      </c>
      <c r="I171" s="915">
        <f t="shared" si="47"/>
        <v>0</v>
      </c>
      <c r="J171" s="922">
        <f t="shared" si="46"/>
        <v>47</v>
      </c>
      <c r="K171" s="929">
        <f t="shared" ref="K171:L171" si="48">SUM(K172:K174)</f>
        <v>47</v>
      </c>
      <c r="L171" s="915">
        <f t="shared" si="48"/>
        <v>0</v>
      </c>
      <c r="M171" s="922">
        <f>SUM(M172:M174)</f>
        <v>202.3</v>
      </c>
      <c r="N171" s="929">
        <f>SUM(N172:N174)</f>
        <v>202.3</v>
      </c>
      <c r="O171" s="915">
        <f>SUM(O172:O174)</f>
        <v>0</v>
      </c>
      <c r="P171" s="85"/>
      <c r="Q171" s="1"/>
      <c r="R171" s="1"/>
      <c r="S171" s="1"/>
      <c r="T171" s="1"/>
      <c r="U171" s="1"/>
      <c r="V171" s="1"/>
      <c r="W171" s="515"/>
    </row>
    <row r="172" spans="1:23" s="65" customFormat="1" x14ac:dyDescent="0.35">
      <c r="A172" s="1476" t="s">
        <v>56</v>
      </c>
      <c r="B172" s="1477"/>
      <c r="C172" s="1477"/>
      <c r="D172" s="1477"/>
      <c r="E172" s="1477"/>
      <c r="F172" s="1478"/>
      <c r="G172" s="919">
        <f>SUMIF(F14:F153,"ES",G14:G153)</f>
        <v>0</v>
      </c>
      <c r="H172" s="926">
        <f>SUMIF(F14:F153,"ES",H14:H153)</f>
        <v>0</v>
      </c>
      <c r="I172" s="912">
        <f>SUMIF(F14:F153,"ES",I14:I153)</f>
        <v>0</v>
      </c>
      <c r="J172" s="919">
        <f>SUMIF(F14:F153,"ES",J14:J153)</f>
        <v>0</v>
      </c>
      <c r="K172" s="926">
        <f>SUMIF(F14:F153,"ES",K14:K153)</f>
        <v>0</v>
      </c>
      <c r="L172" s="912">
        <f>SUMIF(F14:F153,"ES",L14:L153)</f>
        <v>0</v>
      </c>
      <c r="M172" s="919">
        <f>SUMIF(F14:F153,"ES",M14:M153)</f>
        <v>182.3</v>
      </c>
      <c r="N172" s="926">
        <f>SUMIF(F14:F153,"ES",N14:N153)</f>
        <v>182.3</v>
      </c>
      <c r="O172" s="912">
        <f>SUMIF(F14:F153,"ES",O14:O153)</f>
        <v>0</v>
      </c>
      <c r="P172" s="85"/>
      <c r="Q172" s="1"/>
      <c r="R172" s="1"/>
      <c r="S172" s="1"/>
      <c r="T172" s="1"/>
      <c r="U172" s="1"/>
      <c r="V172" s="1"/>
      <c r="W172" s="515"/>
    </row>
    <row r="173" spans="1:23" s="65" customFormat="1" x14ac:dyDescent="0.35">
      <c r="A173" s="1479" t="s">
        <v>57</v>
      </c>
      <c r="B173" s="1480"/>
      <c r="C173" s="1480"/>
      <c r="D173" s="1480"/>
      <c r="E173" s="1480"/>
      <c r="F173" s="1481"/>
      <c r="G173" s="919">
        <f>SUMIF(F14:F153,"LRVB",G14:G153)</f>
        <v>0</v>
      </c>
      <c r="H173" s="926">
        <f>SUMIF(F14:F153,"LRVB",H14:H153)</f>
        <v>0</v>
      </c>
      <c r="I173" s="912">
        <f>SUMIF(F14:F153,"LRVB",I14:I153)</f>
        <v>0</v>
      </c>
      <c r="J173" s="919">
        <f>SUMIF(F14:F153,"LRVB",J14:J153)</f>
        <v>25</v>
      </c>
      <c r="K173" s="926">
        <f>SUMIF(F14:F153,"LRVB",K14:K153)</f>
        <v>25</v>
      </c>
      <c r="L173" s="912">
        <f>SUMIF(F14:F153,"LRVB",L14:L153)</f>
        <v>0</v>
      </c>
      <c r="M173" s="919">
        <f>SUMIF(F14:F153,"LRVB",M14:M153)</f>
        <v>20</v>
      </c>
      <c r="N173" s="926">
        <f>SUMIF(F14:F153,"LRVB",N14:N153)</f>
        <v>20</v>
      </c>
      <c r="O173" s="912">
        <f>SUMIF(F14:F153,"LRVB",O14:O153)</f>
        <v>0</v>
      </c>
      <c r="P173" s="85"/>
      <c r="Q173" s="1"/>
      <c r="R173" s="1"/>
      <c r="S173" s="1"/>
      <c r="T173" s="1"/>
      <c r="U173" s="1"/>
      <c r="V173" s="1"/>
      <c r="W173" s="515"/>
    </row>
    <row r="174" spans="1:23" s="65" customFormat="1" x14ac:dyDescent="0.35">
      <c r="A174" s="1479" t="s">
        <v>58</v>
      </c>
      <c r="B174" s="1480"/>
      <c r="C174" s="1480"/>
      <c r="D174" s="1480"/>
      <c r="E174" s="1480"/>
      <c r="F174" s="1481"/>
      <c r="G174" s="919">
        <f>SUMIF(F14:F153,"Kt",G14:G153)</f>
        <v>22</v>
      </c>
      <c r="H174" s="926">
        <f>SUMIF(F14:F153,"Kt",H14:H153)</f>
        <v>22</v>
      </c>
      <c r="I174" s="912">
        <f>SUMIF(F14:F153,"Kt",I14:I153)</f>
        <v>0</v>
      </c>
      <c r="J174" s="919">
        <f>SUMIF(F14:F153,"Kt",J14:J153)</f>
        <v>22</v>
      </c>
      <c r="K174" s="926">
        <f>SUMIF(F14:F153,"Kt",K14:K153)</f>
        <v>22</v>
      </c>
      <c r="L174" s="912">
        <f>SUMIF(F14:F153,"Kt",L14:L153)</f>
        <v>0</v>
      </c>
      <c r="M174" s="919">
        <f>SUMIF(F14:F153,"Kt",M14:M153)</f>
        <v>0</v>
      </c>
      <c r="N174" s="926">
        <f>SUMIF(F14:F153,"Kt",N14:N153)</f>
        <v>0</v>
      </c>
      <c r="O174" s="912">
        <f>SUMIF(F14:F153,"Kt",O14:O153)</f>
        <v>0</v>
      </c>
      <c r="P174" s="85"/>
      <c r="Q174" s="1"/>
      <c r="R174" s="1"/>
      <c r="S174" s="1"/>
      <c r="T174" s="1"/>
      <c r="U174" s="1"/>
      <c r="V174" s="1"/>
      <c r="W174" s="515"/>
    </row>
    <row r="175" spans="1:23" s="65" customFormat="1" ht="13.5" thickBot="1" x14ac:dyDescent="0.4">
      <c r="A175" s="1465" t="s">
        <v>59</v>
      </c>
      <c r="B175" s="1466"/>
      <c r="C175" s="1466"/>
      <c r="D175" s="1466"/>
      <c r="E175" s="1466"/>
      <c r="F175" s="1467"/>
      <c r="G175" s="923">
        <f>SUM(G158,G171)</f>
        <v>9181.4000000000015</v>
      </c>
      <c r="H175" s="930">
        <f>SUM(H158,H171)</f>
        <v>9034</v>
      </c>
      <c r="I175" s="916">
        <f>SUM(I158,I171)</f>
        <v>-147.39999999999998</v>
      </c>
      <c r="J175" s="923">
        <f t="shared" ref="J175:K175" si="49">SUM(J158,J171)</f>
        <v>7502.9000000000005</v>
      </c>
      <c r="K175" s="930">
        <f t="shared" si="49"/>
        <v>7841.4000000000005</v>
      </c>
      <c r="L175" s="916">
        <f t="shared" ref="L175" si="50">SUM(L158,L171)</f>
        <v>338.50000000000006</v>
      </c>
      <c r="M175" s="923">
        <f>SUM(M158,M171)</f>
        <v>7196.1</v>
      </c>
      <c r="N175" s="930">
        <f>SUM(N158,N171)</f>
        <v>7202.4000000000005</v>
      </c>
      <c r="O175" s="916">
        <f>SUM(O158,O171)</f>
        <v>6.3</v>
      </c>
      <c r="P175" s="1043"/>
      <c r="W175" s="58"/>
    </row>
    <row r="176" spans="1:23" s="65" customFormat="1" x14ac:dyDescent="0.35">
      <c r="A176" s="1"/>
      <c r="B176" s="1"/>
      <c r="C176" s="1"/>
      <c r="D176" s="1"/>
      <c r="E176" s="48"/>
      <c r="F176" s="89"/>
      <c r="G176" s="89"/>
      <c r="H176" s="89"/>
      <c r="I176" s="89"/>
      <c r="J176" s="89"/>
      <c r="K176" s="89"/>
      <c r="L176" s="89"/>
      <c r="M176" s="89"/>
      <c r="N176" s="89"/>
      <c r="O176" s="89"/>
      <c r="P176" s="85"/>
      <c r="Q176" s="1"/>
      <c r="R176" s="1"/>
      <c r="S176" s="1"/>
      <c r="T176" s="1"/>
      <c r="U176" s="1"/>
      <c r="V176" s="1"/>
      <c r="W176" s="1"/>
    </row>
    <row r="177" spans="7:16" x14ac:dyDescent="0.3">
      <c r="G177" s="71"/>
      <c r="H177" s="71"/>
      <c r="I177" s="71"/>
      <c r="J177" s="71"/>
      <c r="K177" s="71"/>
      <c r="L177" s="71"/>
      <c r="M177" s="71"/>
      <c r="N177" s="71"/>
      <c r="O177" s="71"/>
      <c r="P177" s="71"/>
    </row>
    <row r="178" spans="7:16" x14ac:dyDescent="0.3">
      <c r="G178" s="71"/>
      <c r="H178" s="71"/>
      <c r="I178" s="71"/>
      <c r="J178" s="71"/>
      <c r="K178" s="71"/>
      <c r="L178" s="71"/>
      <c r="M178" s="71"/>
      <c r="N178" s="71"/>
      <c r="O178" s="71"/>
    </row>
    <row r="179" spans="7:16" x14ac:dyDescent="0.3">
      <c r="G179" s="71"/>
      <c r="H179" s="71"/>
      <c r="I179" s="71"/>
      <c r="J179" s="71"/>
      <c r="K179" s="71"/>
      <c r="L179" s="71"/>
      <c r="M179" s="71"/>
      <c r="N179" s="71"/>
      <c r="O179" s="71"/>
    </row>
  </sheetData>
  <mergeCells count="156">
    <mergeCell ref="V1:W1"/>
    <mergeCell ref="N119:N120"/>
    <mergeCell ref="O7:O9"/>
    <mergeCell ref="O119:O120"/>
    <mergeCell ref="P7:V7"/>
    <mergeCell ref="Q8:V8"/>
    <mergeCell ref="W7:W9"/>
    <mergeCell ref="P117:P118"/>
    <mergeCell ref="C59:U59"/>
    <mergeCell ref="D65:D66"/>
    <mergeCell ref="P65:P66"/>
    <mergeCell ref="D67:D68"/>
    <mergeCell ref="P67:P68"/>
    <mergeCell ref="P69:P70"/>
    <mergeCell ref="C26:C28"/>
    <mergeCell ref="D26:D28"/>
    <mergeCell ref="P42:P43"/>
    <mergeCell ref="C35:U35"/>
    <mergeCell ref="P1:S1"/>
    <mergeCell ref="A10:U10"/>
    <mergeCell ref="A36:A41"/>
    <mergeCell ref="B36:B41"/>
    <mergeCell ref="C36:C41"/>
    <mergeCell ref="D36:D39"/>
    <mergeCell ref="W90:W92"/>
    <mergeCell ref="W47:W50"/>
    <mergeCell ref="E148:E149"/>
    <mergeCell ref="C151:F151"/>
    <mergeCell ref="P151:U151"/>
    <mergeCell ref="B152:F152"/>
    <mergeCell ref="P132:P133"/>
    <mergeCell ref="C136:F136"/>
    <mergeCell ref="P136:U136"/>
    <mergeCell ref="C137:U137"/>
    <mergeCell ref="D138:D142"/>
    <mergeCell ref="D143:D145"/>
    <mergeCell ref="P143:P145"/>
    <mergeCell ref="P58:U58"/>
    <mergeCell ref="K119:K120"/>
    <mergeCell ref="E131:E134"/>
    <mergeCell ref="L119:L120"/>
    <mergeCell ref="W123:W125"/>
    <mergeCell ref="P86:P89"/>
    <mergeCell ref="P98:P99"/>
    <mergeCell ref="P103:P107"/>
    <mergeCell ref="P108:P110"/>
    <mergeCell ref="J119:J120"/>
    <mergeCell ref="M119:M120"/>
    <mergeCell ref="A173:F173"/>
    <mergeCell ref="C34:F34"/>
    <mergeCell ref="D131:D134"/>
    <mergeCell ref="A158:F158"/>
    <mergeCell ref="A159:F159"/>
    <mergeCell ref="D146:D147"/>
    <mergeCell ref="D148:D149"/>
    <mergeCell ref="A131:A134"/>
    <mergeCell ref="B131:B134"/>
    <mergeCell ref="C131:C134"/>
    <mergeCell ref="D90:D91"/>
    <mergeCell ref="D93:D95"/>
    <mergeCell ref="D103:D107"/>
    <mergeCell ref="D77:D78"/>
    <mergeCell ref="A174:F174"/>
    <mergeCell ref="A175:F175"/>
    <mergeCell ref="H119:H120"/>
    <mergeCell ref="A166:F166"/>
    <mergeCell ref="A167:F167"/>
    <mergeCell ref="A168:F168"/>
    <mergeCell ref="A169:F169"/>
    <mergeCell ref="A170:F170"/>
    <mergeCell ref="A171:F171"/>
    <mergeCell ref="A160:F160"/>
    <mergeCell ref="A161:F161"/>
    <mergeCell ref="A162:F162"/>
    <mergeCell ref="A163:F163"/>
    <mergeCell ref="A164:F164"/>
    <mergeCell ref="A165:F165"/>
    <mergeCell ref="B153:F153"/>
    <mergeCell ref="A154:F154"/>
    <mergeCell ref="D123:D125"/>
    <mergeCell ref="D119:D120"/>
    <mergeCell ref="F119:F120"/>
    <mergeCell ref="G119:G120"/>
    <mergeCell ref="A156:F156"/>
    <mergeCell ref="A157:F157"/>
    <mergeCell ref="A172:F172"/>
    <mergeCell ref="I119:I120"/>
    <mergeCell ref="P111:P112"/>
    <mergeCell ref="D121:D122"/>
    <mergeCell ref="D116:D118"/>
    <mergeCell ref="D114:D115"/>
    <mergeCell ref="E114:E115"/>
    <mergeCell ref="D40:D41"/>
    <mergeCell ref="E40:E41"/>
    <mergeCell ref="A96:A113"/>
    <mergeCell ref="B96:B113"/>
    <mergeCell ref="C96:C113"/>
    <mergeCell ref="D96:D99"/>
    <mergeCell ref="D108:D112"/>
    <mergeCell ref="E42:E43"/>
    <mergeCell ref="D45:D50"/>
    <mergeCell ref="D53:D54"/>
    <mergeCell ref="C58:F58"/>
    <mergeCell ref="D100:D102"/>
    <mergeCell ref="D72:D74"/>
    <mergeCell ref="D86:D89"/>
    <mergeCell ref="G7:G9"/>
    <mergeCell ref="J7:J9"/>
    <mergeCell ref="M7:M9"/>
    <mergeCell ref="P8:P9"/>
    <mergeCell ref="I7:I9"/>
    <mergeCell ref="K7:K9"/>
    <mergeCell ref="L7:L9"/>
    <mergeCell ref="N7:N9"/>
    <mergeCell ref="A7:A9"/>
    <mergeCell ref="B7:B9"/>
    <mergeCell ref="C7:C9"/>
    <mergeCell ref="D7:D9"/>
    <mergeCell ref="E7:E9"/>
    <mergeCell ref="F7:F9"/>
    <mergeCell ref="H7:H9"/>
    <mergeCell ref="W14:W20"/>
    <mergeCell ref="A26:A28"/>
    <mergeCell ref="B26:B28"/>
    <mergeCell ref="A11:U11"/>
    <mergeCell ref="B12:U12"/>
    <mergeCell ref="C13:U13"/>
    <mergeCell ref="A14:A17"/>
    <mergeCell ref="B14:B17"/>
    <mergeCell ref="C14:C17"/>
    <mergeCell ref="D14:D15"/>
    <mergeCell ref="D19:D20"/>
    <mergeCell ref="W86:W89"/>
    <mergeCell ref="W108:W112"/>
    <mergeCell ref="W127:W134"/>
    <mergeCell ref="A3:W3"/>
    <mergeCell ref="A4:W4"/>
    <mergeCell ref="A5:W5"/>
    <mergeCell ref="W36:W46"/>
    <mergeCell ref="W121:W122"/>
    <mergeCell ref="W100:W102"/>
    <mergeCell ref="W116:W118"/>
    <mergeCell ref="D17:D18"/>
    <mergeCell ref="S6:U6"/>
    <mergeCell ref="A29:A30"/>
    <mergeCell ref="B29:B30"/>
    <mergeCell ref="C29:C30"/>
    <mergeCell ref="D29:D30"/>
    <mergeCell ref="A31:A32"/>
    <mergeCell ref="B31:B32"/>
    <mergeCell ref="C31:C32"/>
    <mergeCell ref="D31:D32"/>
    <mergeCell ref="A22:A24"/>
    <mergeCell ref="B22:B24"/>
    <mergeCell ref="C22:C24"/>
    <mergeCell ref="D22:D23"/>
  </mergeCells>
  <printOptions horizontalCentered="1"/>
  <pageMargins left="0.59055118110236227" right="0.39370078740157483" top="0.39370078740157483" bottom="0.39370078740157483" header="0.31496062992125984" footer="0.31496062992125984"/>
  <pageSetup paperSize="9" scale="64" orientation="landscape" r:id="rId1"/>
  <rowBreaks count="5" manualBreakCount="5">
    <brk id="34" max="22" man="1"/>
    <brk id="58" max="22" man="1"/>
    <brk id="92" max="22" man="1"/>
    <brk id="122" max="22" man="1"/>
    <brk id="155" max="22" man="1"/>
  </rowBreaks>
  <ignoredErrors>
    <ignoredError sqref="H148 I113 G152:O152"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3"/>
  <sheetViews>
    <sheetView topLeftCell="C1" zoomScaleNormal="100" zoomScaleSheetLayoutView="100" workbookViewId="0">
      <selection activeCell="S93" sqref="S93"/>
    </sheetView>
  </sheetViews>
  <sheetFormatPr defaultColWidth="9.1796875" defaultRowHeight="13" x14ac:dyDescent="0.3"/>
  <cols>
    <col min="1" max="1" width="2.81640625" style="72" customWidth="1"/>
    <col min="2" max="2" width="3.1796875" style="72" customWidth="1"/>
    <col min="3" max="3" width="2.81640625" style="72" customWidth="1"/>
    <col min="4" max="4" width="3.1796875" style="72" customWidth="1"/>
    <col min="5" max="5" width="32.1796875" style="72" customWidth="1"/>
    <col min="6" max="6" width="4.26953125" style="137" customWidth="1"/>
    <col min="7" max="7" width="12.453125" style="72" customWidth="1"/>
    <col min="8" max="8" width="8.54296875" style="72" customWidth="1"/>
    <col min="9" max="9" width="9.54296875" style="72" customWidth="1"/>
    <col min="10" max="10" width="9.7265625" style="72" customWidth="1"/>
    <col min="11" max="11" width="9.26953125" style="72" customWidth="1"/>
    <col min="12" max="12" width="9.54296875" style="72" customWidth="1"/>
    <col min="13" max="13" width="34" style="72" customWidth="1"/>
    <col min="14" max="14" width="6" style="72" customWidth="1"/>
    <col min="15" max="17" width="4.54296875" style="72" customWidth="1"/>
    <col min="18" max="16384" width="9.1796875" style="72"/>
  </cols>
  <sheetData>
    <row r="1" spans="1:18" s="11" customFormat="1" ht="17.25" customHeight="1" x14ac:dyDescent="0.35">
      <c r="A1" s="61"/>
      <c r="B1" s="61"/>
      <c r="C1" s="61"/>
      <c r="D1" s="61"/>
      <c r="E1" s="61"/>
      <c r="F1" s="142"/>
      <c r="G1" s="131"/>
      <c r="H1" s="132"/>
      <c r="I1" s="166"/>
      <c r="J1" s="166"/>
      <c r="K1" s="166"/>
      <c r="L1" s="166"/>
      <c r="M1" s="1636" t="s">
        <v>239</v>
      </c>
      <c r="N1" s="1636"/>
      <c r="O1" s="1636"/>
      <c r="P1" s="1636"/>
      <c r="Q1" s="1636"/>
    </row>
    <row r="2" spans="1:18" s="11" customFormat="1" ht="15" customHeight="1" x14ac:dyDescent="0.35">
      <c r="A2" s="61"/>
      <c r="B2" s="61"/>
      <c r="C2" s="61"/>
      <c r="D2" s="61"/>
      <c r="E2" s="46"/>
      <c r="F2" s="143"/>
      <c r="G2" s="144"/>
      <c r="H2" s="145"/>
      <c r="I2" s="165"/>
      <c r="J2" s="165"/>
      <c r="K2" s="165"/>
      <c r="L2" s="165"/>
      <c r="M2" s="165"/>
      <c r="N2" s="165"/>
      <c r="O2" s="165"/>
      <c r="P2" s="165"/>
      <c r="Q2" s="165"/>
    </row>
    <row r="3" spans="1:18" s="61" customFormat="1" ht="15" customHeight="1" x14ac:dyDescent="0.35">
      <c r="A3" s="133"/>
      <c r="B3" s="133"/>
      <c r="C3" s="133"/>
      <c r="D3" s="133"/>
      <c r="E3" s="1294" t="s">
        <v>162</v>
      </c>
      <c r="F3" s="1294"/>
      <c r="G3" s="1294"/>
      <c r="H3" s="1294"/>
      <c r="I3" s="1294"/>
      <c r="J3" s="1294"/>
      <c r="K3" s="1294"/>
      <c r="L3" s="1294"/>
      <c r="M3" s="1294"/>
      <c r="N3" s="579"/>
      <c r="O3" s="579"/>
      <c r="P3" s="579"/>
      <c r="Q3" s="579"/>
    </row>
    <row r="4" spans="1:18" s="65" customFormat="1" ht="15" x14ac:dyDescent="0.35">
      <c r="A4" s="1295" t="s">
        <v>0</v>
      </c>
      <c r="B4" s="1295"/>
      <c r="C4" s="1295"/>
      <c r="D4" s="1295"/>
      <c r="E4" s="1295"/>
      <c r="F4" s="1295"/>
      <c r="G4" s="1295"/>
      <c r="H4" s="1295"/>
      <c r="I4" s="1295"/>
      <c r="J4" s="1295"/>
      <c r="K4" s="1295"/>
      <c r="L4" s="1295"/>
      <c r="M4" s="1295"/>
      <c r="N4" s="1295"/>
      <c r="O4" s="58"/>
      <c r="P4" s="58"/>
      <c r="Q4" s="58"/>
    </row>
    <row r="5" spans="1:18" s="65" customFormat="1" ht="15.5" x14ac:dyDescent="0.35">
      <c r="A5" s="1296" t="s">
        <v>1</v>
      </c>
      <c r="B5" s="1296"/>
      <c r="C5" s="1296"/>
      <c r="D5" s="1296"/>
      <c r="E5" s="1296"/>
      <c r="F5" s="1296"/>
      <c r="G5" s="1296"/>
      <c r="H5" s="1296"/>
      <c r="I5" s="1296"/>
      <c r="J5" s="1296"/>
      <c r="K5" s="1296"/>
      <c r="L5" s="1296"/>
      <c r="M5" s="1296"/>
      <c r="N5" s="1296"/>
      <c r="O5" s="58"/>
      <c r="P5" s="58"/>
      <c r="Q5" s="58"/>
    </row>
    <row r="6" spans="1:18" s="65" customFormat="1" ht="13.5" thickBot="1" x14ac:dyDescent="0.4">
      <c r="A6" s="1"/>
      <c r="B6" s="1"/>
      <c r="C6" s="1"/>
      <c r="D6" s="1"/>
      <c r="E6" s="1"/>
      <c r="F6" s="48"/>
      <c r="G6" s="2"/>
      <c r="H6" s="48"/>
      <c r="I6" s="48"/>
      <c r="J6" s="172"/>
      <c r="K6" s="172"/>
      <c r="L6" s="172"/>
      <c r="O6" s="58"/>
      <c r="P6" s="1301" t="s">
        <v>60</v>
      </c>
      <c r="Q6" s="1301"/>
    </row>
    <row r="7" spans="1:18" s="65" customFormat="1" ht="23.25" customHeight="1" x14ac:dyDescent="0.35">
      <c r="A7" s="1302" t="s">
        <v>2</v>
      </c>
      <c r="B7" s="1305" t="s">
        <v>3</v>
      </c>
      <c r="C7" s="1305" t="s">
        <v>4</v>
      </c>
      <c r="D7" s="1305" t="s">
        <v>5</v>
      </c>
      <c r="E7" s="1308" t="s">
        <v>6</v>
      </c>
      <c r="F7" s="1335" t="s">
        <v>7</v>
      </c>
      <c r="G7" s="1639" t="s">
        <v>147</v>
      </c>
      <c r="H7" s="1338" t="s">
        <v>8</v>
      </c>
      <c r="I7" s="1642" t="s">
        <v>157</v>
      </c>
      <c r="J7" s="1645" t="s">
        <v>158</v>
      </c>
      <c r="K7" s="1321" t="s">
        <v>159</v>
      </c>
      <c r="L7" s="1652" t="s">
        <v>160</v>
      </c>
      <c r="M7" s="1322" t="s">
        <v>161</v>
      </c>
      <c r="N7" s="1323"/>
      <c r="O7" s="1323"/>
      <c r="P7" s="1323"/>
      <c r="Q7" s="1324"/>
      <c r="R7" s="617"/>
    </row>
    <row r="8" spans="1:18" s="65" customFormat="1" ht="18.75" customHeight="1" x14ac:dyDescent="0.35">
      <c r="A8" s="1303"/>
      <c r="B8" s="1306"/>
      <c r="C8" s="1306"/>
      <c r="D8" s="1306"/>
      <c r="E8" s="1309"/>
      <c r="F8" s="1336"/>
      <c r="G8" s="1640"/>
      <c r="H8" s="1339"/>
      <c r="I8" s="1643"/>
      <c r="J8" s="1645"/>
      <c r="K8" s="1321"/>
      <c r="L8" s="1652"/>
      <c r="M8" s="1637" t="s">
        <v>6</v>
      </c>
      <c r="N8" s="1327" t="s">
        <v>90</v>
      </c>
      <c r="O8" s="1327"/>
      <c r="P8" s="1327"/>
      <c r="Q8" s="1328"/>
      <c r="R8" s="617"/>
    </row>
    <row r="9" spans="1:18" s="65" customFormat="1" ht="89.25" customHeight="1" thickBot="1" x14ac:dyDescent="0.4">
      <c r="A9" s="1304"/>
      <c r="B9" s="1307"/>
      <c r="C9" s="1307"/>
      <c r="D9" s="1307"/>
      <c r="E9" s="1310"/>
      <c r="F9" s="1337"/>
      <c r="G9" s="1641"/>
      <c r="H9" s="1340"/>
      <c r="I9" s="1644"/>
      <c r="J9" s="1646"/>
      <c r="K9" s="1647"/>
      <c r="L9" s="1653"/>
      <c r="M9" s="1638"/>
      <c r="N9" s="182" t="s">
        <v>77</v>
      </c>
      <c r="O9" s="182" t="s">
        <v>163</v>
      </c>
      <c r="P9" s="182" t="s">
        <v>164</v>
      </c>
      <c r="Q9" s="35" t="s">
        <v>165</v>
      </c>
      <c r="R9" s="617"/>
    </row>
    <row r="10" spans="1:18" s="3" customFormat="1" ht="13.5" customHeight="1" x14ac:dyDescent="0.25">
      <c r="A10" s="1329" t="s">
        <v>9</v>
      </c>
      <c r="B10" s="1330"/>
      <c r="C10" s="1330"/>
      <c r="D10" s="1330"/>
      <c r="E10" s="1330"/>
      <c r="F10" s="1330"/>
      <c r="G10" s="1330"/>
      <c r="H10" s="1330"/>
      <c r="I10" s="1330"/>
      <c r="J10" s="1330"/>
      <c r="K10" s="1330"/>
      <c r="L10" s="1330"/>
      <c r="M10" s="1330"/>
      <c r="N10" s="1330"/>
      <c r="O10" s="1330"/>
      <c r="P10" s="1330"/>
      <c r="Q10" s="1331"/>
      <c r="R10" s="620"/>
    </row>
    <row r="11" spans="1:18" s="3" customFormat="1" ht="12.75" customHeight="1" x14ac:dyDescent="0.25">
      <c r="A11" s="1332" t="s">
        <v>10</v>
      </c>
      <c r="B11" s="1333"/>
      <c r="C11" s="1333"/>
      <c r="D11" s="1333"/>
      <c r="E11" s="1333"/>
      <c r="F11" s="1333"/>
      <c r="G11" s="1333"/>
      <c r="H11" s="1333"/>
      <c r="I11" s="1333"/>
      <c r="J11" s="1333"/>
      <c r="K11" s="1333"/>
      <c r="L11" s="1333"/>
      <c r="M11" s="1333"/>
      <c r="N11" s="1333"/>
      <c r="O11" s="1333"/>
      <c r="P11" s="1333"/>
      <c r="Q11" s="1334"/>
      <c r="R11" s="620"/>
    </row>
    <row r="12" spans="1:18" s="65" customFormat="1" ht="15" customHeight="1" x14ac:dyDescent="0.35">
      <c r="A12" s="241" t="s">
        <v>11</v>
      </c>
      <c r="B12" s="1311" t="s">
        <v>12</v>
      </c>
      <c r="C12" s="1312"/>
      <c r="D12" s="1312"/>
      <c r="E12" s="1312"/>
      <c r="F12" s="1312"/>
      <c r="G12" s="1312"/>
      <c r="H12" s="1312"/>
      <c r="I12" s="1312"/>
      <c r="J12" s="1312"/>
      <c r="K12" s="1312"/>
      <c r="L12" s="1312"/>
      <c r="M12" s="1312"/>
      <c r="N12" s="1312"/>
      <c r="O12" s="1312"/>
      <c r="P12" s="1312"/>
      <c r="Q12" s="1312"/>
      <c r="R12" s="617"/>
    </row>
    <row r="13" spans="1:18" s="65" customFormat="1" ht="14.25" customHeight="1" x14ac:dyDescent="0.35">
      <c r="A13" s="240" t="s">
        <v>11</v>
      </c>
      <c r="B13" s="239" t="s">
        <v>11</v>
      </c>
      <c r="C13" s="1314" t="s">
        <v>13</v>
      </c>
      <c r="D13" s="1315"/>
      <c r="E13" s="1315"/>
      <c r="F13" s="1315"/>
      <c r="G13" s="1315"/>
      <c r="H13" s="1315"/>
      <c r="I13" s="1315"/>
      <c r="J13" s="1315"/>
      <c r="K13" s="1315"/>
      <c r="L13" s="1315"/>
      <c r="M13" s="1315"/>
      <c r="N13" s="1315"/>
      <c r="O13" s="1315"/>
      <c r="P13" s="1315"/>
      <c r="Q13" s="1316"/>
      <c r="R13" s="617"/>
    </row>
    <row r="14" spans="1:18" s="65" customFormat="1" ht="26.25" customHeight="1" x14ac:dyDescent="0.3">
      <c r="A14" s="1317" t="s">
        <v>11</v>
      </c>
      <c r="B14" s="1318" t="s">
        <v>11</v>
      </c>
      <c r="C14" s="1319" t="s">
        <v>11</v>
      </c>
      <c r="D14" s="152"/>
      <c r="E14" s="24" t="s">
        <v>14</v>
      </c>
      <c r="F14" s="573"/>
      <c r="G14" s="153"/>
      <c r="H14" s="79"/>
      <c r="I14" s="191"/>
      <c r="J14" s="198"/>
      <c r="K14" s="207"/>
      <c r="L14" s="183"/>
      <c r="M14" s="66"/>
      <c r="N14" s="226"/>
      <c r="O14" s="228"/>
      <c r="P14" s="228"/>
      <c r="Q14" s="215"/>
      <c r="R14" s="617"/>
    </row>
    <row r="15" spans="1:18" s="65" customFormat="1" ht="16.5" customHeight="1" x14ac:dyDescent="0.35">
      <c r="A15" s="1317"/>
      <c r="B15" s="1318"/>
      <c r="C15" s="1319"/>
      <c r="D15" s="154" t="s">
        <v>11</v>
      </c>
      <c r="E15" s="1349" t="s">
        <v>16</v>
      </c>
      <c r="F15" s="551"/>
      <c r="G15" s="1649" t="s">
        <v>145</v>
      </c>
      <c r="H15" s="396" t="s">
        <v>17</v>
      </c>
      <c r="I15" s="398">
        <f>4760.4-34.4</f>
        <v>4726</v>
      </c>
      <c r="J15" s="199">
        <v>4758.2</v>
      </c>
      <c r="K15" s="201">
        <v>4755</v>
      </c>
      <c r="L15" s="184">
        <v>4755</v>
      </c>
      <c r="M15" s="1631" t="s">
        <v>67</v>
      </c>
      <c r="N15" s="431" t="s">
        <v>115</v>
      </c>
      <c r="O15" s="395" t="s">
        <v>115</v>
      </c>
      <c r="P15" s="229" t="s">
        <v>115</v>
      </c>
      <c r="Q15" s="216" t="s">
        <v>115</v>
      </c>
      <c r="R15" s="617"/>
    </row>
    <row r="16" spans="1:18" s="65" customFormat="1" ht="16.5" customHeight="1" x14ac:dyDescent="0.35">
      <c r="A16" s="1317"/>
      <c r="B16" s="1318"/>
      <c r="C16" s="1319"/>
      <c r="D16" s="152"/>
      <c r="E16" s="1648"/>
      <c r="F16" s="551"/>
      <c r="G16" s="1650"/>
      <c r="H16" s="79" t="s">
        <v>18</v>
      </c>
      <c r="I16" s="397">
        <v>34.4</v>
      </c>
      <c r="J16" s="200"/>
      <c r="K16" s="208"/>
      <c r="L16" s="185"/>
      <c r="M16" s="1651"/>
      <c r="N16" s="580"/>
      <c r="O16" s="230"/>
      <c r="P16" s="230"/>
      <c r="Q16" s="217"/>
      <c r="R16" s="617"/>
    </row>
    <row r="17" spans="1:18" s="65" customFormat="1" ht="21" customHeight="1" x14ac:dyDescent="0.35">
      <c r="A17" s="155"/>
      <c r="B17" s="156"/>
      <c r="C17" s="157"/>
      <c r="D17" s="154" t="s">
        <v>21</v>
      </c>
      <c r="E17" s="1348" t="s">
        <v>19</v>
      </c>
      <c r="F17" s="551"/>
      <c r="G17" s="1567" t="s">
        <v>146</v>
      </c>
      <c r="H17" s="396" t="s">
        <v>17</v>
      </c>
      <c r="I17" s="398">
        <v>135</v>
      </c>
      <c r="J17" s="201">
        <v>73</v>
      </c>
      <c r="K17" s="209">
        <v>73</v>
      </c>
      <c r="L17" s="186">
        <v>73</v>
      </c>
      <c r="M17" s="1631" t="s">
        <v>67</v>
      </c>
      <c r="N17" s="431" t="s">
        <v>99</v>
      </c>
      <c r="O17" s="229" t="s">
        <v>127</v>
      </c>
      <c r="P17" s="229" t="s">
        <v>127</v>
      </c>
      <c r="Q17" s="216" t="s">
        <v>127</v>
      </c>
      <c r="R17" s="617"/>
    </row>
    <row r="18" spans="1:18" s="65" customFormat="1" ht="21" customHeight="1" x14ac:dyDescent="0.35">
      <c r="A18" s="155"/>
      <c r="B18" s="156"/>
      <c r="C18" s="157"/>
      <c r="D18" s="152"/>
      <c r="E18" s="1348"/>
      <c r="F18" s="551"/>
      <c r="G18" s="1567"/>
      <c r="H18" s="79" t="s">
        <v>18</v>
      </c>
      <c r="I18" s="563"/>
      <c r="J18" s="202"/>
      <c r="K18" s="210"/>
      <c r="L18" s="25"/>
      <c r="M18" s="1632"/>
      <c r="N18" s="580"/>
      <c r="O18" s="230"/>
      <c r="P18" s="230"/>
      <c r="Q18" s="217"/>
      <c r="R18" s="617"/>
    </row>
    <row r="19" spans="1:18" s="65" customFormat="1" ht="40.5" customHeight="1" x14ac:dyDescent="0.35">
      <c r="A19" s="155"/>
      <c r="B19" s="156"/>
      <c r="C19" s="158"/>
      <c r="D19" s="154" t="s">
        <v>28</v>
      </c>
      <c r="E19" s="159" t="s">
        <v>22</v>
      </c>
      <c r="F19" s="572"/>
      <c r="G19" s="160"/>
      <c r="H19" s="78"/>
      <c r="I19" s="192"/>
      <c r="J19" s="514"/>
      <c r="K19" s="556"/>
      <c r="L19" s="169"/>
      <c r="M19" s="47"/>
      <c r="N19" s="581"/>
      <c r="O19" s="231"/>
      <c r="P19" s="231"/>
      <c r="Q19" s="218"/>
      <c r="R19" s="617"/>
    </row>
    <row r="20" spans="1:18" s="65" customFormat="1" ht="26.5" customHeight="1" x14ac:dyDescent="0.35">
      <c r="A20" s="1317"/>
      <c r="B20" s="1318"/>
      <c r="C20" s="1319"/>
      <c r="D20" s="150"/>
      <c r="E20" s="1344" t="s">
        <v>24</v>
      </c>
      <c r="F20" s="1633"/>
      <c r="G20" s="1634" t="s">
        <v>131</v>
      </c>
      <c r="H20" s="161" t="s">
        <v>23</v>
      </c>
      <c r="I20" s="193">
        <f>50</f>
        <v>50</v>
      </c>
      <c r="J20" s="203">
        <v>70</v>
      </c>
      <c r="K20" s="211">
        <v>70</v>
      </c>
      <c r="L20" s="187">
        <v>70</v>
      </c>
      <c r="M20" s="173" t="s">
        <v>100</v>
      </c>
      <c r="N20" s="432" t="s">
        <v>150</v>
      </c>
      <c r="O20" s="232" t="s">
        <v>150</v>
      </c>
      <c r="P20" s="232" t="s">
        <v>150</v>
      </c>
      <c r="Q20" s="219" t="s">
        <v>150</v>
      </c>
      <c r="R20" s="617"/>
    </row>
    <row r="21" spans="1:18" s="65" customFormat="1" ht="16.5" customHeight="1" x14ac:dyDescent="0.35">
      <c r="A21" s="1317"/>
      <c r="B21" s="1318"/>
      <c r="C21" s="1319"/>
      <c r="D21" s="150"/>
      <c r="E21" s="1345"/>
      <c r="F21" s="1633"/>
      <c r="G21" s="1635"/>
      <c r="H21" s="162" t="s">
        <v>27</v>
      </c>
      <c r="I21" s="194">
        <v>38.9</v>
      </c>
      <c r="J21" s="204"/>
      <c r="K21" s="212"/>
      <c r="L21" s="188"/>
      <c r="M21" s="174" t="s">
        <v>25</v>
      </c>
      <c r="N21" s="433">
        <v>250</v>
      </c>
      <c r="O21" s="233">
        <v>190</v>
      </c>
      <c r="P21" s="233">
        <v>190</v>
      </c>
      <c r="Q21" s="125">
        <v>190</v>
      </c>
      <c r="R21" s="617"/>
    </row>
    <row r="22" spans="1:18" s="65" customFormat="1" ht="16.5" customHeight="1" x14ac:dyDescent="0.35">
      <c r="A22" s="1317"/>
      <c r="B22" s="1318"/>
      <c r="C22" s="1319"/>
      <c r="D22" s="150"/>
      <c r="E22" s="90" t="s">
        <v>26</v>
      </c>
      <c r="F22" s="1633"/>
      <c r="G22" s="1635"/>
      <c r="H22" s="562" t="s">
        <v>23</v>
      </c>
      <c r="I22" s="563">
        <v>18.5</v>
      </c>
      <c r="J22" s="202">
        <v>29.7</v>
      </c>
      <c r="K22" s="210">
        <v>29.7</v>
      </c>
      <c r="L22" s="25">
        <v>29.7</v>
      </c>
      <c r="M22" s="575" t="s">
        <v>101</v>
      </c>
      <c r="N22" s="434" t="s">
        <v>179</v>
      </c>
      <c r="O22" s="399" t="s">
        <v>168</v>
      </c>
      <c r="P22" s="400" t="s">
        <v>168</v>
      </c>
      <c r="Q22" s="220" t="s">
        <v>168</v>
      </c>
      <c r="R22" s="617"/>
    </row>
    <row r="23" spans="1:18" s="65" customFormat="1" ht="16.5" customHeight="1" x14ac:dyDescent="0.35">
      <c r="A23" s="565"/>
      <c r="B23" s="570"/>
      <c r="C23" s="571"/>
      <c r="D23" s="150"/>
      <c r="E23" s="163"/>
      <c r="F23" s="576"/>
      <c r="G23" s="134"/>
      <c r="H23" s="555" t="s">
        <v>27</v>
      </c>
      <c r="I23" s="564">
        <v>5.8</v>
      </c>
      <c r="J23" s="520"/>
      <c r="K23" s="557"/>
      <c r="L23" s="33"/>
      <c r="M23" s="578"/>
      <c r="N23" s="582"/>
      <c r="O23" s="234"/>
      <c r="P23" s="234"/>
      <c r="Q23" s="221"/>
      <c r="R23" s="617"/>
    </row>
    <row r="24" spans="1:18" s="65" customFormat="1" ht="27" customHeight="1" x14ac:dyDescent="0.35">
      <c r="A24" s="1317"/>
      <c r="B24" s="1318"/>
      <c r="C24" s="1319"/>
      <c r="D24" s="531" t="s">
        <v>30</v>
      </c>
      <c r="E24" s="1348" t="s">
        <v>29</v>
      </c>
      <c r="F24" s="572"/>
      <c r="G24" s="1567" t="s">
        <v>145</v>
      </c>
      <c r="H24" s="97" t="s">
        <v>18</v>
      </c>
      <c r="I24" s="563">
        <v>6</v>
      </c>
      <c r="J24" s="202"/>
      <c r="K24" s="210"/>
      <c r="L24" s="25"/>
      <c r="M24" s="479" t="s">
        <v>102</v>
      </c>
      <c r="N24" s="480">
        <v>5</v>
      </c>
      <c r="O24" s="481">
        <v>6</v>
      </c>
      <c r="P24" s="481">
        <v>6</v>
      </c>
      <c r="Q24" s="743">
        <v>6</v>
      </c>
      <c r="R24" s="617"/>
    </row>
    <row r="25" spans="1:18" s="65" customFormat="1" ht="27" customHeight="1" x14ac:dyDescent="0.35">
      <c r="A25" s="1317"/>
      <c r="B25" s="1318"/>
      <c r="C25" s="1319"/>
      <c r="D25" s="150"/>
      <c r="E25" s="1348"/>
      <c r="F25" s="573"/>
      <c r="G25" s="1567"/>
      <c r="H25" s="97" t="s">
        <v>18</v>
      </c>
      <c r="I25" s="563">
        <v>25.5</v>
      </c>
      <c r="J25" s="202"/>
      <c r="K25" s="210"/>
      <c r="L25" s="25"/>
      <c r="M25" s="575" t="s">
        <v>95</v>
      </c>
      <c r="N25" s="512">
        <v>150</v>
      </c>
      <c r="O25" s="513">
        <v>150</v>
      </c>
      <c r="P25" s="513"/>
      <c r="Q25" s="222"/>
      <c r="R25" s="617"/>
    </row>
    <row r="26" spans="1:18" s="65" customFormat="1" ht="17.149999999999999" customHeight="1" x14ac:dyDescent="0.35">
      <c r="A26" s="1317"/>
      <c r="B26" s="1318"/>
      <c r="C26" s="1319"/>
      <c r="D26" s="150"/>
      <c r="E26" s="1348"/>
      <c r="F26" s="551"/>
      <c r="G26" s="1567"/>
      <c r="H26" s="97" t="s">
        <v>17</v>
      </c>
      <c r="I26" s="563"/>
      <c r="J26" s="202">
        <v>39.1</v>
      </c>
      <c r="K26" s="210">
        <v>10</v>
      </c>
      <c r="L26" s="25">
        <v>10</v>
      </c>
      <c r="M26" s="175"/>
      <c r="N26" s="435"/>
      <c r="O26" s="235"/>
      <c r="P26" s="235"/>
      <c r="Q26" s="223"/>
      <c r="R26" s="617"/>
    </row>
    <row r="27" spans="1:18" s="65" customFormat="1" ht="26.25" customHeight="1" x14ac:dyDescent="0.35">
      <c r="A27" s="1317"/>
      <c r="B27" s="1318"/>
      <c r="C27" s="1319"/>
      <c r="D27" s="531" t="s">
        <v>15</v>
      </c>
      <c r="E27" s="1349" t="s">
        <v>93</v>
      </c>
      <c r="F27" s="109" t="s">
        <v>140</v>
      </c>
      <c r="G27" s="1560" t="s">
        <v>130</v>
      </c>
      <c r="H27" s="554" t="s">
        <v>18</v>
      </c>
      <c r="I27" s="195">
        <v>236.5</v>
      </c>
      <c r="J27" s="628">
        <v>384.5</v>
      </c>
      <c r="K27" s="583">
        <v>286.3</v>
      </c>
      <c r="L27" s="189"/>
      <c r="M27" s="574" t="s">
        <v>91</v>
      </c>
      <c r="N27" s="477">
        <v>73</v>
      </c>
      <c r="O27" s="231">
        <v>170</v>
      </c>
      <c r="P27" s="231">
        <v>73</v>
      </c>
      <c r="Q27" s="218"/>
      <c r="R27" s="617"/>
    </row>
    <row r="28" spans="1:18" s="65" customFormat="1" ht="26.25" customHeight="1" x14ac:dyDescent="0.35">
      <c r="A28" s="1317"/>
      <c r="B28" s="1318"/>
      <c r="C28" s="1319"/>
      <c r="D28" s="150"/>
      <c r="E28" s="1347"/>
      <c r="F28" s="726" t="s">
        <v>31</v>
      </c>
      <c r="G28" s="1561"/>
      <c r="H28" s="555"/>
      <c r="I28" s="196"/>
      <c r="J28" s="205"/>
      <c r="K28" s="213"/>
      <c r="L28" s="190"/>
      <c r="M28" s="345" t="s">
        <v>92</v>
      </c>
      <c r="N28" s="227">
        <v>12</v>
      </c>
      <c r="O28" s="293"/>
      <c r="P28" s="293"/>
      <c r="Q28" s="478"/>
      <c r="R28" s="617"/>
    </row>
    <row r="29" spans="1:18" s="65" customFormat="1" ht="26.25" customHeight="1" x14ac:dyDescent="0.35">
      <c r="A29" s="1317"/>
      <c r="B29" s="1318"/>
      <c r="C29" s="1319"/>
      <c r="D29" s="531" t="s">
        <v>87</v>
      </c>
      <c r="E29" s="1346" t="s">
        <v>155</v>
      </c>
      <c r="F29" s="573"/>
      <c r="G29" s="1560" t="s">
        <v>145</v>
      </c>
      <c r="H29" s="97" t="s">
        <v>17</v>
      </c>
      <c r="I29" s="563"/>
      <c r="J29" s="202">
        <v>9.6999999999999993</v>
      </c>
      <c r="K29" s="210"/>
      <c r="L29" s="25"/>
      <c r="M29" s="164" t="s">
        <v>153</v>
      </c>
      <c r="N29" s="450"/>
      <c r="O29" s="237">
        <v>1</v>
      </c>
      <c r="P29" s="237"/>
      <c r="Q29" s="128"/>
      <c r="R29" s="617"/>
    </row>
    <row r="30" spans="1:18" s="65" customFormat="1" ht="21" customHeight="1" x14ac:dyDescent="0.35">
      <c r="A30" s="1317"/>
      <c r="B30" s="1318"/>
      <c r="C30" s="1319"/>
      <c r="D30" s="150"/>
      <c r="E30" s="1347"/>
      <c r="F30" s="551"/>
      <c r="G30" s="1580"/>
      <c r="H30" s="97"/>
      <c r="I30" s="563"/>
      <c r="J30" s="202"/>
      <c r="K30" s="210"/>
      <c r="L30" s="25"/>
      <c r="M30" s="176"/>
      <c r="N30" s="227"/>
      <c r="O30" s="236"/>
      <c r="P30" s="236"/>
      <c r="Q30" s="224"/>
      <c r="R30" s="617"/>
    </row>
    <row r="31" spans="1:18" s="65" customFormat="1" ht="14.25" customHeight="1" x14ac:dyDescent="0.35">
      <c r="A31" s="1317"/>
      <c r="B31" s="1318"/>
      <c r="C31" s="1319"/>
      <c r="D31" s="531" t="s">
        <v>151</v>
      </c>
      <c r="E31" s="1349" t="s">
        <v>152</v>
      </c>
      <c r="F31" s="572"/>
      <c r="G31" s="1567"/>
      <c r="H31" s="92" t="s">
        <v>18</v>
      </c>
      <c r="I31" s="192">
        <v>27</v>
      </c>
      <c r="J31" s="514"/>
      <c r="K31" s="556"/>
      <c r="L31" s="169"/>
      <c r="M31" s="47" t="s">
        <v>154</v>
      </c>
      <c r="N31" s="436" t="s">
        <v>150</v>
      </c>
      <c r="O31" s="238"/>
      <c r="P31" s="238"/>
      <c r="Q31" s="225"/>
      <c r="R31" s="617"/>
    </row>
    <row r="32" spans="1:18" s="65" customFormat="1" ht="12.75" customHeight="1" x14ac:dyDescent="0.35">
      <c r="A32" s="1317"/>
      <c r="B32" s="1318"/>
      <c r="C32" s="1319"/>
      <c r="D32" s="55"/>
      <c r="E32" s="1347"/>
      <c r="F32" s="151"/>
      <c r="G32" s="1568"/>
      <c r="H32" s="38"/>
      <c r="I32" s="564"/>
      <c r="J32" s="520"/>
      <c r="K32" s="557"/>
      <c r="L32" s="33"/>
      <c r="M32" s="176"/>
      <c r="N32" s="227"/>
      <c r="O32" s="236"/>
      <c r="P32" s="236"/>
      <c r="Q32" s="224"/>
      <c r="R32" s="617"/>
    </row>
    <row r="33" spans="1:18" s="65" customFormat="1" ht="14.25" customHeight="1" thickBot="1" x14ac:dyDescent="0.35">
      <c r="A33" s="148"/>
      <c r="B33" s="149"/>
      <c r="C33" s="50"/>
      <c r="D33" s="272"/>
      <c r="E33" s="273"/>
      <c r="F33" s="274"/>
      <c r="G33" s="275"/>
      <c r="H33" s="68" t="s">
        <v>20</v>
      </c>
      <c r="I33" s="44">
        <f>SUM(I15:I32)</f>
        <v>5303.5999999999995</v>
      </c>
      <c r="J33" s="269">
        <f>SUM(J15:J32)</f>
        <v>5364.2</v>
      </c>
      <c r="K33" s="260">
        <f t="shared" ref="K33:L33" si="0">SUM(K15:K32)</f>
        <v>5224</v>
      </c>
      <c r="L33" s="257">
        <f t="shared" si="0"/>
        <v>4937.7</v>
      </c>
      <c r="M33" s="265"/>
      <c r="N33" s="266"/>
      <c r="O33" s="267"/>
      <c r="P33" s="267"/>
      <c r="Q33" s="268"/>
      <c r="R33" s="617"/>
    </row>
    <row r="34" spans="1:18" s="65" customFormat="1" ht="15" customHeight="1" thickBot="1" x14ac:dyDescent="0.4">
      <c r="A34" s="8" t="s">
        <v>11</v>
      </c>
      <c r="B34" s="9" t="s">
        <v>11</v>
      </c>
      <c r="C34" s="1357" t="s">
        <v>33</v>
      </c>
      <c r="D34" s="1357"/>
      <c r="E34" s="1357"/>
      <c r="F34" s="1357"/>
      <c r="G34" s="1357"/>
      <c r="H34" s="1357"/>
      <c r="I34" s="258">
        <f>I33</f>
        <v>5303.5999999999995</v>
      </c>
      <c r="J34" s="270">
        <f>J33</f>
        <v>5364.2</v>
      </c>
      <c r="K34" s="270">
        <f t="shared" ref="K34:L34" si="1">K33</f>
        <v>5224</v>
      </c>
      <c r="L34" s="271">
        <f t="shared" si="1"/>
        <v>4937.7</v>
      </c>
      <c r="M34" s="535"/>
      <c r="N34" s="535"/>
      <c r="O34" s="243"/>
      <c r="P34" s="534"/>
      <c r="Q34" s="242"/>
      <c r="R34" s="617"/>
    </row>
    <row r="35" spans="1:18" s="65" customFormat="1" ht="18" customHeight="1" thickBot="1" x14ac:dyDescent="0.4">
      <c r="A35" s="8" t="s">
        <v>11</v>
      </c>
      <c r="B35" s="9" t="s">
        <v>21</v>
      </c>
      <c r="C35" s="1359" t="s">
        <v>34</v>
      </c>
      <c r="D35" s="1360"/>
      <c r="E35" s="1360"/>
      <c r="F35" s="1360"/>
      <c r="G35" s="1360"/>
      <c r="H35" s="1360"/>
      <c r="I35" s="1360"/>
      <c r="J35" s="1360"/>
      <c r="K35" s="1360"/>
      <c r="L35" s="1360"/>
      <c r="M35" s="1360"/>
      <c r="N35" s="1360"/>
      <c r="O35" s="1360"/>
      <c r="P35" s="1360"/>
      <c r="Q35" s="1361"/>
      <c r="R35" s="617"/>
    </row>
    <row r="36" spans="1:18" s="65" customFormat="1" ht="26.25" customHeight="1" x14ac:dyDescent="0.35">
      <c r="A36" s="1362" t="s">
        <v>11</v>
      </c>
      <c r="B36" s="1363" t="s">
        <v>21</v>
      </c>
      <c r="C36" s="1365" t="s">
        <v>11</v>
      </c>
      <c r="D36" s="42"/>
      <c r="E36" s="10" t="s">
        <v>64</v>
      </c>
      <c r="F36" s="98"/>
      <c r="G36" s="1628" t="s">
        <v>145</v>
      </c>
      <c r="H36" s="80"/>
      <c r="I36" s="246"/>
      <c r="J36" s="248"/>
      <c r="K36" s="248"/>
      <c r="L36" s="244"/>
      <c r="M36" s="181"/>
      <c r="N36" s="250"/>
      <c r="O36" s="254"/>
      <c r="P36" s="254"/>
      <c r="Q36" s="178"/>
      <c r="R36" s="617"/>
    </row>
    <row r="37" spans="1:18" s="65" customFormat="1" ht="16.5" customHeight="1" x14ac:dyDescent="0.35">
      <c r="A37" s="1317"/>
      <c r="B37" s="1364"/>
      <c r="C37" s="1366"/>
      <c r="D37" s="76" t="s">
        <v>11</v>
      </c>
      <c r="E37" s="1367" t="s">
        <v>35</v>
      </c>
      <c r="F37" s="1351" t="s">
        <v>141</v>
      </c>
      <c r="G37" s="1629"/>
      <c r="H37" s="562" t="s">
        <v>23</v>
      </c>
      <c r="I37" s="563">
        <v>52</v>
      </c>
      <c r="J37" s="202">
        <v>37.700000000000003</v>
      </c>
      <c r="K37" s="202">
        <v>40</v>
      </c>
      <c r="L37" s="25">
        <v>40</v>
      </c>
      <c r="M37" s="180" t="s">
        <v>36</v>
      </c>
      <c r="N37" s="437">
        <v>3</v>
      </c>
      <c r="O37" s="549">
        <v>6</v>
      </c>
      <c r="P37" s="549">
        <v>4</v>
      </c>
      <c r="Q37" s="124">
        <v>4</v>
      </c>
    </row>
    <row r="38" spans="1:18" s="65" customFormat="1" ht="20.25" customHeight="1" x14ac:dyDescent="0.35">
      <c r="A38" s="1317"/>
      <c r="B38" s="1364"/>
      <c r="C38" s="1366"/>
      <c r="D38" s="532"/>
      <c r="E38" s="1355"/>
      <c r="F38" s="1627"/>
      <c r="G38" s="1630"/>
      <c r="H38" s="69"/>
      <c r="I38" s="564"/>
      <c r="J38" s="202"/>
      <c r="K38" s="202"/>
      <c r="L38" s="25"/>
      <c r="M38" s="584"/>
      <c r="N38" s="251"/>
      <c r="O38" s="550"/>
      <c r="P38" s="550"/>
      <c r="Q38" s="177"/>
    </row>
    <row r="39" spans="1:18" s="65" customFormat="1" ht="26.5" customHeight="1" x14ac:dyDescent="0.35">
      <c r="A39" s="114"/>
      <c r="B39" s="567"/>
      <c r="C39" s="569"/>
      <c r="D39" s="40" t="s">
        <v>21</v>
      </c>
      <c r="E39" s="29" t="s">
        <v>37</v>
      </c>
      <c r="F39" s="1624" t="s">
        <v>140</v>
      </c>
      <c r="G39" s="536"/>
      <c r="H39" s="78" t="s">
        <v>23</v>
      </c>
      <c r="I39" s="192">
        <v>1.8</v>
      </c>
      <c r="J39" s="631">
        <v>15.8</v>
      </c>
      <c r="K39" s="514">
        <v>15</v>
      </c>
      <c r="L39" s="169">
        <v>15</v>
      </c>
      <c r="M39" s="1502" t="s">
        <v>205</v>
      </c>
      <c r="N39" s="252">
        <v>5</v>
      </c>
      <c r="O39" s="252">
        <v>10</v>
      </c>
      <c r="P39" s="252">
        <v>10</v>
      </c>
      <c r="Q39" s="121">
        <v>10</v>
      </c>
    </row>
    <row r="40" spans="1:18" s="65" customFormat="1" ht="26.5" customHeight="1" x14ac:dyDescent="0.35">
      <c r="A40" s="114"/>
      <c r="B40" s="567"/>
      <c r="C40" s="569"/>
      <c r="D40" s="67"/>
      <c r="E40" s="34"/>
      <c r="F40" s="1625"/>
      <c r="G40" s="536"/>
      <c r="H40" s="562" t="s">
        <v>27</v>
      </c>
      <c r="I40" s="563">
        <v>4</v>
      </c>
      <c r="J40" s="202"/>
      <c r="K40" s="202"/>
      <c r="L40" s="25"/>
      <c r="M40" s="1504"/>
      <c r="N40" s="438"/>
      <c r="O40" s="255"/>
      <c r="P40" s="255"/>
      <c r="Q40" s="122"/>
    </row>
    <row r="41" spans="1:18" s="65" customFormat="1" ht="29.25" customHeight="1" x14ac:dyDescent="0.35">
      <c r="A41" s="114"/>
      <c r="B41" s="567"/>
      <c r="C41" s="571"/>
      <c r="D41" s="51" t="s">
        <v>28</v>
      </c>
      <c r="E41" s="52" t="s">
        <v>79</v>
      </c>
      <c r="F41" s="99"/>
      <c r="G41" s="536"/>
      <c r="H41" s="77" t="s">
        <v>23</v>
      </c>
      <c r="I41" s="247">
        <v>10</v>
      </c>
      <c r="J41" s="249">
        <f>10-5</f>
        <v>5</v>
      </c>
      <c r="K41" s="249">
        <v>10</v>
      </c>
      <c r="L41" s="245">
        <v>10</v>
      </c>
      <c r="M41" s="179" t="s">
        <v>80</v>
      </c>
      <c r="N41" s="253">
        <v>200</v>
      </c>
      <c r="O41" s="253">
        <v>100</v>
      </c>
      <c r="P41" s="253">
        <v>200</v>
      </c>
      <c r="Q41" s="123">
        <v>200</v>
      </c>
    </row>
    <row r="42" spans="1:18" s="65" customFormat="1" ht="26.25" customHeight="1" x14ac:dyDescent="0.35">
      <c r="A42" s="565"/>
      <c r="B42" s="567"/>
      <c r="C42" s="569"/>
      <c r="D42" s="76" t="s">
        <v>30</v>
      </c>
      <c r="E42" s="1367" t="s">
        <v>137</v>
      </c>
      <c r="F42" s="1577" t="s">
        <v>123</v>
      </c>
      <c r="G42" s="577"/>
      <c r="H42" s="440" t="s">
        <v>27</v>
      </c>
      <c r="I42" s="448">
        <v>50</v>
      </c>
      <c r="J42" s="439"/>
      <c r="K42" s="439"/>
      <c r="L42" s="441"/>
      <c r="M42" s="401" t="s">
        <v>136</v>
      </c>
      <c r="N42" s="437">
        <v>9</v>
      </c>
      <c r="O42" s="402"/>
      <c r="P42" s="549"/>
      <c r="Q42" s="403"/>
    </row>
    <row r="43" spans="1:18" s="65" customFormat="1" ht="26.25" customHeight="1" x14ac:dyDescent="0.35">
      <c r="A43" s="565"/>
      <c r="B43" s="567"/>
      <c r="C43" s="569"/>
      <c r="D43" s="76"/>
      <c r="E43" s="1367"/>
      <c r="F43" s="1578"/>
      <c r="G43" s="447"/>
      <c r="H43" s="449" t="s">
        <v>23</v>
      </c>
      <c r="I43" s="563"/>
      <c r="J43" s="444">
        <v>14.6</v>
      </c>
      <c r="K43" s="202"/>
      <c r="L43" s="25"/>
      <c r="M43" s="262" t="s">
        <v>169</v>
      </c>
      <c r="N43" s="524"/>
      <c r="O43" s="405">
        <v>8</v>
      </c>
      <c r="P43" s="405"/>
      <c r="Q43" s="406"/>
    </row>
    <row r="44" spans="1:18" s="65" customFormat="1" ht="40.5" customHeight="1" x14ac:dyDescent="0.35">
      <c r="A44" s="565"/>
      <c r="B44" s="567"/>
      <c r="C44" s="569"/>
      <c r="D44" s="63"/>
      <c r="E44" s="1355"/>
      <c r="F44" s="1626"/>
      <c r="G44" s="533" t="s">
        <v>146</v>
      </c>
      <c r="H44" s="442" t="s">
        <v>23</v>
      </c>
      <c r="I44" s="443"/>
      <c r="J44" s="520"/>
      <c r="K44" s="445">
        <v>100</v>
      </c>
      <c r="L44" s="446">
        <v>100</v>
      </c>
      <c r="M44" s="404" t="s">
        <v>180</v>
      </c>
      <c r="N44" s="516"/>
      <c r="O44" s="550"/>
      <c r="P44" s="550">
        <v>1</v>
      </c>
      <c r="Q44" s="177">
        <v>1</v>
      </c>
    </row>
    <row r="45" spans="1:18" s="65" customFormat="1" ht="40.5" customHeight="1" x14ac:dyDescent="0.35">
      <c r="A45" s="565"/>
      <c r="B45" s="567"/>
      <c r="C45" s="407"/>
      <c r="D45" s="51" t="s">
        <v>15</v>
      </c>
      <c r="E45" s="409" t="s">
        <v>182</v>
      </c>
      <c r="F45" s="410"/>
      <c r="G45" s="1560" t="s">
        <v>145</v>
      </c>
      <c r="H45" s="555" t="s">
        <v>23</v>
      </c>
      <c r="I45" s="168"/>
      <c r="J45" s="411">
        <f>60-30</f>
        <v>30</v>
      </c>
      <c r="K45" s="249">
        <f>60</f>
        <v>60</v>
      </c>
      <c r="L45" s="245">
        <v>30</v>
      </c>
      <c r="M45" s="412" t="s">
        <v>171</v>
      </c>
      <c r="N45" s="413"/>
      <c r="O45" s="256">
        <v>25</v>
      </c>
      <c r="P45" s="256">
        <v>100</v>
      </c>
      <c r="Q45" s="423"/>
    </row>
    <row r="46" spans="1:18" s="65" customFormat="1" ht="39.75" customHeight="1" x14ac:dyDescent="0.35">
      <c r="A46" s="565"/>
      <c r="B46" s="567"/>
      <c r="C46" s="407"/>
      <c r="D46" s="422" t="s">
        <v>87</v>
      </c>
      <c r="E46" s="409" t="s">
        <v>170</v>
      </c>
      <c r="F46" s="451"/>
      <c r="G46" s="1580"/>
      <c r="H46" s="562" t="s">
        <v>23</v>
      </c>
      <c r="I46" s="247"/>
      <c r="J46" s="249">
        <v>2.5</v>
      </c>
      <c r="K46" s="520"/>
      <c r="L46" s="245"/>
      <c r="M46" s="412" t="s">
        <v>172</v>
      </c>
      <c r="N46" s="413"/>
      <c r="O46" s="256">
        <v>1</v>
      </c>
      <c r="P46" s="256"/>
      <c r="Q46" s="123"/>
    </row>
    <row r="47" spans="1:18" s="65" customFormat="1" ht="39" customHeight="1" x14ac:dyDescent="0.35">
      <c r="A47" s="565"/>
      <c r="B47" s="567"/>
      <c r="C47" s="407"/>
      <c r="D47" s="422" t="s">
        <v>151</v>
      </c>
      <c r="E47" s="546" t="s">
        <v>181</v>
      </c>
      <c r="F47" s="451"/>
      <c r="G47" s="1580"/>
      <c r="H47" s="77" t="s">
        <v>23</v>
      </c>
      <c r="I47" s="247"/>
      <c r="J47" s="408">
        <f>7-7</f>
        <v>0</v>
      </c>
      <c r="K47" s="408"/>
      <c r="L47" s="426"/>
      <c r="M47" s="164" t="s">
        <v>183</v>
      </c>
      <c r="N47" s="450"/>
      <c r="O47" s="237">
        <v>0</v>
      </c>
      <c r="P47" s="237"/>
      <c r="Q47" s="128"/>
    </row>
    <row r="48" spans="1:18" s="65" customFormat="1" ht="29.15" customHeight="1" x14ac:dyDescent="0.35">
      <c r="A48" s="565"/>
      <c r="B48" s="567"/>
      <c r="C48" s="407"/>
      <c r="D48" s="76" t="s">
        <v>199</v>
      </c>
      <c r="E48" s="1354" t="s">
        <v>200</v>
      </c>
      <c r="F48" s="715" t="s">
        <v>123</v>
      </c>
      <c r="G48" s="711"/>
      <c r="H48" s="554" t="s">
        <v>201</v>
      </c>
      <c r="I48" s="192"/>
      <c r="J48" s="514"/>
      <c r="K48" s="514"/>
      <c r="L48" s="318">
        <v>182.3</v>
      </c>
      <c r="M48" s="401" t="s">
        <v>202</v>
      </c>
      <c r="N48" s="517"/>
      <c r="O48" s="402"/>
      <c r="P48" s="402"/>
      <c r="Q48" s="403">
        <v>2</v>
      </c>
    </row>
    <row r="49" spans="1:17" s="65" customFormat="1" ht="29.15" customHeight="1" x14ac:dyDescent="0.35">
      <c r="A49" s="565"/>
      <c r="B49" s="567"/>
      <c r="C49" s="407"/>
      <c r="D49" s="633"/>
      <c r="E49" s="1355"/>
      <c r="F49" s="727" t="s">
        <v>31</v>
      </c>
      <c r="G49" s="634"/>
      <c r="H49" s="555" t="s">
        <v>23</v>
      </c>
      <c r="I49" s="147"/>
      <c r="J49" s="302"/>
      <c r="K49" s="302"/>
      <c r="L49" s="521">
        <v>32.200000000000003</v>
      </c>
      <c r="M49" s="66" t="s">
        <v>203</v>
      </c>
      <c r="N49" s="516"/>
      <c r="O49" s="550"/>
      <c r="P49" s="550"/>
      <c r="Q49" s="533">
        <v>3</v>
      </c>
    </row>
    <row r="50" spans="1:17" s="65" customFormat="1" ht="29.15" customHeight="1" x14ac:dyDescent="0.35">
      <c r="A50" s="635"/>
      <c r="B50" s="636"/>
      <c r="C50" s="407"/>
      <c r="D50" s="76" t="s">
        <v>214</v>
      </c>
      <c r="E50" s="637" t="s">
        <v>215</v>
      </c>
      <c r="F50" s="451"/>
      <c r="G50" s="638"/>
      <c r="H50" s="639" t="s">
        <v>23</v>
      </c>
      <c r="I50" s="247"/>
      <c r="J50" s="408"/>
      <c r="K50" s="408">
        <v>12</v>
      </c>
      <c r="L50" s="408"/>
      <c r="M50" s="164" t="s">
        <v>104</v>
      </c>
      <c r="N50" s="450"/>
      <c r="O50" s="237"/>
      <c r="P50" s="237">
        <v>1</v>
      </c>
      <c r="Q50" s="638"/>
    </row>
    <row r="51" spans="1:17" s="65" customFormat="1" ht="18" customHeight="1" thickBot="1" x14ac:dyDescent="0.35">
      <c r="A51" s="148"/>
      <c r="B51" s="149"/>
      <c r="C51" s="49"/>
      <c r="D51" s="272"/>
      <c r="E51" s="278"/>
      <c r="F51" s="280"/>
      <c r="G51" s="279"/>
      <c r="H51" s="501" t="s">
        <v>20</v>
      </c>
      <c r="I51" s="44">
        <f>SUM(I37:I49)</f>
        <v>117.8</v>
      </c>
      <c r="J51" s="260">
        <f>SUM(J37:J50)</f>
        <v>105.6</v>
      </c>
      <c r="K51" s="260">
        <f>SUM(K37:K50)</f>
        <v>237</v>
      </c>
      <c r="L51" s="260">
        <f>SUM(L37:L50)</f>
        <v>409.5</v>
      </c>
      <c r="M51" s="452"/>
      <c r="N51" s="266"/>
      <c r="O51" s="267"/>
      <c r="P51" s="267"/>
      <c r="Q51" s="453"/>
    </row>
    <row r="52" spans="1:17" s="65" customFormat="1" ht="17.25" customHeight="1" thickBot="1" x14ac:dyDescent="0.4">
      <c r="A52" s="12" t="s">
        <v>11</v>
      </c>
      <c r="B52" s="9" t="s">
        <v>21</v>
      </c>
      <c r="C52" s="1357" t="s">
        <v>33</v>
      </c>
      <c r="D52" s="1357"/>
      <c r="E52" s="1357"/>
      <c r="F52" s="1357"/>
      <c r="G52" s="1357"/>
      <c r="H52" s="1358"/>
      <c r="I52" s="258">
        <f t="shared" ref="I52:L52" si="2">I51</f>
        <v>117.8</v>
      </c>
      <c r="J52" s="261">
        <f t="shared" si="2"/>
        <v>105.6</v>
      </c>
      <c r="K52" s="261">
        <f t="shared" si="2"/>
        <v>237</v>
      </c>
      <c r="L52" s="259">
        <f t="shared" si="2"/>
        <v>409.5</v>
      </c>
      <c r="M52" s="1379"/>
      <c r="N52" s="1380"/>
      <c r="O52" s="1380"/>
      <c r="P52" s="1380"/>
      <c r="Q52" s="1381"/>
    </row>
    <row r="53" spans="1:17" s="65" customFormat="1" ht="16.5" customHeight="1" thickBot="1" x14ac:dyDescent="0.4">
      <c r="A53" s="8" t="s">
        <v>11</v>
      </c>
      <c r="B53" s="9" t="s">
        <v>28</v>
      </c>
      <c r="C53" s="1382" t="s">
        <v>38</v>
      </c>
      <c r="D53" s="1382"/>
      <c r="E53" s="1382"/>
      <c r="F53" s="1382"/>
      <c r="G53" s="1382"/>
      <c r="H53" s="1382"/>
      <c r="I53" s="1382"/>
      <c r="J53" s="1382"/>
      <c r="K53" s="1382"/>
      <c r="L53" s="1382"/>
      <c r="M53" s="1382"/>
      <c r="N53" s="1382"/>
      <c r="O53" s="1382"/>
      <c r="P53" s="1382"/>
      <c r="Q53" s="1383"/>
    </row>
    <row r="54" spans="1:17" s="65" customFormat="1" ht="17.25" customHeight="1" x14ac:dyDescent="0.35">
      <c r="A54" s="117" t="s">
        <v>11</v>
      </c>
      <c r="B54" s="618" t="s">
        <v>28</v>
      </c>
      <c r="C54" s="619" t="s">
        <v>11</v>
      </c>
      <c r="D54" s="119"/>
      <c r="E54" s="41" t="s">
        <v>62</v>
      </c>
      <c r="F54" s="139"/>
      <c r="G54" s="141"/>
      <c r="H54" s="140"/>
      <c r="I54" s="246"/>
      <c r="J54" s="248"/>
      <c r="K54" s="248"/>
      <c r="L54" s="244"/>
      <c r="M54" s="347"/>
      <c r="N54" s="343"/>
      <c r="O54" s="288"/>
      <c r="P54" s="288"/>
      <c r="Q54" s="282"/>
    </row>
    <row r="55" spans="1:17" s="65" customFormat="1" ht="12" customHeight="1" x14ac:dyDescent="0.35">
      <c r="A55" s="114"/>
      <c r="B55" s="567"/>
      <c r="C55" s="281"/>
      <c r="D55" s="13" t="s">
        <v>11</v>
      </c>
      <c r="E55" s="552" t="s">
        <v>39</v>
      </c>
      <c r="F55" s="138" t="s">
        <v>140</v>
      </c>
      <c r="G55" s="1603" t="s">
        <v>132</v>
      </c>
      <c r="H55" s="562" t="s">
        <v>23</v>
      </c>
      <c r="I55" s="563">
        <v>10.3</v>
      </c>
      <c r="J55" s="202">
        <v>11</v>
      </c>
      <c r="K55" s="202">
        <v>11</v>
      </c>
      <c r="L55" s="25">
        <v>11</v>
      </c>
      <c r="M55" s="537" t="s">
        <v>68</v>
      </c>
      <c r="N55" s="263">
        <v>17</v>
      </c>
      <c r="O55" s="263">
        <v>17</v>
      </c>
      <c r="P55" s="263">
        <v>17</v>
      </c>
      <c r="Q55" s="124">
        <v>17</v>
      </c>
    </row>
    <row r="56" spans="1:17" s="65" customFormat="1" ht="9" customHeight="1" x14ac:dyDescent="0.35">
      <c r="A56" s="114"/>
      <c r="B56" s="567"/>
      <c r="C56" s="569"/>
      <c r="D56" s="83"/>
      <c r="E56" s="86"/>
      <c r="F56" s="541"/>
      <c r="G56" s="1603"/>
      <c r="H56" s="555"/>
      <c r="I56" s="564"/>
      <c r="J56" s="520"/>
      <c r="K56" s="520"/>
      <c r="L56" s="33"/>
      <c r="M56" s="538"/>
      <c r="N56" s="251"/>
      <c r="O56" s="550"/>
      <c r="P56" s="550"/>
      <c r="Q56" s="177"/>
    </row>
    <row r="57" spans="1:17" s="65" customFormat="1" ht="20.25" customHeight="1" x14ac:dyDescent="0.35">
      <c r="A57" s="114"/>
      <c r="B57" s="567"/>
      <c r="C57" s="569"/>
      <c r="D57" s="539" t="s">
        <v>21</v>
      </c>
      <c r="E57" s="1354" t="s">
        <v>40</v>
      </c>
      <c r="F57" s="585" t="s">
        <v>126</v>
      </c>
      <c r="G57" s="1603"/>
      <c r="H57" s="92" t="s">
        <v>23</v>
      </c>
      <c r="I57" s="192">
        <v>18</v>
      </c>
      <c r="J57" s="514">
        <f>22.5-4</f>
        <v>18.5</v>
      </c>
      <c r="K57" s="514">
        <v>22.5</v>
      </c>
      <c r="L57" s="169">
        <v>22.5</v>
      </c>
      <c r="M57" s="1502" t="s">
        <v>142</v>
      </c>
      <c r="N57" s="342" t="s">
        <v>116</v>
      </c>
      <c r="O57" s="342" t="s">
        <v>179</v>
      </c>
      <c r="P57" s="342" t="s">
        <v>184</v>
      </c>
      <c r="Q57" s="283" t="s">
        <v>184</v>
      </c>
    </row>
    <row r="58" spans="1:17" s="65" customFormat="1" ht="16.5" customHeight="1" x14ac:dyDescent="0.35">
      <c r="A58" s="114"/>
      <c r="B58" s="567"/>
      <c r="C58" s="569"/>
      <c r="D58" s="84"/>
      <c r="E58" s="1384"/>
      <c r="F58" s="586"/>
      <c r="G58" s="103"/>
      <c r="H58" s="38"/>
      <c r="I58" s="564"/>
      <c r="J58" s="520"/>
      <c r="K58" s="520"/>
      <c r="L58" s="33"/>
      <c r="M58" s="1555"/>
      <c r="N58" s="587"/>
      <c r="O58" s="290"/>
      <c r="P58" s="290"/>
      <c r="Q58" s="284"/>
    </row>
    <row r="59" spans="1:17" s="65" customFormat="1" ht="31.5" customHeight="1" x14ac:dyDescent="0.35">
      <c r="A59" s="114"/>
      <c r="B59" s="567"/>
      <c r="C59" s="569"/>
      <c r="D59" s="116" t="s">
        <v>28</v>
      </c>
      <c r="E59" s="1354" t="s">
        <v>103</v>
      </c>
      <c r="F59" s="720" t="s">
        <v>126</v>
      </c>
      <c r="G59" s="136" t="s">
        <v>145</v>
      </c>
      <c r="H59" s="456" t="s">
        <v>23</v>
      </c>
      <c r="I59" s="448">
        <f>60.2</f>
        <v>60.2</v>
      </c>
      <c r="J59" s="439"/>
      <c r="K59" s="203"/>
      <c r="L59" s="187"/>
      <c r="M59" s="344" t="s">
        <v>117</v>
      </c>
      <c r="N59" s="455">
        <v>100</v>
      </c>
      <c r="O59" s="233"/>
      <c r="P59" s="233"/>
      <c r="Q59" s="125"/>
    </row>
    <row r="60" spans="1:17" s="65" customFormat="1" ht="39.75" customHeight="1" x14ac:dyDescent="0.35">
      <c r="A60" s="114"/>
      <c r="B60" s="567"/>
      <c r="C60" s="569"/>
      <c r="D60" s="116"/>
      <c r="E60" s="1367"/>
      <c r="F60" s="547"/>
      <c r="G60" s="1604" t="s">
        <v>132</v>
      </c>
      <c r="H60" s="460" t="s">
        <v>32</v>
      </c>
      <c r="I60" s="588"/>
      <c r="J60" s="444"/>
      <c r="K60" s="203"/>
      <c r="L60" s="461"/>
      <c r="M60" s="344" t="s">
        <v>118</v>
      </c>
      <c r="N60" s="455"/>
      <c r="O60" s="233"/>
      <c r="P60" s="233"/>
      <c r="Q60" s="125"/>
    </row>
    <row r="61" spans="1:17" s="65" customFormat="1" ht="14.25" customHeight="1" x14ac:dyDescent="0.35">
      <c r="A61" s="114"/>
      <c r="B61" s="567"/>
      <c r="C61" s="569"/>
      <c r="D61" s="116"/>
      <c r="E61" s="1367"/>
      <c r="F61" s="547"/>
      <c r="G61" s="1605"/>
      <c r="H61" s="97" t="s">
        <v>23</v>
      </c>
      <c r="I61" s="563">
        <v>20</v>
      </c>
      <c r="J61" s="202"/>
      <c r="K61" s="203"/>
      <c r="L61" s="457"/>
      <c r="M61" s="1556" t="s">
        <v>129</v>
      </c>
      <c r="N61" s="462">
        <v>1</v>
      </c>
      <c r="O61" s="291"/>
      <c r="P61" s="291"/>
      <c r="Q61" s="285"/>
    </row>
    <row r="62" spans="1:17" s="65" customFormat="1" ht="14.25" customHeight="1" x14ac:dyDescent="0.35">
      <c r="A62" s="114"/>
      <c r="B62" s="567"/>
      <c r="C62" s="569"/>
      <c r="D62" s="116"/>
      <c r="E62" s="1442"/>
      <c r="F62" s="547"/>
      <c r="G62" s="1606"/>
      <c r="H62" s="97" t="s">
        <v>27</v>
      </c>
      <c r="I62" s="563">
        <v>152.69999999999999</v>
      </c>
      <c r="J62" s="202"/>
      <c r="K62" s="204"/>
      <c r="L62" s="465"/>
      <c r="M62" s="1557"/>
      <c r="N62" s="463"/>
      <c r="O62" s="292"/>
      <c r="P62" s="292"/>
      <c r="Q62" s="464"/>
    </row>
    <row r="63" spans="1:17" s="65" customFormat="1" ht="14.25" customHeight="1" x14ac:dyDescent="0.35">
      <c r="A63" s="114"/>
      <c r="B63" s="567"/>
      <c r="C63" s="569"/>
      <c r="D63" s="116"/>
      <c r="E63" s="1442"/>
      <c r="F63" s="547"/>
      <c r="G63" s="1606"/>
      <c r="H63" s="94" t="s">
        <v>32</v>
      </c>
      <c r="I63" s="193"/>
      <c r="J63" s="203"/>
      <c r="K63" s="203"/>
      <c r="L63" s="459">
        <v>400</v>
      </c>
      <c r="M63" s="1556" t="s">
        <v>185</v>
      </c>
      <c r="N63" s="294"/>
      <c r="O63" s="294"/>
      <c r="P63" s="294"/>
      <c r="Q63" s="287">
        <v>100</v>
      </c>
    </row>
    <row r="64" spans="1:17" s="65" customFormat="1" ht="14.25" customHeight="1" x14ac:dyDescent="0.35">
      <c r="A64" s="114"/>
      <c r="B64" s="567"/>
      <c r="C64" s="569"/>
      <c r="D64" s="116"/>
      <c r="E64" s="1442"/>
      <c r="F64" s="547"/>
      <c r="G64" s="1606"/>
      <c r="H64" s="466" t="s">
        <v>23</v>
      </c>
      <c r="I64" s="194"/>
      <c r="J64" s="204"/>
      <c r="K64" s="204"/>
      <c r="L64" s="465">
        <v>100</v>
      </c>
      <c r="M64" s="1557"/>
      <c r="N64" s="292"/>
      <c r="O64" s="292"/>
      <c r="P64" s="292"/>
      <c r="Q64" s="464"/>
    </row>
    <row r="65" spans="1:17" s="65" customFormat="1" ht="21" customHeight="1" x14ac:dyDescent="0.35">
      <c r="A65" s="114"/>
      <c r="B65" s="567"/>
      <c r="C65" s="569"/>
      <c r="D65" s="116"/>
      <c r="E65" s="548"/>
      <c r="F65" s="105"/>
      <c r="G65" s="135"/>
      <c r="H65" s="38"/>
      <c r="I65" s="564"/>
      <c r="J65" s="520"/>
      <c r="K65" s="445"/>
      <c r="L65" s="446"/>
      <c r="M65" s="345" t="s">
        <v>128</v>
      </c>
      <c r="N65" s="458">
        <v>1</v>
      </c>
      <c r="O65" s="293"/>
      <c r="P65" s="293"/>
      <c r="Q65" s="286"/>
    </row>
    <row r="66" spans="1:17" s="65" customFormat="1" ht="27.75" customHeight="1" x14ac:dyDescent="0.35">
      <c r="A66" s="114"/>
      <c r="B66" s="567"/>
      <c r="C66" s="569"/>
      <c r="D66" s="415" t="s">
        <v>30</v>
      </c>
      <c r="E66" s="414" t="s">
        <v>109</v>
      </c>
      <c r="F66" s="713"/>
      <c r="G66" s="423" t="s">
        <v>145</v>
      </c>
      <c r="H66" s="417" t="s">
        <v>23</v>
      </c>
      <c r="I66" s="247">
        <v>13.9</v>
      </c>
      <c r="J66" s="249"/>
      <c r="K66" s="249"/>
      <c r="L66" s="245"/>
      <c r="M66" s="179" t="s">
        <v>104</v>
      </c>
      <c r="N66" s="207">
        <v>1</v>
      </c>
      <c r="O66" s="198"/>
      <c r="P66" s="198"/>
      <c r="Q66" s="418"/>
    </row>
    <row r="67" spans="1:17" s="65" customFormat="1" ht="20.25" customHeight="1" x14ac:dyDescent="0.35">
      <c r="A67" s="114"/>
      <c r="B67" s="567"/>
      <c r="C67" s="569"/>
      <c r="D67" s="491" t="s">
        <v>15</v>
      </c>
      <c r="E67" s="1376" t="s">
        <v>173</v>
      </c>
      <c r="F67" s="713" t="s">
        <v>140</v>
      </c>
      <c r="G67" s="1560" t="s">
        <v>186</v>
      </c>
      <c r="H67" s="92" t="s">
        <v>23</v>
      </c>
      <c r="I67" s="192"/>
      <c r="J67" s="202">
        <f>68.8-30</f>
        <v>38.799999999999997</v>
      </c>
      <c r="K67" s="202">
        <f>100+30</f>
        <v>130</v>
      </c>
      <c r="L67" s="25">
        <v>100</v>
      </c>
      <c r="M67" s="494" t="s">
        <v>191</v>
      </c>
      <c r="N67" s="589"/>
      <c r="O67" s="492"/>
      <c r="P67" s="495" t="s">
        <v>106</v>
      </c>
      <c r="Q67" s="493"/>
    </row>
    <row r="68" spans="1:17" s="65" customFormat="1" ht="35.25" customHeight="1" x14ac:dyDescent="0.35">
      <c r="A68" s="114"/>
      <c r="B68" s="567"/>
      <c r="C68" s="407"/>
      <c r="D68" s="499"/>
      <c r="E68" s="1377"/>
      <c r="F68" s="727" t="s">
        <v>31</v>
      </c>
      <c r="G68" s="1580"/>
      <c r="H68" s="97" t="s">
        <v>32</v>
      </c>
      <c r="I68" s="26"/>
      <c r="J68" s="202"/>
      <c r="K68" s="202"/>
      <c r="L68" s="319">
        <v>100</v>
      </c>
      <c r="M68" s="558" t="s">
        <v>192</v>
      </c>
      <c r="N68" s="432"/>
      <c r="O68" s="232" t="s">
        <v>106</v>
      </c>
      <c r="P68" s="232"/>
      <c r="Q68" s="496"/>
    </row>
    <row r="69" spans="1:17" s="65" customFormat="1" ht="35.25" customHeight="1" x14ac:dyDescent="0.35">
      <c r="A69" s="114"/>
      <c r="B69" s="567"/>
      <c r="C69" s="407"/>
      <c r="D69" s="498"/>
      <c r="E69" s="1378"/>
      <c r="F69" s="591"/>
      <c r="G69" s="1561"/>
      <c r="H69" s="38"/>
      <c r="I69" s="564"/>
      <c r="J69" s="408"/>
      <c r="K69" s="202"/>
      <c r="L69" s="521"/>
      <c r="M69" s="542" t="s">
        <v>207</v>
      </c>
      <c r="N69" s="592"/>
      <c r="O69" s="492"/>
      <c r="P69" s="492" t="s">
        <v>212</v>
      </c>
      <c r="Q69" s="496" t="s">
        <v>193</v>
      </c>
    </row>
    <row r="70" spans="1:17" s="65" customFormat="1" ht="31" customHeight="1" x14ac:dyDescent="0.35">
      <c r="A70" s="114"/>
      <c r="B70" s="567"/>
      <c r="C70" s="407"/>
      <c r="D70" s="499" t="s">
        <v>87</v>
      </c>
      <c r="E70" s="559" t="s">
        <v>204</v>
      </c>
      <c r="F70" s="590"/>
      <c r="G70" s="423" t="s">
        <v>145</v>
      </c>
      <c r="H70" s="417" t="s">
        <v>27</v>
      </c>
      <c r="I70" s="168"/>
      <c r="J70" s="411">
        <v>84.7</v>
      </c>
      <c r="K70" s="411"/>
      <c r="L70" s="411"/>
      <c r="M70" s="179" t="s">
        <v>192</v>
      </c>
      <c r="N70" s="593"/>
      <c r="O70" s="518" t="s">
        <v>106</v>
      </c>
      <c r="P70" s="518"/>
      <c r="Q70" s="519"/>
    </row>
    <row r="71" spans="1:17" s="65" customFormat="1" ht="18" customHeight="1" thickBot="1" x14ac:dyDescent="0.35">
      <c r="A71" s="148"/>
      <c r="B71" s="149"/>
      <c r="C71" s="50"/>
      <c r="D71" s="296"/>
      <c r="E71" s="273"/>
      <c r="F71" s="594"/>
      <c r="G71" s="264"/>
      <c r="H71" s="68" t="s">
        <v>20</v>
      </c>
      <c r="I71" s="44">
        <f>SUM(I55:I70)</f>
        <v>275.09999999999997</v>
      </c>
      <c r="J71" s="260">
        <f>SUM(J55:J70)</f>
        <v>153</v>
      </c>
      <c r="K71" s="260">
        <f>SUM(K55:K70)</f>
        <v>163.5</v>
      </c>
      <c r="L71" s="260">
        <f>SUM(L55:L70)</f>
        <v>733.5</v>
      </c>
      <c r="M71" s="497"/>
      <c r="N71" s="340"/>
      <c r="O71" s="267"/>
      <c r="P71" s="267"/>
      <c r="Q71" s="453"/>
    </row>
    <row r="72" spans="1:17" s="65" customFormat="1" ht="28.5" customHeight="1" x14ac:dyDescent="0.3">
      <c r="A72" s="117" t="s">
        <v>11</v>
      </c>
      <c r="B72" s="566" t="s">
        <v>28</v>
      </c>
      <c r="C72" s="568" t="s">
        <v>21</v>
      </c>
      <c r="D72" s="14"/>
      <c r="E72" s="15" t="s">
        <v>41</v>
      </c>
      <c r="F72" s="100"/>
      <c r="G72" s="104"/>
      <c r="H72" s="80"/>
      <c r="I72" s="246"/>
      <c r="J72" s="248"/>
      <c r="K72" s="300"/>
      <c r="L72" s="244"/>
      <c r="M72" s="346"/>
      <c r="N72" s="341"/>
      <c r="O72" s="332"/>
      <c r="P72" s="332"/>
      <c r="Q72" s="324"/>
    </row>
    <row r="73" spans="1:17" s="65" customFormat="1" ht="17.25" customHeight="1" x14ac:dyDescent="0.35">
      <c r="A73" s="4"/>
      <c r="B73" s="5"/>
      <c r="C73" s="53"/>
      <c r="D73" s="150" t="s">
        <v>11</v>
      </c>
      <c r="E73" s="1349" t="s">
        <v>73</v>
      </c>
      <c r="F73" s="107" t="s">
        <v>123</v>
      </c>
      <c r="G73" s="1560" t="s">
        <v>133</v>
      </c>
      <c r="H73" s="106" t="s">
        <v>32</v>
      </c>
      <c r="I73" s="298"/>
      <c r="J73" s="299">
        <v>478</v>
      </c>
      <c r="K73" s="301">
        <v>311.10000000000002</v>
      </c>
      <c r="L73" s="297"/>
      <c r="M73" s="1537" t="s">
        <v>78</v>
      </c>
      <c r="N73" s="468">
        <v>10</v>
      </c>
      <c r="O73" s="231">
        <v>50</v>
      </c>
      <c r="P73" s="231">
        <v>100</v>
      </c>
      <c r="Q73" s="218"/>
    </row>
    <row r="74" spans="1:17" s="65" customFormat="1" ht="17.25" customHeight="1" x14ac:dyDescent="0.35">
      <c r="A74" s="4"/>
      <c r="B74" s="5"/>
      <c r="C74" s="53"/>
      <c r="D74" s="150"/>
      <c r="E74" s="1346"/>
      <c r="F74" s="727" t="s">
        <v>31</v>
      </c>
      <c r="G74" s="1580"/>
      <c r="H74" s="70"/>
      <c r="I74" s="728"/>
      <c r="J74" s="729"/>
      <c r="K74" s="730"/>
      <c r="L74" s="731"/>
      <c r="M74" s="1538"/>
      <c r="N74" s="462"/>
      <c r="O74" s="294"/>
      <c r="P74" s="294"/>
      <c r="Q74" s="287"/>
    </row>
    <row r="75" spans="1:17" s="65" customFormat="1" ht="17.25" customHeight="1" x14ac:dyDescent="0.35">
      <c r="A75" s="4"/>
      <c r="B75" s="5"/>
      <c r="C75" s="53"/>
      <c r="D75" s="150"/>
      <c r="E75" s="1346"/>
      <c r="F75" s="64" t="s">
        <v>126</v>
      </c>
      <c r="G75" s="1580"/>
      <c r="H75" s="70" t="s">
        <v>70</v>
      </c>
      <c r="I75" s="563">
        <v>110.7</v>
      </c>
      <c r="J75" s="202">
        <v>22</v>
      </c>
      <c r="K75" s="210">
        <v>22</v>
      </c>
      <c r="L75" s="25"/>
      <c r="M75" s="1538"/>
      <c r="N75" s="595"/>
      <c r="O75" s="333"/>
      <c r="P75" s="333"/>
      <c r="Q75" s="325"/>
    </row>
    <row r="76" spans="1:17" s="65" customFormat="1" ht="13.5" customHeight="1" x14ac:dyDescent="0.35">
      <c r="A76" s="4"/>
      <c r="B76" s="5"/>
      <c r="C76" s="53"/>
      <c r="D76" s="150"/>
      <c r="E76" s="1370"/>
      <c r="F76" s="573" t="s">
        <v>140</v>
      </c>
      <c r="G76" s="1623"/>
      <c r="H76" s="70"/>
      <c r="I76" s="563"/>
      <c r="J76" s="202"/>
      <c r="K76" s="210"/>
      <c r="L76" s="25"/>
      <c r="M76" s="1538"/>
      <c r="N76" s="462"/>
      <c r="O76" s="294"/>
      <c r="P76" s="294"/>
      <c r="Q76" s="287"/>
    </row>
    <row r="77" spans="1:17" s="65" customFormat="1" ht="18" customHeight="1" x14ac:dyDescent="0.35">
      <c r="A77" s="114"/>
      <c r="B77" s="567"/>
      <c r="C77" s="569"/>
      <c r="D77" s="531" t="s">
        <v>21</v>
      </c>
      <c r="E77" s="1354" t="s">
        <v>42</v>
      </c>
      <c r="F77" s="107" t="s">
        <v>124</v>
      </c>
      <c r="G77" s="1560" t="s">
        <v>132</v>
      </c>
      <c r="H77" s="112" t="s">
        <v>23</v>
      </c>
      <c r="I77" s="192">
        <v>64.8</v>
      </c>
      <c r="J77" s="631">
        <v>78.8</v>
      </c>
      <c r="K77" s="556">
        <v>79.8</v>
      </c>
      <c r="L77" s="169">
        <v>79.8</v>
      </c>
      <c r="M77" s="553" t="s">
        <v>113</v>
      </c>
      <c r="N77" s="469">
        <v>2090</v>
      </c>
      <c r="O77" s="334">
        <v>2133</v>
      </c>
      <c r="P77" s="334">
        <v>2090</v>
      </c>
      <c r="Q77" s="326">
        <v>2090</v>
      </c>
    </row>
    <row r="78" spans="1:17" s="65" customFormat="1" ht="18.75" customHeight="1" x14ac:dyDescent="0.35">
      <c r="A78" s="4"/>
      <c r="B78" s="5"/>
      <c r="C78" s="53"/>
      <c r="D78" s="115"/>
      <c r="E78" s="1367"/>
      <c r="F78" s="761" t="s">
        <v>240</v>
      </c>
      <c r="G78" s="1580"/>
      <c r="H78" s="736" t="s">
        <v>27</v>
      </c>
      <c r="I78" s="734">
        <v>13.6</v>
      </c>
      <c r="J78" s="202">
        <v>12.4</v>
      </c>
      <c r="K78" s="210"/>
      <c r="L78" s="25"/>
      <c r="M78" s="344" t="s">
        <v>96</v>
      </c>
      <c r="N78" s="470">
        <v>120</v>
      </c>
      <c r="O78" s="335">
        <v>150</v>
      </c>
      <c r="P78" s="335">
        <v>150</v>
      </c>
      <c r="Q78" s="327">
        <v>150</v>
      </c>
    </row>
    <row r="79" spans="1:17" s="65" customFormat="1" ht="25.5" customHeight="1" x14ac:dyDescent="0.35">
      <c r="A79" s="4"/>
      <c r="B79" s="5"/>
      <c r="C79" s="53"/>
      <c r="D79" s="115"/>
      <c r="E79" s="1367"/>
      <c r="F79" s="752"/>
      <c r="G79" s="1580"/>
      <c r="H79" s="736"/>
      <c r="I79" s="735"/>
      <c r="J79" s="202"/>
      <c r="K79" s="210"/>
      <c r="L79" s="25"/>
      <c r="M79" s="344" t="s">
        <v>97</v>
      </c>
      <c r="N79" s="470">
        <v>30</v>
      </c>
      <c r="O79" s="335"/>
      <c r="P79" s="335"/>
      <c r="Q79" s="327"/>
    </row>
    <row r="80" spans="1:17" s="65" customFormat="1" ht="55.5" customHeight="1" x14ac:dyDescent="0.35">
      <c r="A80" s="110"/>
      <c r="B80" s="5"/>
      <c r="C80" s="111"/>
      <c r="D80" s="83"/>
      <c r="E80" s="1355"/>
      <c r="F80" s="753"/>
      <c r="G80" s="746"/>
      <c r="H80" s="747"/>
      <c r="I80" s="735"/>
      <c r="J80" s="202"/>
      <c r="K80" s="741"/>
      <c r="L80" s="25"/>
      <c r="M80" s="345" t="s">
        <v>166</v>
      </c>
      <c r="N80" s="748">
        <v>10</v>
      </c>
      <c r="O80" s="749">
        <v>40</v>
      </c>
      <c r="P80" s="750">
        <v>60</v>
      </c>
      <c r="Q80" s="751">
        <v>100</v>
      </c>
    </row>
    <row r="81" spans="1:17" s="65" customFormat="1" ht="27" customHeight="1" x14ac:dyDescent="0.35">
      <c r="A81" s="110"/>
      <c r="B81" s="5"/>
      <c r="C81" s="111"/>
      <c r="D81" s="305" t="s">
        <v>28</v>
      </c>
      <c r="E81" s="737" t="s">
        <v>238</v>
      </c>
      <c r="F81" s="739" t="s">
        <v>123</v>
      </c>
      <c r="G81" s="1580" t="s">
        <v>194</v>
      </c>
      <c r="H81" s="74" t="s">
        <v>32</v>
      </c>
      <c r="I81" s="192"/>
      <c r="J81" s="740">
        <f>7+12</f>
        <v>19</v>
      </c>
      <c r="K81" s="202">
        <v>37</v>
      </c>
      <c r="L81" s="742"/>
      <c r="M81" s="754" t="s">
        <v>195</v>
      </c>
      <c r="N81" s="755"/>
      <c r="O81" s="402">
        <v>1</v>
      </c>
      <c r="P81" s="756">
        <v>1</v>
      </c>
      <c r="Q81" s="505"/>
    </row>
    <row r="82" spans="1:17" s="65" customFormat="1" ht="15" customHeight="1" x14ac:dyDescent="0.35">
      <c r="A82" s="110"/>
      <c r="B82" s="5"/>
      <c r="C82" s="111"/>
      <c r="D82" s="115"/>
      <c r="E82" s="737"/>
      <c r="F82" s="761" t="s">
        <v>240</v>
      </c>
      <c r="G82" s="1580"/>
      <c r="I82" s="760"/>
      <c r="J82" s="339"/>
      <c r="L82" s="759"/>
      <c r="M82" s="510" t="s">
        <v>196</v>
      </c>
      <c r="N82" s="757"/>
      <c r="O82" s="487">
        <v>1</v>
      </c>
      <c r="P82" s="487"/>
      <c r="Q82" s="506"/>
    </row>
    <row r="83" spans="1:17" s="65" customFormat="1" ht="15" customHeight="1" x14ac:dyDescent="0.35">
      <c r="A83" s="110"/>
      <c r="B83" s="5"/>
      <c r="C83" s="111"/>
      <c r="D83" s="83"/>
      <c r="E83" s="738"/>
      <c r="F83" s="753"/>
      <c r="G83" s="1561"/>
      <c r="H83" s="74" t="s">
        <v>23</v>
      </c>
      <c r="I83" s="648"/>
      <c r="J83" s="202">
        <v>8</v>
      </c>
      <c r="K83" s="202">
        <f>13.9</f>
        <v>13.9</v>
      </c>
      <c r="L83" s="319">
        <f>34.2</f>
        <v>34.200000000000003</v>
      </c>
      <c r="M83" s="511" t="s">
        <v>197</v>
      </c>
      <c r="N83" s="758"/>
      <c r="O83" s="490">
        <v>1</v>
      </c>
      <c r="P83" s="490">
        <v>1</v>
      </c>
      <c r="Q83" s="508">
        <v>2</v>
      </c>
    </row>
    <row r="84" spans="1:17" s="65" customFormat="1" ht="25.5" customHeight="1" x14ac:dyDescent="0.35">
      <c r="A84" s="1395"/>
      <c r="B84" s="1399"/>
      <c r="C84" s="1403"/>
      <c r="D84" s="305" t="s">
        <v>30</v>
      </c>
      <c r="E84" s="1388" t="s">
        <v>107</v>
      </c>
      <c r="F84" s="107" t="s">
        <v>123</v>
      </c>
      <c r="G84" s="1580" t="s">
        <v>130</v>
      </c>
      <c r="H84" s="60" t="s">
        <v>75</v>
      </c>
      <c r="I84" s="563">
        <v>145.6</v>
      </c>
      <c r="J84" s="744">
        <v>16.600000000000001</v>
      </c>
      <c r="K84" s="744"/>
      <c r="L84" s="745"/>
      <c r="M84" s="351" t="s">
        <v>66</v>
      </c>
      <c r="N84" s="526"/>
      <c r="O84" s="337">
        <v>100</v>
      </c>
      <c r="P84" s="337"/>
      <c r="Q84" s="329"/>
    </row>
    <row r="85" spans="1:17" s="65" customFormat="1" ht="14.25" customHeight="1" x14ac:dyDescent="0.35">
      <c r="A85" s="1395"/>
      <c r="B85" s="1399"/>
      <c r="C85" s="1403"/>
      <c r="D85" s="305"/>
      <c r="E85" s="1388"/>
      <c r="F85" s="727" t="s">
        <v>31</v>
      </c>
      <c r="G85" s="1580"/>
      <c r="H85" s="37"/>
      <c r="I85" s="714"/>
      <c r="J85" s="202"/>
      <c r="K85" s="210"/>
      <c r="L85" s="25"/>
      <c r="M85" s="712"/>
      <c r="N85" s="732"/>
      <c r="O85" s="338"/>
      <c r="P85" s="338"/>
      <c r="Q85" s="330"/>
    </row>
    <row r="86" spans="1:17" s="65" customFormat="1" ht="13.5" customHeight="1" x14ac:dyDescent="0.35">
      <c r="A86" s="1395"/>
      <c r="B86" s="1399"/>
      <c r="C86" s="1403"/>
      <c r="D86" s="305"/>
      <c r="E86" s="1388"/>
      <c r="F86" s="64" t="s">
        <v>126</v>
      </c>
      <c r="G86" s="1580"/>
      <c r="H86" s="37" t="s">
        <v>74</v>
      </c>
      <c r="I86" s="563">
        <v>49.4</v>
      </c>
      <c r="J86" s="202">
        <v>4</v>
      </c>
      <c r="K86" s="210"/>
      <c r="L86" s="25"/>
      <c r="M86" s="1538" t="s">
        <v>125</v>
      </c>
      <c r="N86" s="500">
        <v>100</v>
      </c>
      <c r="O86" s="338"/>
      <c r="P86" s="338"/>
      <c r="Q86" s="330"/>
    </row>
    <row r="87" spans="1:17" s="65" customFormat="1" ht="13.5" customHeight="1" x14ac:dyDescent="0.35">
      <c r="A87" s="1396"/>
      <c r="B87" s="1400"/>
      <c r="C87" s="1404"/>
      <c r="D87" s="305"/>
      <c r="E87" s="1607"/>
      <c r="F87" s="573" t="s">
        <v>140</v>
      </c>
      <c r="G87" s="1608"/>
      <c r="H87" s="37" t="s">
        <v>27</v>
      </c>
      <c r="I87" s="563">
        <v>117.7</v>
      </c>
      <c r="J87" s="202"/>
      <c r="K87" s="210"/>
      <c r="L87" s="25"/>
      <c r="M87" s="1609"/>
      <c r="N87" s="500"/>
      <c r="O87" s="338"/>
      <c r="P87" s="338"/>
      <c r="Q87" s="330"/>
    </row>
    <row r="88" spans="1:17" s="65" customFormat="1" ht="13.5" customHeight="1" x14ac:dyDescent="0.35">
      <c r="A88" s="1397"/>
      <c r="B88" s="1401"/>
      <c r="C88" s="1405"/>
      <c r="D88" s="305"/>
      <c r="E88" s="1607"/>
      <c r="F88" s="540"/>
      <c r="G88" s="1608"/>
      <c r="H88" s="37" t="s">
        <v>94</v>
      </c>
      <c r="I88" s="564">
        <v>2</v>
      </c>
      <c r="J88" s="202"/>
      <c r="K88" s="210"/>
      <c r="L88" s="25"/>
      <c r="M88" s="350"/>
      <c r="N88" s="467"/>
      <c r="O88" s="339"/>
      <c r="P88" s="339"/>
      <c r="Q88" s="331"/>
    </row>
    <row r="89" spans="1:17" s="11" customFormat="1" ht="12.75" customHeight="1" x14ac:dyDescent="0.35">
      <c r="A89" s="1397"/>
      <c r="B89" s="1401"/>
      <c r="C89" s="1405"/>
      <c r="D89" s="1610" t="s">
        <v>15</v>
      </c>
      <c r="E89" s="1613" t="s">
        <v>85</v>
      </c>
      <c r="F89" s="107" t="s">
        <v>123</v>
      </c>
      <c r="G89" s="1616" t="s">
        <v>130</v>
      </c>
      <c r="H89" s="522" t="s">
        <v>32</v>
      </c>
      <c r="I89" s="192">
        <f>1174.6-893.4</f>
        <v>281.19999999999993</v>
      </c>
      <c r="J89" s="514"/>
      <c r="K89" s="556"/>
      <c r="L89" s="169"/>
      <c r="M89" s="1541" t="s">
        <v>86</v>
      </c>
      <c r="N89" s="437">
        <v>100</v>
      </c>
      <c r="O89" s="549"/>
      <c r="P89" s="549"/>
      <c r="Q89" s="124"/>
    </row>
    <row r="90" spans="1:17" s="11" customFormat="1" ht="12.75" customHeight="1" x14ac:dyDescent="0.35">
      <c r="A90" s="1397"/>
      <c r="B90" s="1401"/>
      <c r="C90" s="1405"/>
      <c r="D90" s="1611"/>
      <c r="E90" s="1614"/>
      <c r="F90" s="64" t="s">
        <v>126</v>
      </c>
      <c r="G90" s="1617"/>
      <c r="H90" s="74" t="s">
        <v>74</v>
      </c>
      <c r="I90" s="563">
        <v>83.3</v>
      </c>
      <c r="J90" s="202">
        <v>50.1</v>
      </c>
      <c r="K90" s="210"/>
      <c r="L90" s="25"/>
      <c r="M90" s="1542"/>
      <c r="N90" s="263"/>
      <c r="O90" s="237"/>
      <c r="P90" s="237"/>
      <c r="Q90" s="128"/>
    </row>
    <row r="91" spans="1:17" s="11" customFormat="1" ht="12.75" customHeight="1" x14ac:dyDescent="0.35">
      <c r="A91" s="1397"/>
      <c r="B91" s="1401"/>
      <c r="C91" s="1405"/>
      <c r="D91" s="1611"/>
      <c r="E91" s="1614"/>
      <c r="F91" s="108" t="s">
        <v>140</v>
      </c>
      <c r="G91" s="1618"/>
      <c r="H91" s="74" t="s">
        <v>44</v>
      </c>
      <c r="I91" s="563">
        <f>44.8+72.8</f>
        <v>117.6</v>
      </c>
      <c r="J91" s="202">
        <v>0.1</v>
      </c>
      <c r="K91" s="210"/>
      <c r="L91" s="25"/>
      <c r="M91" s="1543"/>
      <c r="N91" s="263"/>
      <c r="O91" s="237"/>
      <c r="P91" s="237"/>
      <c r="Q91" s="128"/>
    </row>
    <row r="92" spans="1:17" s="11" customFormat="1" ht="12.75" customHeight="1" x14ac:dyDescent="0.35">
      <c r="A92" s="1397"/>
      <c r="B92" s="1401"/>
      <c r="C92" s="1405"/>
      <c r="D92" s="1611"/>
      <c r="E92" s="1614"/>
      <c r="F92" s="727" t="s">
        <v>31</v>
      </c>
      <c r="G92" s="1619" t="s">
        <v>148</v>
      </c>
      <c r="H92" s="74" t="s">
        <v>138</v>
      </c>
      <c r="I92" s="563">
        <v>28.3</v>
      </c>
      <c r="J92" s="202">
        <v>0.1</v>
      </c>
      <c r="K92" s="210"/>
      <c r="L92" s="25"/>
      <c r="M92" s="1543"/>
      <c r="N92" s="263"/>
      <c r="O92" s="237"/>
      <c r="P92" s="237"/>
      <c r="Q92" s="128"/>
    </row>
    <row r="93" spans="1:17" s="11" customFormat="1" ht="12.75" customHeight="1" x14ac:dyDescent="0.35">
      <c r="A93" s="1397"/>
      <c r="B93" s="1401"/>
      <c r="C93" s="1405"/>
      <c r="D93" s="1611"/>
      <c r="E93" s="1614"/>
      <c r="F93" s="596"/>
      <c r="G93" s="1619"/>
      <c r="H93" s="74" t="s">
        <v>75</v>
      </c>
      <c r="I93" s="563">
        <f>507.7+824.8</f>
        <v>1332.5</v>
      </c>
      <c r="J93" s="202">
        <v>0.1</v>
      </c>
      <c r="K93" s="210"/>
      <c r="L93" s="25"/>
      <c r="M93" s="1543"/>
      <c r="N93" s="263"/>
      <c r="O93" s="237"/>
      <c r="P93" s="237"/>
      <c r="Q93" s="128"/>
    </row>
    <row r="94" spans="1:17" s="11" customFormat="1" ht="12.75" customHeight="1" x14ac:dyDescent="0.35">
      <c r="A94" s="1397"/>
      <c r="B94" s="1401"/>
      <c r="C94" s="1405"/>
      <c r="D94" s="1611"/>
      <c r="E94" s="1614"/>
      <c r="F94" s="596"/>
      <c r="G94" s="1619"/>
      <c r="H94" s="74" t="s">
        <v>94</v>
      </c>
      <c r="I94" s="563">
        <v>320.8</v>
      </c>
      <c r="J94" s="202">
        <v>0.1</v>
      </c>
      <c r="K94" s="210"/>
      <c r="L94" s="25"/>
      <c r="M94" s="560"/>
      <c r="N94" s="263"/>
      <c r="O94" s="237"/>
      <c r="P94" s="237"/>
      <c r="Q94" s="128"/>
    </row>
    <row r="95" spans="1:17" s="11" customFormat="1" ht="12.75" customHeight="1" x14ac:dyDescent="0.35">
      <c r="A95" s="1397"/>
      <c r="B95" s="1401"/>
      <c r="C95" s="1405"/>
      <c r="D95" s="1612"/>
      <c r="E95" s="1615"/>
      <c r="F95" s="596"/>
      <c r="G95" s="1620"/>
      <c r="H95" s="75" t="s">
        <v>27</v>
      </c>
      <c r="I95" s="564">
        <f>150</f>
        <v>150</v>
      </c>
      <c r="J95" s="625"/>
      <c r="K95" s="557"/>
      <c r="L95" s="33"/>
      <c r="M95" s="349"/>
      <c r="N95" s="251"/>
      <c r="O95" s="550"/>
      <c r="P95" s="550"/>
      <c r="Q95" s="177"/>
    </row>
    <row r="96" spans="1:17" s="11" customFormat="1" ht="12.75" customHeight="1" x14ac:dyDescent="0.35">
      <c r="A96" s="1397"/>
      <c r="B96" s="1401"/>
      <c r="C96" s="1405"/>
      <c r="D96" s="306" t="s">
        <v>87</v>
      </c>
      <c r="E96" s="1348" t="s">
        <v>108</v>
      </c>
      <c r="F96" s="107" t="s">
        <v>126</v>
      </c>
      <c r="G96" s="1621" t="s">
        <v>130</v>
      </c>
      <c r="H96" s="146" t="s">
        <v>74</v>
      </c>
      <c r="I96" s="563">
        <v>120.3</v>
      </c>
      <c r="J96" s="25">
        <v>123.3</v>
      </c>
      <c r="K96" s="514"/>
      <c r="L96" s="25"/>
      <c r="M96" s="1545" t="s">
        <v>111</v>
      </c>
      <c r="N96" s="263">
        <v>50</v>
      </c>
      <c r="O96" s="237">
        <v>100</v>
      </c>
      <c r="P96" s="237"/>
      <c r="Q96" s="128"/>
    </row>
    <row r="97" spans="1:17" s="11" customFormat="1" ht="14.25" customHeight="1" x14ac:dyDescent="0.35">
      <c r="A97" s="1397"/>
      <c r="B97" s="1401"/>
      <c r="C97" s="1405"/>
      <c r="D97" s="306"/>
      <c r="E97" s="1348"/>
      <c r="F97" s="727" t="s">
        <v>31</v>
      </c>
      <c r="G97" s="1622"/>
      <c r="H97" s="146" t="s">
        <v>32</v>
      </c>
      <c r="I97" s="563">
        <v>43.4</v>
      </c>
      <c r="J97" s="25">
        <v>275.8</v>
      </c>
      <c r="K97" s="202"/>
      <c r="L97" s="25"/>
      <c r="M97" s="1506"/>
      <c r="N97" s="263"/>
      <c r="O97" s="237"/>
      <c r="P97" s="237"/>
      <c r="Q97" s="128"/>
    </row>
    <row r="98" spans="1:17" s="11" customFormat="1" ht="12" customHeight="1" x14ac:dyDescent="0.35">
      <c r="A98" s="1397"/>
      <c r="B98" s="1401"/>
      <c r="C98" s="1405"/>
      <c r="D98" s="306"/>
      <c r="E98" s="1348"/>
      <c r="F98" s="733"/>
      <c r="G98" s="1619" t="s">
        <v>149</v>
      </c>
      <c r="H98" s="36" t="s">
        <v>75</v>
      </c>
      <c r="I98" s="563">
        <v>480.1</v>
      </c>
      <c r="J98" s="202">
        <v>504.6</v>
      </c>
      <c r="K98" s="210"/>
      <c r="L98" s="25"/>
      <c r="M98" s="1546"/>
      <c r="N98" s="263"/>
      <c r="O98" s="484"/>
      <c r="P98" s="484"/>
      <c r="Q98" s="485"/>
    </row>
    <row r="99" spans="1:17" s="11" customFormat="1" ht="14.25" customHeight="1" x14ac:dyDescent="0.35">
      <c r="A99" s="1397"/>
      <c r="B99" s="1401"/>
      <c r="C99" s="1405"/>
      <c r="D99" s="306"/>
      <c r="E99" s="1348"/>
      <c r="F99" s="733"/>
      <c r="G99" s="1619"/>
      <c r="H99" s="146" t="s">
        <v>44</v>
      </c>
      <c r="I99" s="563">
        <v>42.4</v>
      </c>
      <c r="J99" s="202">
        <v>44.6</v>
      </c>
      <c r="K99" s="210"/>
      <c r="L99" s="25"/>
      <c r="M99" s="1506" t="s">
        <v>187</v>
      </c>
      <c r="N99" s="486"/>
      <c r="O99" s="237"/>
      <c r="P99" s="237"/>
      <c r="Q99" s="128"/>
    </row>
    <row r="100" spans="1:17" s="11" customFormat="1" ht="12.75" customHeight="1" x14ac:dyDescent="0.35">
      <c r="A100" s="1397"/>
      <c r="B100" s="1401"/>
      <c r="C100" s="1405"/>
      <c r="D100" s="306"/>
      <c r="E100" s="1348"/>
      <c r="F100" s="733"/>
      <c r="G100" s="1619"/>
      <c r="H100" s="74" t="s">
        <v>23</v>
      </c>
      <c r="I100" s="563">
        <v>74</v>
      </c>
      <c r="J100" s="202">
        <f>3.2+20-23.2</f>
        <v>0</v>
      </c>
      <c r="K100" s="202"/>
      <c r="L100" s="25"/>
      <c r="M100" s="1506"/>
      <c r="N100" s="263"/>
      <c r="O100" s="237"/>
      <c r="P100" s="237"/>
      <c r="Q100" s="128"/>
    </row>
    <row r="101" spans="1:17" s="11" customFormat="1" ht="20.25" customHeight="1" x14ac:dyDescent="0.35">
      <c r="A101" s="1397"/>
      <c r="B101" s="1401"/>
      <c r="C101" s="1405"/>
      <c r="D101" s="306"/>
      <c r="E101" s="1348"/>
      <c r="F101" s="733"/>
      <c r="G101" s="1620"/>
      <c r="H101" s="75" t="s">
        <v>27</v>
      </c>
      <c r="I101" s="482"/>
      <c r="J101" s="336">
        <f>127.1-20+23.2</f>
        <v>130.29999999999998</v>
      </c>
      <c r="K101" s="520"/>
      <c r="L101" s="483"/>
      <c r="M101" s="560"/>
      <c r="N101" s="263"/>
      <c r="O101" s="237"/>
      <c r="P101" s="237"/>
      <c r="Q101" s="128"/>
    </row>
    <row r="102" spans="1:17" s="65" customFormat="1" ht="17.25" customHeight="1" x14ac:dyDescent="0.35">
      <c r="A102" s="1397"/>
      <c r="B102" s="1401"/>
      <c r="C102" s="1405"/>
      <c r="D102" s="307" t="s">
        <v>151</v>
      </c>
      <c r="E102" s="1349" t="s">
        <v>61</v>
      </c>
      <c r="F102" s="107" t="s">
        <v>123</v>
      </c>
      <c r="G102" s="1560" t="s">
        <v>134</v>
      </c>
      <c r="H102" s="554" t="s">
        <v>74</v>
      </c>
      <c r="I102" s="192">
        <v>20</v>
      </c>
      <c r="J102" s="514"/>
      <c r="K102" s="556"/>
      <c r="L102" s="169"/>
      <c r="M102" s="1545" t="s">
        <v>144</v>
      </c>
      <c r="N102" s="468">
        <v>100</v>
      </c>
      <c r="O102" s="231"/>
      <c r="P102" s="231"/>
      <c r="Q102" s="218"/>
    </row>
    <row r="103" spans="1:17" s="65" customFormat="1" ht="15.75" customHeight="1" x14ac:dyDescent="0.35">
      <c r="A103" s="1397"/>
      <c r="B103" s="1401"/>
      <c r="C103" s="1405"/>
      <c r="D103" s="306"/>
      <c r="E103" s="1346"/>
      <c r="F103" s="1588" t="s">
        <v>140</v>
      </c>
      <c r="G103" s="1580"/>
      <c r="H103" s="562"/>
      <c r="I103" s="563"/>
      <c r="J103" s="202"/>
      <c r="K103" s="202"/>
      <c r="L103" s="25"/>
      <c r="M103" s="1506"/>
      <c r="N103" s="462"/>
      <c r="O103" s="294"/>
      <c r="P103" s="294"/>
      <c r="Q103" s="287"/>
    </row>
    <row r="104" spans="1:17" s="65" customFormat="1" ht="14.5" customHeight="1" x14ac:dyDescent="0.35">
      <c r="A104" s="1397"/>
      <c r="B104" s="1401"/>
      <c r="C104" s="1405"/>
      <c r="D104" s="308"/>
      <c r="E104" s="1347"/>
      <c r="F104" s="1589"/>
      <c r="G104" s="1561"/>
      <c r="H104" s="555"/>
      <c r="I104" s="147"/>
      <c r="J104" s="302"/>
      <c r="K104" s="520"/>
      <c r="L104" s="33"/>
      <c r="M104" s="1587"/>
      <c r="N104" s="348"/>
      <c r="O104" s="236"/>
      <c r="P104" s="236"/>
      <c r="Q104" s="224"/>
    </row>
    <row r="105" spans="1:17" s="65" customFormat="1" ht="18" customHeight="1" thickBot="1" x14ac:dyDescent="0.4">
      <c r="A105" s="1398"/>
      <c r="B105" s="1402"/>
      <c r="C105" s="1406"/>
      <c r="D105" s="303"/>
      <c r="E105" s="304"/>
      <c r="F105" s="309"/>
      <c r="G105" s="310"/>
      <c r="H105" s="501" t="s">
        <v>20</v>
      </c>
      <c r="I105" s="489">
        <f>SUM(I73:I104)</f>
        <v>3597.7000000000003</v>
      </c>
      <c r="J105" s="269">
        <f>SUM(J73:J104)</f>
        <v>1767.8999999999999</v>
      </c>
      <c r="K105" s="315">
        <f>SUM(K73:K104)</f>
        <v>463.8</v>
      </c>
      <c r="L105" s="257">
        <f>SUM(L73:L104)</f>
        <v>114</v>
      </c>
      <c r="M105" s="597"/>
      <c r="N105" s="295"/>
      <c r="O105" s="267"/>
      <c r="P105" s="276"/>
      <c r="Q105" s="277"/>
    </row>
    <row r="106" spans="1:17" s="65" customFormat="1" ht="15.75" customHeight="1" x14ac:dyDescent="0.35">
      <c r="A106" s="16" t="s">
        <v>11</v>
      </c>
      <c r="B106" s="17" t="s">
        <v>28</v>
      </c>
      <c r="C106" s="54" t="s">
        <v>28</v>
      </c>
      <c r="D106" s="91"/>
      <c r="E106" s="1422" t="s">
        <v>83</v>
      </c>
      <c r="F106" s="1590" t="s">
        <v>156</v>
      </c>
      <c r="G106" s="118"/>
      <c r="H106" s="87"/>
      <c r="I106" s="317"/>
      <c r="J106" s="320"/>
      <c r="K106" s="312"/>
      <c r="L106" s="352"/>
      <c r="M106" s="360"/>
      <c r="N106" s="311"/>
      <c r="O106" s="323"/>
      <c r="P106" s="323"/>
      <c r="Q106" s="126"/>
    </row>
    <row r="107" spans="1:17" s="65" customFormat="1" ht="10.5" customHeight="1" x14ac:dyDescent="0.35">
      <c r="A107" s="543"/>
      <c r="B107" s="544"/>
      <c r="C107" s="545"/>
      <c r="D107" s="573"/>
      <c r="E107" s="1423"/>
      <c r="F107" s="1591"/>
      <c r="G107" s="533"/>
      <c r="H107" s="96"/>
      <c r="I107" s="316"/>
      <c r="J107" s="321"/>
      <c r="K107" s="313"/>
      <c r="L107" s="353"/>
      <c r="M107" s="538"/>
      <c r="N107" s="167"/>
      <c r="O107" s="548"/>
      <c r="P107" s="548"/>
      <c r="Q107" s="127"/>
    </row>
    <row r="108" spans="1:17" s="11" customFormat="1" ht="18" customHeight="1" x14ac:dyDescent="0.35">
      <c r="A108" s="56"/>
      <c r="B108" s="57"/>
      <c r="C108" s="59"/>
      <c r="D108" s="531" t="s">
        <v>11</v>
      </c>
      <c r="E108" s="1414" t="s">
        <v>82</v>
      </c>
      <c r="F108" s="1602" t="s">
        <v>140</v>
      </c>
      <c r="G108" s="1583" t="s">
        <v>135</v>
      </c>
      <c r="H108" s="146" t="s">
        <v>32</v>
      </c>
      <c r="I108" s="26"/>
      <c r="J108" s="318"/>
      <c r="K108" s="514">
        <f>50+12</f>
        <v>62</v>
      </c>
      <c r="L108" s="454">
        <v>380</v>
      </c>
      <c r="M108" s="598" t="s">
        <v>69</v>
      </c>
      <c r="N108" s="263"/>
      <c r="O108" s="237"/>
      <c r="P108" s="237">
        <v>1</v>
      </c>
      <c r="Q108" s="128"/>
    </row>
    <row r="109" spans="1:17" s="11" customFormat="1" ht="18.75" customHeight="1" x14ac:dyDescent="0.35">
      <c r="A109" s="56"/>
      <c r="B109" s="57"/>
      <c r="C109" s="59"/>
      <c r="D109" s="62"/>
      <c r="E109" s="1415"/>
      <c r="F109" s="1602"/>
      <c r="G109" s="1584"/>
      <c r="H109" s="146" t="s">
        <v>81</v>
      </c>
      <c r="I109" s="563"/>
      <c r="J109" s="210"/>
      <c r="K109" s="202"/>
      <c r="L109" s="319"/>
      <c r="M109" s="1503" t="s">
        <v>188</v>
      </c>
      <c r="N109" s="486"/>
      <c r="O109" s="487"/>
      <c r="P109" s="487"/>
      <c r="Q109" s="488">
        <v>20</v>
      </c>
    </row>
    <row r="110" spans="1:17" s="11" customFormat="1" ht="11.25" customHeight="1" x14ac:dyDescent="0.35">
      <c r="A110" s="56"/>
      <c r="B110" s="57"/>
      <c r="C110" s="59"/>
      <c r="D110" s="63"/>
      <c r="E110" s="1416"/>
      <c r="F110" s="1602"/>
      <c r="G110" s="1586"/>
      <c r="H110" s="120"/>
      <c r="I110" s="147"/>
      <c r="J110" s="520"/>
      <c r="K110" s="520"/>
      <c r="L110" s="521"/>
      <c r="M110" s="1554"/>
      <c r="N110" s="251"/>
      <c r="O110" s="550"/>
      <c r="P110" s="550"/>
      <c r="Q110" s="177"/>
    </row>
    <row r="111" spans="1:17" s="65" customFormat="1" ht="15.75" customHeight="1" x14ac:dyDescent="0.35">
      <c r="A111" s="114"/>
      <c r="B111" s="567"/>
      <c r="C111" s="545"/>
      <c r="D111" s="40" t="s">
        <v>21</v>
      </c>
      <c r="E111" s="1354" t="s">
        <v>71</v>
      </c>
      <c r="F111" s="1582"/>
      <c r="G111" s="1592" t="s">
        <v>130</v>
      </c>
      <c r="H111" s="554" t="s">
        <v>74</v>
      </c>
      <c r="I111" s="192">
        <v>6.3</v>
      </c>
      <c r="J111" s="556"/>
      <c r="K111" s="514"/>
      <c r="L111" s="454"/>
      <c r="M111" s="1502" t="s">
        <v>88</v>
      </c>
      <c r="N111" s="437">
        <v>100</v>
      </c>
      <c r="O111" s="549"/>
      <c r="P111" s="549"/>
      <c r="Q111" s="124"/>
    </row>
    <row r="112" spans="1:17" s="65" customFormat="1" ht="15.75" customHeight="1" x14ac:dyDescent="0.35">
      <c r="A112" s="114"/>
      <c r="B112" s="567"/>
      <c r="C112" s="545"/>
      <c r="D112" s="67"/>
      <c r="E112" s="1367"/>
      <c r="F112" s="1582"/>
      <c r="G112" s="1592"/>
      <c r="H112" s="562" t="s">
        <v>75</v>
      </c>
      <c r="I112" s="563">
        <v>12.4</v>
      </c>
      <c r="J112" s="210"/>
      <c r="K112" s="202"/>
      <c r="L112" s="319"/>
      <c r="M112" s="1503"/>
      <c r="N112" s="263"/>
      <c r="O112" s="237"/>
      <c r="P112" s="237"/>
      <c r="Q112" s="128"/>
    </row>
    <row r="113" spans="1:17" s="65" customFormat="1" ht="15.75" customHeight="1" x14ac:dyDescent="0.35">
      <c r="A113" s="114"/>
      <c r="B113" s="567"/>
      <c r="C113" s="545"/>
      <c r="D113" s="55"/>
      <c r="E113" s="1355"/>
      <c r="F113" s="1582"/>
      <c r="G113" s="1592"/>
      <c r="H113" s="562" t="s">
        <v>94</v>
      </c>
      <c r="I113" s="563">
        <v>6.7</v>
      </c>
      <c r="J113" s="210"/>
      <c r="K113" s="202"/>
      <c r="L113" s="319"/>
      <c r="M113" s="1504"/>
      <c r="N113" s="263"/>
      <c r="O113" s="237"/>
      <c r="P113" s="237"/>
      <c r="Q113" s="128"/>
    </row>
    <row r="114" spans="1:17" s="65" customFormat="1" ht="21" customHeight="1" x14ac:dyDescent="0.35">
      <c r="A114" s="114"/>
      <c r="B114" s="567"/>
      <c r="C114" s="419"/>
      <c r="D114" s="1558" t="s">
        <v>28</v>
      </c>
      <c r="E114" s="1354" t="s">
        <v>174</v>
      </c>
      <c r="F114" s="1582"/>
      <c r="G114" s="1592"/>
      <c r="H114" s="1598" t="s">
        <v>32</v>
      </c>
      <c r="I114" s="192"/>
      <c r="J114" s="1600"/>
      <c r="K114" s="1594">
        <v>30.6</v>
      </c>
      <c r="L114" s="1596">
        <v>100</v>
      </c>
      <c r="M114" s="427" t="s">
        <v>176</v>
      </c>
      <c r="N114" s="424"/>
      <c r="O114" s="402"/>
      <c r="P114" s="402"/>
      <c r="Q114" s="403">
        <v>1</v>
      </c>
    </row>
    <row r="115" spans="1:17" s="65" customFormat="1" ht="21" customHeight="1" x14ac:dyDescent="0.35">
      <c r="A115" s="114"/>
      <c r="B115" s="567"/>
      <c r="C115" s="419"/>
      <c r="D115" s="1559"/>
      <c r="E115" s="1355"/>
      <c r="F115" s="1582"/>
      <c r="G115" s="1593"/>
      <c r="H115" s="1599"/>
      <c r="I115" s="564"/>
      <c r="J115" s="1601"/>
      <c r="K115" s="1595"/>
      <c r="L115" s="1597"/>
      <c r="M115" s="262" t="s">
        <v>177</v>
      </c>
      <c r="N115" s="251"/>
      <c r="O115" s="550"/>
      <c r="P115" s="550"/>
      <c r="Q115" s="533"/>
    </row>
    <row r="116" spans="1:17" s="65" customFormat="1" ht="40.5" customHeight="1" x14ac:dyDescent="0.35">
      <c r="A116" s="114"/>
      <c r="B116" s="567"/>
      <c r="C116" s="419"/>
      <c r="D116" s="531" t="s">
        <v>30</v>
      </c>
      <c r="E116" s="421" t="s">
        <v>175</v>
      </c>
      <c r="F116" s="237"/>
      <c r="G116" s="626" t="s">
        <v>135</v>
      </c>
      <c r="H116" s="77" t="s">
        <v>32</v>
      </c>
      <c r="I116" s="247"/>
      <c r="J116" s="420">
        <v>5</v>
      </c>
      <c r="K116" s="249">
        <v>45</v>
      </c>
      <c r="L116" s="426"/>
      <c r="M116" s="425" t="s">
        <v>69</v>
      </c>
      <c r="N116" s="253"/>
      <c r="O116" s="256"/>
      <c r="P116" s="256">
        <v>1</v>
      </c>
      <c r="Q116" s="423"/>
    </row>
    <row r="117" spans="1:17" s="65" customFormat="1" ht="21" customHeight="1" x14ac:dyDescent="0.35">
      <c r="A117" s="114"/>
      <c r="B117" s="567"/>
      <c r="C117" s="419"/>
      <c r="D117" s="531" t="s">
        <v>15</v>
      </c>
      <c r="E117" s="1354" t="s">
        <v>189</v>
      </c>
      <c r="F117" s="237"/>
      <c r="G117" s="1583" t="s">
        <v>194</v>
      </c>
      <c r="H117" s="554" t="s">
        <v>32</v>
      </c>
      <c r="I117" s="192"/>
      <c r="J117" s="514"/>
      <c r="K117" s="514">
        <v>25</v>
      </c>
      <c r="L117" s="454">
        <v>50</v>
      </c>
      <c r="M117" s="479" t="s">
        <v>190</v>
      </c>
      <c r="N117" s="437"/>
      <c r="O117" s="549"/>
      <c r="P117" s="402">
        <v>1</v>
      </c>
      <c r="Q117" s="403"/>
    </row>
    <row r="118" spans="1:17" s="65" customFormat="1" ht="18" customHeight="1" x14ac:dyDescent="0.35">
      <c r="A118" s="114"/>
      <c r="B118" s="567"/>
      <c r="C118" s="419"/>
      <c r="D118" s="150"/>
      <c r="E118" s="1367"/>
      <c r="F118" s="237"/>
      <c r="G118" s="1584"/>
      <c r="H118" s="562"/>
      <c r="I118" s="563"/>
      <c r="J118" s="25"/>
      <c r="K118" s="202"/>
      <c r="L118" s="319"/>
      <c r="M118" s="523" t="s">
        <v>69</v>
      </c>
      <c r="N118" s="524"/>
      <c r="O118" s="405"/>
      <c r="P118" s="237"/>
      <c r="Q118" s="485">
        <v>0.5</v>
      </c>
    </row>
    <row r="119" spans="1:17" s="65" customFormat="1" ht="18" customHeight="1" x14ac:dyDescent="0.35">
      <c r="A119" s="114"/>
      <c r="B119" s="567"/>
      <c r="C119" s="419"/>
      <c r="D119" s="150"/>
      <c r="E119" s="1355"/>
      <c r="F119" s="551"/>
      <c r="G119" s="1585"/>
      <c r="H119" s="555"/>
      <c r="I119" s="564"/>
      <c r="J119" s="520"/>
      <c r="K119" s="520"/>
      <c r="L119" s="521"/>
      <c r="M119" s="404" t="s">
        <v>177</v>
      </c>
      <c r="N119" s="525"/>
      <c r="O119" s="550"/>
      <c r="P119" s="490"/>
      <c r="Q119" s="177"/>
    </row>
    <row r="120" spans="1:17" s="65" customFormat="1" ht="18" customHeight="1" thickBot="1" x14ac:dyDescent="0.35">
      <c r="A120" s="148"/>
      <c r="B120" s="149"/>
      <c r="C120" s="50"/>
      <c r="D120" s="599"/>
      <c r="E120" s="600"/>
      <c r="F120" s="594"/>
      <c r="G120" s="310"/>
      <c r="H120" s="501" t="s">
        <v>20</v>
      </c>
      <c r="I120" s="489">
        <f>SUM(I108:I119)</f>
        <v>25.4</v>
      </c>
      <c r="J120" s="260">
        <f>SUM(J108:J119)</f>
        <v>5</v>
      </c>
      <c r="K120" s="260">
        <f>SUM(K108:K119)</f>
        <v>162.6</v>
      </c>
      <c r="L120" s="260">
        <f>SUM(L108:L119)</f>
        <v>530</v>
      </c>
      <c r="M120" s="601"/>
      <c r="N120" s="266"/>
      <c r="O120" s="276"/>
      <c r="P120" s="267"/>
      <c r="Q120" s="616"/>
    </row>
    <row r="121" spans="1:17" s="65" customFormat="1" ht="17.25" customHeight="1" x14ac:dyDescent="0.35">
      <c r="A121" s="16" t="s">
        <v>11</v>
      </c>
      <c r="B121" s="17" t="s">
        <v>28</v>
      </c>
      <c r="C121" s="54" t="s">
        <v>30</v>
      </c>
      <c r="D121" s="18"/>
      <c r="E121" s="19" t="s">
        <v>43</v>
      </c>
      <c r="F121" s="102"/>
      <c r="G121" s="602"/>
      <c r="H121" s="81"/>
      <c r="I121" s="322"/>
      <c r="J121" s="361"/>
      <c r="K121" s="362"/>
      <c r="L121" s="170"/>
      <c r="M121" s="359"/>
      <c r="N121" s="363"/>
      <c r="O121" s="364"/>
      <c r="P121" s="364"/>
      <c r="Q121" s="358"/>
    </row>
    <row r="122" spans="1:17" s="65" customFormat="1" ht="15" customHeight="1" x14ac:dyDescent="0.35">
      <c r="A122" s="1570"/>
      <c r="B122" s="1571"/>
      <c r="C122" s="1572"/>
      <c r="D122" s="572" t="s">
        <v>11</v>
      </c>
      <c r="E122" s="1573" t="s">
        <v>63</v>
      </c>
      <c r="F122" s="1577" t="s">
        <v>140</v>
      </c>
      <c r="G122" s="1560" t="s">
        <v>132</v>
      </c>
      <c r="H122" s="93" t="s">
        <v>23</v>
      </c>
      <c r="I122" s="192">
        <v>45</v>
      </c>
      <c r="J122" s="556">
        <v>30</v>
      </c>
      <c r="K122" s="514">
        <v>30</v>
      </c>
      <c r="L122" s="169">
        <v>30</v>
      </c>
      <c r="M122" s="1502" t="s">
        <v>89</v>
      </c>
      <c r="N122" s="342" t="s">
        <v>127</v>
      </c>
      <c r="O122" s="289" t="s">
        <v>178</v>
      </c>
      <c r="P122" s="289" t="s">
        <v>178</v>
      </c>
      <c r="Q122" s="283" t="s">
        <v>178</v>
      </c>
    </row>
    <row r="123" spans="1:17" s="65" customFormat="1" ht="11.25" customHeight="1" x14ac:dyDescent="0.35">
      <c r="A123" s="1570"/>
      <c r="B123" s="1571"/>
      <c r="C123" s="1572"/>
      <c r="D123" s="573"/>
      <c r="E123" s="1348"/>
      <c r="F123" s="1578"/>
      <c r="G123" s="1580"/>
      <c r="H123" s="97"/>
      <c r="I123" s="563"/>
      <c r="J123" s="210"/>
      <c r="K123" s="202"/>
      <c r="L123" s="25"/>
      <c r="M123" s="1503"/>
      <c r="N123" s="603"/>
      <c r="O123" s="365"/>
      <c r="P123" s="365"/>
      <c r="Q123" s="356"/>
    </row>
    <row r="124" spans="1:17" s="65" customFormat="1" ht="14.25" customHeight="1" x14ac:dyDescent="0.35">
      <c r="A124" s="1570"/>
      <c r="B124" s="1571"/>
      <c r="C124" s="1572"/>
      <c r="D124" s="39"/>
      <c r="E124" s="1574"/>
      <c r="F124" s="1579"/>
      <c r="G124" s="1581"/>
      <c r="H124" s="555"/>
      <c r="I124" s="564"/>
      <c r="J124" s="557"/>
      <c r="K124" s="520"/>
      <c r="L124" s="33"/>
      <c r="M124" s="1504"/>
      <c r="N124" s="604"/>
      <c r="O124" s="366"/>
      <c r="P124" s="366"/>
      <c r="Q124" s="357"/>
    </row>
    <row r="125" spans="1:17" s="65" customFormat="1" ht="26.25" customHeight="1" x14ac:dyDescent="0.35">
      <c r="A125" s="1395"/>
      <c r="B125" s="1399"/>
      <c r="C125" s="1463"/>
      <c r="D125" s="1565" t="s">
        <v>21</v>
      </c>
      <c r="E125" s="1354" t="s">
        <v>112</v>
      </c>
      <c r="F125" s="1389"/>
      <c r="G125" s="1567"/>
      <c r="H125" s="60" t="s">
        <v>23</v>
      </c>
      <c r="I125" s="192">
        <v>33.5</v>
      </c>
      <c r="J125" s="632">
        <v>33.6</v>
      </c>
      <c r="K125" s="514">
        <v>14.4</v>
      </c>
      <c r="L125" s="169">
        <v>12.6</v>
      </c>
      <c r="M125" s="561" t="s">
        <v>76</v>
      </c>
      <c r="N125" s="471">
        <v>1875</v>
      </c>
      <c r="O125" s="367">
        <v>2300</v>
      </c>
      <c r="P125" s="367">
        <v>1000</v>
      </c>
      <c r="Q125" s="355">
        <v>1000</v>
      </c>
    </row>
    <row r="126" spans="1:17" s="65" customFormat="1" ht="14.25" customHeight="1" x14ac:dyDescent="0.35">
      <c r="A126" s="1461"/>
      <c r="B126" s="1462"/>
      <c r="C126" s="1464"/>
      <c r="D126" s="1566"/>
      <c r="E126" s="1388"/>
      <c r="F126" s="1389"/>
      <c r="G126" s="1567"/>
      <c r="H126" s="37" t="s">
        <v>44</v>
      </c>
      <c r="I126" s="563">
        <v>30</v>
      </c>
      <c r="J126" s="629"/>
      <c r="K126" s="629"/>
      <c r="L126" s="630"/>
      <c r="M126" s="1532" t="s">
        <v>119</v>
      </c>
      <c r="N126" s="472">
        <v>8.4</v>
      </c>
      <c r="O126" s="368">
        <v>8.3000000000000007</v>
      </c>
      <c r="P126" s="368">
        <v>6</v>
      </c>
      <c r="Q126" s="354">
        <v>6</v>
      </c>
    </row>
    <row r="127" spans="1:17" s="65" customFormat="1" ht="13.5" customHeight="1" x14ac:dyDescent="0.35">
      <c r="A127" s="1461"/>
      <c r="B127" s="1462"/>
      <c r="C127" s="1464"/>
      <c r="D127" s="1566"/>
      <c r="E127" s="1388"/>
      <c r="F127" s="1389"/>
      <c r="G127" s="1567"/>
      <c r="H127" s="37" t="s">
        <v>213</v>
      </c>
      <c r="I127" s="563"/>
      <c r="J127" s="210">
        <v>30</v>
      </c>
      <c r="K127" s="202">
        <v>25</v>
      </c>
      <c r="L127" s="25">
        <v>20</v>
      </c>
      <c r="M127" s="1569"/>
      <c r="N127" s="473"/>
      <c r="O127" s="369"/>
      <c r="P127" s="369"/>
      <c r="Q127" s="129"/>
    </row>
    <row r="128" spans="1:17" s="65" customFormat="1" ht="16.5" customHeight="1" x14ac:dyDescent="0.35">
      <c r="A128" s="1461"/>
      <c r="B128" s="1462"/>
      <c r="C128" s="1464"/>
      <c r="D128" s="1565"/>
      <c r="E128" s="1384"/>
      <c r="F128" s="1390"/>
      <c r="G128" s="1568"/>
      <c r="H128" s="95"/>
      <c r="I128" s="564"/>
      <c r="J128" s="557"/>
      <c r="K128" s="520"/>
      <c r="L128" s="33"/>
      <c r="M128" s="371" t="s">
        <v>120</v>
      </c>
      <c r="N128" s="474">
        <v>1</v>
      </c>
      <c r="O128" s="370"/>
      <c r="P128" s="370">
        <v>1</v>
      </c>
      <c r="Q128" s="130"/>
    </row>
    <row r="129" spans="1:17" s="65" customFormat="1" ht="18" customHeight="1" thickBot="1" x14ac:dyDescent="0.35">
      <c r="A129" s="148"/>
      <c r="B129" s="149"/>
      <c r="C129" s="50"/>
      <c r="D129" s="605"/>
      <c r="E129" s="600"/>
      <c r="F129" s="606"/>
      <c r="G129" s="607"/>
      <c r="H129" s="68" t="s">
        <v>20</v>
      </c>
      <c r="I129" s="197">
        <f>SUM(I122:I128)</f>
        <v>108.5</v>
      </c>
      <c r="J129" s="214">
        <f>SUM(J122:J128)</f>
        <v>93.6</v>
      </c>
      <c r="K129" s="206">
        <f t="shared" ref="K129" si="3">SUM(K122:K128)</f>
        <v>69.400000000000006</v>
      </c>
      <c r="L129" s="314">
        <f>SUM(L122:L128)</f>
        <v>62.6</v>
      </c>
      <c r="M129" s="608"/>
      <c r="N129" s="372"/>
      <c r="O129" s="276"/>
      <c r="P129" s="276"/>
      <c r="Q129" s="268"/>
    </row>
    <row r="130" spans="1:17" s="65" customFormat="1" ht="15" customHeight="1" thickBot="1" x14ac:dyDescent="0.4">
      <c r="A130" s="12" t="s">
        <v>11</v>
      </c>
      <c r="B130" s="9" t="s">
        <v>28</v>
      </c>
      <c r="C130" s="1357" t="s">
        <v>33</v>
      </c>
      <c r="D130" s="1357"/>
      <c r="E130" s="1357"/>
      <c r="F130" s="1357"/>
      <c r="G130" s="1357"/>
      <c r="H130" s="1357"/>
      <c r="I130" s="258">
        <f>I129+I120+I105+I71</f>
        <v>4006.7000000000003</v>
      </c>
      <c r="J130" s="270">
        <f>J129+J120+J105+J71</f>
        <v>2019.4999999999998</v>
      </c>
      <c r="K130" s="392">
        <f>K129+K120+K105+K71</f>
        <v>859.3</v>
      </c>
      <c r="L130" s="259">
        <f>L129+L120+L105+L71</f>
        <v>1440.1</v>
      </c>
      <c r="M130" s="1379"/>
      <c r="N130" s="1380"/>
      <c r="O130" s="1380"/>
      <c r="P130" s="1380"/>
      <c r="Q130" s="1381"/>
    </row>
    <row r="131" spans="1:17" s="65" customFormat="1" ht="16.5" customHeight="1" thickBot="1" x14ac:dyDescent="0.4">
      <c r="A131" s="8" t="s">
        <v>11</v>
      </c>
      <c r="B131" s="9" t="s">
        <v>30</v>
      </c>
      <c r="C131" s="1440" t="s">
        <v>72</v>
      </c>
      <c r="D131" s="1440"/>
      <c r="E131" s="1440"/>
      <c r="F131" s="1440"/>
      <c r="G131" s="1440"/>
      <c r="H131" s="1440"/>
      <c r="I131" s="1440"/>
      <c r="J131" s="1440"/>
      <c r="K131" s="1440"/>
      <c r="L131" s="1440"/>
      <c r="M131" s="1440"/>
      <c r="N131" s="1440"/>
      <c r="O131" s="1440"/>
      <c r="P131" s="1440"/>
      <c r="Q131" s="1441"/>
    </row>
    <row r="132" spans="1:17" s="65" customFormat="1" ht="30" customHeight="1" x14ac:dyDescent="0.35">
      <c r="A132" s="16" t="s">
        <v>11</v>
      </c>
      <c r="B132" s="694" t="s">
        <v>30</v>
      </c>
      <c r="C132" s="695" t="s">
        <v>11</v>
      </c>
      <c r="D132" s="18"/>
      <c r="E132" s="645" t="s">
        <v>122</v>
      </c>
      <c r="F132" s="685"/>
      <c r="G132" s="686"/>
      <c r="H132" s="687"/>
      <c r="I132" s="693"/>
      <c r="J132" s="362"/>
      <c r="K132" s="320"/>
      <c r="L132" s="700"/>
      <c r="M132" s="359"/>
      <c r="N132" s="701"/>
      <c r="O132" s="364"/>
      <c r="P132" s="689"/>
      <c r="Q132" s="690"/>
    </row>
    <row r="133" spans="1:17" s="65" customFormat="1" ht="19.5" customHeight="1" x14ac:dyDescent="0.35">
      <c r="A133" s="114"/>
      <c r="B133" s="570"/>
      <c r="C133" s="696"/>
      <c r="D133" s="76" t="s">
        <v>11</v>
      </c>
      <c r="E133" s="1354" t="s">
        <v>84</v>
      </c>
      <c r="F133" s="644" t="s">
        <v>31</v>
      </c>
      <c r="G133" s="1560" t="s">
        <v>130</v>
      </c>
      <c r="H133" s="92" t="s">
        <v>74</v>
      </c>
      <c r="I133" s="192">
        <v>80.400000000000006</v>
      </c>
      <c r="J133" s="202">
        <v>0.2</v>
      </c>
      <c r="K133" s="646"/>
      <c r="L133" s="647"/>
      <c r="M133" s="649" t="s">
        <v>65</v>
      </c>
      <c r="N133" s="697" t="s">
        <v>114</v>
      </c>
      <c r="O133" s="698"/>
      <c r="P133" s="702"/>
      <c r="Q133" s="699"/>
    </row>
    <row r="134" spans="1:17" s="65" customFormat="1" ht="19.5" customHeight="1" x14ac:dyDescent="0.35">
      <c r="A134" s="114"/>
      <c r="B134" s="570"/>
      <c r="C134" s="571"/>
      <c r="D134" s="64"/>
      <c r="E134" s="1442"/>
      <c r="F134" s="573" t="s">
        <v>123</v>
      </c>
      <c r="G134" s="1562"/>
      <c r="H134" s="97" t="s">
        <v>75</v>
      </c>
      <c r="I134" s="563">
        <v>419.2</v>
      </c>
      <c r="J134" s="202"/>
      <c r="K134" s="202"/>
      <c r="L134" s="377"/>
      <c r="M134" s="1563" t="s">
        <v>105</v>
      </c>
      <c r="N134" s="476" t="s">
        <v>106</v>
      </c>
      <c r="O134" s="492" t="s">
        <v>106</v>
      </c>
      <c r="P134" s="393"/>
      <c r="Q134" s="374"/>
    </row>
    <row r="135" spans="1:17" s="65" customFormat="1" ht="19.5" customHeight="1" x14ac:dyDescent="0.35">
      <c r="A135" s="114"/>
      <c r="B135" s="570"/>
      <c r="C135" s="571"/>
      <c r="D135" s="64"/>
      <c r="E135" s="1442"/>
      <c r="F135" s="573"/>
      <c r="G135" s="1562"/>
      <c r="H135" s="97" t="s">
        <v>27</v>
      </c>
      <c r="I135" s="563">
        <v>19.8</v>
      </c>
      <c r="J135" s="202">
        <v>3.1</v>
      </c>
      <c r="K135" s="202"/>
      <c r="L135" s="377"/>
      <c r="M135" s="1564"/>
      <c r="N135" s="476"/>
      <c r="O135" s="393"/>
      <c r="P135" s="393"/>
      <c r="Q135" s="374"/>
    </row>
    <row r="136" spans="1:17" s="65" customFormat="1" ht="19.5" customHeight="1" x14ac:dyDescent="0.35">
      <c r="A136" s="114"/>
      <c r="B136" s="570"/>
      <c r="C136" s="571"/>
      <c r="D136" s="64"/>
      <c r="E136" s="1423"/>
      <c r="F136" s="573"/>
      <c r="G136" s="536"/>
      <c r="H136" s="38" t="s">
        <v>94</v>
      </c>
      <c r="I136" s="564">
        <v>147.80000000000001</v>
      </c>
      <c r="J136" s="627">
        <v>18.3</v>
      </c>
      <c r="K136" s="520"/>
      <c r="L136" s="378"/>
      <c r="M136" s="376"/>
      <c r="N136" s="609"/>
      <c r="O136" s="394"/>
      <c r="P136" s="394"/>
      <c r="Q136" s="373"/>
    </row>
    <row r="137" spans="1:17" s="61" customFormat="1" ht="15.75" customHeight="1" x14ac:dyDescent="0.35">
      <c r="A137" s="114"/>
      <c r="B137" s="570"/>
      <c r="C137" s="571"/>
      <c r="D137" s="531" t="s">
        <v>21</v>
      </c>
      <c r="E137" s="1354" t="s">
        <v>143</v>
      </c>
      <c r="F137" s="713" t="s">
        <v>31</v>
      </c>
      <c r="G137" s="1560" t="s">
        <v>130</v>
      </c>
      <c r="H137" s="554" t="s">
        <v>32</v>
      </c>
      <c r="I137" s="192">
        <v>8.4</v>
      </c>
      <c r="J137" s="202">
        <f>463.4-160</f>
        <v>303.39999999999998</v>
      </c>
      <c r="K137" s="202">
        <v>160</v>
      </c>
      <c r="L137" s="377"/>
      <c r="M137" s="401" t="s">
        <v>69</v>
      </c>
      <c r="N137" s="475">
        <v>1</v>
      </c>
      <c r="O137" s="428"/>
      <c r="P137" s="428"/>
      <c r="Q137" s="429"/>
    </row>
    <row r="138" spans="1:17" s="61" customFormat="1" ht="15.75" customHeight="1" x14ac:dyDescent="0.35">
      <c r="A138" s="114"/>
      <c r="B138" s="570"/>
      <c r="C138" s="571"/>
      <c r="D138" s="150"/>
      <c r="E138" s="1428"/>
      <c r="F138" s="761" t="s">
        <v>240</v>
      </c>
      <c r="G138" s="1562"/>
      <c r="H138" s="97" t="s">
        <v>74</v>
      </c>
      <c r="I138" s="563"/>
      <c r="J138" s="202">
        <v>8.4</v>
      </c>
      <c r="K138" s="202"/>
      <c r="L138" s="377"/>
      <c r="M138" s="375" t="s">
        <v>121</v>
      </c>
      <c r="N138" s="462"/>
      <c r="O138" s="294">
        <v>100</v>
      </c>
      <c r="P138" s="294"/>
      <c r="Q138" s="287"/>
    </row>
    <row r="139" spans="1:17" s="61" customFormat="1" ht="23.25" customHeight="1" x14ac:dyDescent="0.35">
      <c r="A139" s="114"/>
      <c r="B139" s="570"/>
      <c r="C139" s="571"/>
      <c r="D139" s="532"/>
      <c r="E139" s="1384"/>
      <c r="F139" s="39"/>
      <c r="G139" s="533"/>
      <c r="H139" s="555"/>
      <c r="I139" s="564"/>
      <c r="J139" s="520"/>
      <c r="K139" s="520"/>
      <c r="L139" s="378"/>
      <c r="M139" s="610"/>
      <c r="N139" s="348"/>
      <c r="O139" s="236"/>
      <c r="P139" s="236"/>
      <c r="Q139" s="224"/>
    </row>
    <row r="140" spans="1:17" s="61" customFormat="1" ht="40.5" customHeight="1" x14ac:dyDescent="0.35">
      <c r="A140" s="114"/>
      <c r="B140" s="570"/>
      <c r="C140" s="502"/>
      <c r="D140" s="1558" t="s">
        <v>28</v>
      </c>
      <c r="E140" s="1297" t="s">
        <v>206</v>
      </c>
      <c r="F140" s="725" t="s">
        <v>31</v>
      </c>
      <c r="G140" s="1560" t="s">
        <v>135</v>
      </c>
      <c r="H140" s="73" t="s">
        <v>32</v>
      </c>
      <c r="I140" s="448"/>
      <c r="J140" s="439">
        <v>40</v>
      </c>
      <c r="K140" s="439">
        <f>207-7</f>
        <v>200</v>
      </c>
      <c r="L140" s="377"/>
      <c r="M140" s="404" t="s">
        <v>177</v>
      </c>
      <c r="N140" s="611"/>
      <c r="O140" s="402">
        <v>40</v>
      </c>
      <c r="P140" s="237">
        <v>100</v>
      </c>
      <c r="Q140" s="529"/>
    </row>
    <row r="141" spans="1:17" s="61" customFormat="1" ht="20.5" customHeight="1" x14ac:dyDescent="0.35">
      <c r="A141" s="114"/>
      <c r="B141" s="570"/>
      <c r="C141" s="502"/>
      <c r="D141" s="1559"/>
      <c r="E141" s="1299"/>
      <c r="F141" s="504"/>
      <c r="G141" s="1561"/>
      <c r="H141" s="507" t="s">
        <v>23</v>
      </c>
      <c r="I141" s="563"/>
      <c r="J141" s="445">
        <v>80</v>
      </c>
      <c r="K141" s="202"/>
      <c r="L141" s="446"/>
      <c r="M141" s="527"/>
      <c r="N141" s="528"/>
      <c r="O141" s="237"/>
      <c r="P141" s="487"/>
      <c r="Q141" s="530"/>
    </row>
    <row r="142" spans="1:17" s="65" customFormat="1" ht="15" customHeight="1" thickBot="1" x14ac:dyDescent="0.35">
      <c r="A142" s="148"/>
      <c r="B142" s="149"/>
      <c r="C142" s="407"/>
      <c r="D142" s="621"/>
      <c r="E142" s="622"/>
      <c r="F142" s="503"/>
      <c r="G142" s="623"/>
      <c r="H142" s="624" t="s">
        <v>20</v>
      </c>
      <c r="I142" s="489">
        <f>SUM(I133:I141)</f>
        <v>675.6</v>
      </c>
      <c r="J142" s="206">
        <f>SUM(J133:J141)</f>
        <v>453.4</v>
      </c>
      <c r="K142" s="269">
        <f>SUM(K133:K141)</f>
        <v>360</v>
      </c>
      <c r="L142" s="314">
        <f>SUM(L133:L141)</f>
        <v>0</v>
      </c>
      <c r="M142" s="601"/>
      <c r="N142" s="266"/>
      <c r="O142" s="267"/>
      <c r="P142" s="267"/>
      <c r="Q142" s="277"/>
    </row>
    <row r="143" spans="1:17" s="65" customFormat="1" ht="15.75" customHeight="1" thickBot="1" x14ac:dyDescent="0.4">
      <c r="A143" s="43" t="s">
        <v>11</v>
      </c>
      <c r="B143" s="113" t="s">
        <v>30</v>
      </c>
      <c r="C143" s="1434" t="s">
        <v>33</v>
      </c>
      <c r="D143" s="1435"/>
      <c r="E143" s="1435"/>
      <c r="F143" s="1435"/>
      <c r="G143" s="1435"/>
      <c r="H143" s="1436"/>
      <c r="I143" s="386">
        <f t="shared" ref="I143:L143" si="4">I142</f>
        <v>675.6</v>
      </c>
      <c r="J143" s="389">
        <f t="shared" si="4"/>
        <v>453.4</v>
      </c>
      <c r="K143" s="389">
        <f t="shared" si="4"/>
        <v>360</v>
      </c>
      <c r="L143" s="384">
        <f t="shared" si="4"/>
        <v>0</v>
      </c>
      <c r="M143" s="1380"/>
      <c r="N143" s="1380"/>
      <c r="O143" s="1380"/>
      <c r="P143" s="1380"/>
      <c r="Q143" s="1381"/>
    </row>
    <row r="144" spans="1:17" s="65" customFormat="1" ht="15.75" customHeight="1" thickBot="1" x14ac:dyDescent="0.4">
      <c r="A144" s="12" t="s">
        <v>11</v>
      </c>
      <c r="B144" s="1443" t="s">
        <v>45</v>
      </c>
      <c r="C144" s="1444"/>
      <c r="D144" s="1444"/>
      <c r="E144" s="1444"/>
      <c r="F144" s="1444"/>
      <c r="G144" s="1444"/>
      <c r="H144" s="1444"/>
      <c r="I144" s="387">
        <f>I130+I52+I34+I143</f>
        <v>10103.699999999999</v>
      </c>
      <c r="J144" s="390">
        <f>J130+J52+J34+J143</f>
        <v>7942.6999999999989</v>
      </c>
      <c r="K144" s="390">
        <f>K130+K52+K34+K143</f>
        <v>6680.3</v>
      </c>
      <c r="L144" s="385">
        <f>L130+L52+L34+L143</f>
        <v>6787.2999999999993</v>
      </c>
      <c r="M144" s="380"/>
      <c r="N144" s="380"/>
      <c r="O144" s="380"/>
      <c r="P144" s="380"/>
      <c r="Q144" s="381"/>
    </row>
    <row r="145" spans="1:31" s="65" customFormat="1" ht="15.75" customHeight="1" thickBot="1" x14ac:dyDescent="0.4">
      <c r="A145" s="20" t="s">
        <v>15</v>
      </c>
      <c r="B145" s="1446" t="s">
        <v>46</v>
      </c>
      <c r="C145" s="1447"/>
      <c r="D145" s="1447"/>
      <c r="E145" s="1447"/>
      <c r="F145" s="1447"/>
      <c r="G145" s="1447"/>
      <c r="H145" s="1447"/>
      <c r="I145" s="388">
        <f t="shared" ref="I145:L145" si="5">I144</f>
        <v>10103.699999999999</v>
      </c>
      <c r="J145" s="391">
        <f t="shared" si="5"/>
        <v>7942.6999999999989</v>
      </c>
      <c r="K145" s="391">
        <f t="shared" si="5"/>
        <v>6680.3</v>
      </c>
      <c r="L145" s="379">
        <f t="shared" si="5"/>
        <v>6787.2999999999993</v>
      </c>
      <c r="M145" s="382"/>
      <c r="N145" s="382"/>
      <c r="O145" s="382"/>
      <c r="P145" s="382"/>
      <c r="Q145" s="383"/>
    </row>
    <row r="146" spans="1:31" s="45" customFormat="1" ht="21" customHeight="1" x14ac:dyDescent="0.35">
      <c r="A146" s="1449" t="s">
        <v>198</v>
      </c>
      <c r="B146" s="1450"/>
      <c r="C146" s="1450"/>
      <c r="D146" s="1450"/>
      <c r="E146" s="1450"/>
      <c r="F146" s="1450"/>
      <c r="G146" s="1450"/>
      <c r="H146" s="1450"/>
      <c r="I146" s="1450"/>
      <c r="J146" s="171"/>
      <c r="K146" s="171"/>
      <c r="L146" s="171"/>
      <c r="M146" s="88"/>
      <c r="N146" s="88"/>
      <c r="O146" s="88"/>
      <c r="P146" s="88"/>
      <c r="Q146" s="88"/>
      <c r="R146" s="65"/>
      <c r="S146" s="65"/>
      <c r="T146" s="65"/>
      <c r="U146" s="65"/>
      <c r="V146" s="65"/>
      <c r="W146" s="65"/>
      <c r="X146" s="65"/>
      <c r="Y146" s="65"/>
      <c r="Z146" s="65"/>
      <c r="AA146" s="65"/>
      <c r="AB146" s="65"/>
      <c r="AC146" s="65"/>
      <c r="AD146" s="65"/>
      <c r="AE146" s="65"/>
    </row>
    <row r="147" spans="1:31" s="46" customFormat="1" ht="17.25" customHeight="1" x14ac:dyDescent="0.35">
      <c r="A147" s="88"/>
      <c r="B147" s="612"/>
      <c r="C147" s="612"/>
      <c r="D147" s="612"/>
      <c r="E147" s="612"/>
      <c r="F147" s="613"/>
      <c r="G147" s="612"/>
      <c r="H147" s="612"/>
      <c r="I147" s="614"/>
      <c r="J147" s="614"/>
      <c r="K147" s="614"/>
      <c r="L147" s="614"/>
      <c r="M147" s="615"/>
      <c r="N147" s="88"/>
      <c r="O147" s="88"/>
      <c r="P147" s="88"/>
      <c r="Q147" s="88"/>
      <c r="R147" s="65"/>
      <c r="S147" s="65"/>
      <c r="T147" s="65"/>
      <c r="U147" s="65"/>
      <c r="V147" s="65"/>
      <c r="W147" s="65"/>
      <c r="X147" s="65"/>
      <c r="Y147" s="65"/>
      <c r="Z147" s="65"/>
      <c r="AA147" s="65"/>
      <c r="AB147" s="65"/>
      <c r="AC147" s="65"/>
      <c r="AD147" s="65"/>
      <c r="AE147" s="65"/>
    </row>
    <row r="148" spans="1:31" s="21" customFormat="1" ht="16.5" customHeight="1" thickBot="1" x14ac:dyDescent="0.4">
      <c r="A148" s="1451" t="s">
        <v>47</v>
      </c>
      <c r="B148" s="1451"/>
      <c r="C148" s="1451"/>
      <c r="D148" s="1451"/>
      <c r="E148" s="1451"/>
      <c r="F148" s="1451"/>
      <c r="G148" s="1451"/>
      <c r="H148" s="1451"/>
      <c r="I148" s="22"/>
      <c r="J148" s="22"/>
      <c r="K148" s="22"/>
      <c r="L148" s="22"/>
      <c r="M148" s="6"/>
      <c r="N148" s="6"/>
      <c r="O148" s="6"/>
      <c r="P148" s="6"/>
      <c r="Q148" s="6"/>
      <c r="R148" s="65"/>
      <c r="S148" s="65"/>
      <c r="T148" s="65"/>
      <c r="U148" s="65"/>
      <c r="V148" s="65"/>
      <c r="W148" s="65"/>
      <c r="X148" s="65"/>
      <c r="Y148" s="65"/>
      <c r="Z148" s="65"/>
      <c r="AA148" s="65"/>
      <c r="AB148" s="65"/>
      <c r="AC148" s="65"/>
      <c r="AD148" s="65"/>
      <c r="AE148" s="65"/>
    </row>
    <row r="149" spans="1:31" s="65" customFormat="1" ht="64.5" customHeight="1" thickBot="1" x14ac:dyDescent="0.4">
      <c r="A149" s="1485" t="s">
        <v>48</v>
      </c>
      <c r="B149" s="1486"/>
      <c r="C149" s="1486"/>
      <c r="D149" s="1486"/>
      <c r="E149" s="1486"/>
      <c r="F149" s="1486"/>
      <c r="G149" s="1486"/>
      <c r="H149" s="1487"/>
      <c r="I149" s="430" t="s">
        <v>167</v>
      </c>
      <c r="J149" s="430" t="s">
        <v>158</v>
      </c>
      <c r="K149" s="430" t="s">
        <v>159</v>
      </c>
      <c r="L149" s="430" t="s">
        <v>160</v>
      </c>
      <c r="M149" s="1"/>
      <c r="N149" s="1"/>
      <c r="O149" s="1"/>
      <c r="P149" s="1"/>
      <c r="Q149" s="1"/>
    </row>
    <row r="150" spans="1:31" s="65" customFormat="1" x14ac:dyDescent="0.35">
      <c r="A150" s="1488" t="s">
        <v>49</v>
      </c>
      <c r="B150" s="1489"/>
      <c r="C150" s="1489"/>
      <c r="D150" s="1489"/>
      <c r="E150" s="1489"/>
      <c r="F150" s="1489"/>
      <c r="G150" s="1489"/>
      <c r="H150" s="1490"/>
      <c r="I150" s="82">
        <f>I151+I158+I159+I161+I160+I162</f>
        <v>9992.9999999999982</v>
      </c>
      <c r="J150" s="82">
        <f t="shared" ref="J150:L150" si="6">J151+J158+J159+J161+J160+J162</f>
        <v>7890.7</v>
      </c>
      <c r="K150" s="82">
        <f t="shared" si="6"/>
        <v>6633.3</v>
      </c>
      <c r="L150" s="82">
        <f t="shared" si="6"/>
        <v>6585</v>
      </c>
      <c r="M150" s="23"/>
      <c r="N150" s="1"/>
      <c r="O150" s="1"/>
      <c r="P150" s="1"/>
      <c r="Q150" s="1"/>
    </row>
    <row r="151" spans="1:31" s="65" customFormat="1" ht="12.75" customHeight="1" x14ac:dyDescent="0.3">
      <c r="A151" s="1437" t="s">
        <v>50</v>
      </c>
      <c r="B151" s="1438"/>
      <c r="C151" s="1438"/>
      <c r="D151" s="1438"/>
      <c r="E151" s="1438"/>
      <c r="F151" s="1438"/>
      <c r="G151" s="1438"/>
      <c r="H151" s="1439"/>
      <c r="I151" s="30">
        <f>SUM(I152:I157)</f>
        <v>8245.7999999999993</v>
      </c>
      <c r="J151" s="30">
        <f t="shared" ref="J151:L151" si="7">SUM(J152:J157)</f>
        <v>7071.2</v>
      </c>
      <c r="K151" s="30">
        <f t="shared" si="7"/>
        <v>6347</v>
      </c>
      <c r="L151" s="30">
        <f t="shared" si="7"/>
        <v>6585</v>
      </c>
      <c r="M151" s="23"/>
      <c r="N151" s="1"/>
      <c r="O151" s="1"/>
      <c r="P151" s="1"/>
      <c r="Q151" s="1"/>
    </row>
    <row r="152" spans="1:31" s="65" customFormat="1" x14ac:dyDescent="0.35">
      <c r="A152" s="1493" t="s">
        <v>51</v>
      </c>
      <c r="B152" s="1494"/>
      <c r="C152" s="1494"/>
      <c r="D152" s="1494"/>
      <c r="E152" s="1494"/>
      <c r="F152" s="1494"/>
      <c r="G152" s="1494"/>
      <c r="H152" s="1495"/>
      <c r="I152" s="31">
        <f>SUMIF(H14:H145,"SB",I14:I145)</f>
        <v>332.99999999999989</v>
      </c>
      <c r="J152" s="31">
        <f>SUMIF(H14:H145,"SB",J14:J145)</f>
        <v>1121.1999999999998</v>
      </c>
      <c r="K152" s="31">
        <f>SUMIF(H14:H145,"SB",K14:K145)</f>
        <v>870.7</v>
      </c>
      <c r="L152" s="31">
        <f>SUMIF(H14:H145,"SB",L14:L145)</f>
        <v>1030</v>
      </c>
      <c r="M152" s="23"/>
      <c r="N152" s="1"/>
      <c r="O152" s="1"/>
      <c r="P152" s="1"/>
      <c r="Q152" s="1"/>
    </row>
    <row r="153" spans="1:31" s="65" customFormat="1" ht="14.25" customHeight="1" x14ac:dyDescent="0.35">
      <c r="A153" s="1496" t="s">
        <v>110</v>
      </c>
      <c r="B153" s="1497"/>
      <c r="C153" s="1497"/>
      <c r="D153" s="1497"/>
      <c r="E153" s="1497"/>
      <c r="F153" s="1497"/>
      <c r="G153" s="1497"/>
      <c r="H153" s="1498"/>
      <c r="I153" s="650">
        <f>SUMIF(H14:H145,"SB(AA)",I14:I145)</f>
        <v>472</v>
      </c>
      <c r="J153" s="650">
        <f>SUMIF(H14:H145,"SB(AA)",J14:J145)</f>
        <v>504.00000000000006</v>
      </c>
      <c r="K153" s="650">
        <f>SUMIF(H14:H145,"SB(AA)",K14:K145)</f>
        <v>638.29999999999995</v>
      </c>
      <c r="L153" s="650">
        <f>SUMIF(H14:H145,"SB(AA)",L14:L145)</f>
        <v>717</v>
      </c>
      <c r="M153" s="23"/>
      <c r="N153" s="1"/>
      <c r="O153" s="1"/>
      <c r="P153" s="1"/>
      <c r="Q153" s="1"/>
    </row>
    <row r="154" spans="1:31" s="65" customFormat="1" x14ac:dyDescent="0.35">
      <c r="A154" s="1431" t="s">
        <v>52</v>
      </c>
      <c r="B154" s="1432"/>
      <c r="C154" s="1432"/>
      <c r="D154" s="1432"/>
      <c r="E154" s="1432"/>
      <c r="F154" s="1432"/>
      <c r="G154" s="1432"/>
      <c r="H154" s="1433"/>
      <c r="I154" s="31">
        <f>SUMIF(H14:H145,"SB(VR)",I14:I145)</f>
        <v>4861</v>
      </c>
      <c r="J154" s="31">
        <f>SUMIF(H14:H145,"SB(VR)",J14:J145)</f>
        <v>4880</v>
      </c>
      <c r="K154" s="31">
        <f>SUMIF(H14:H145,"SB(VR)",K14:K145)</f>
        <v>4838</v>
      </c>
      <c r="L154" s="31">
        <f>SUMIF(H14:H145,"SB(VR)",L14:L145)</f>
        <v>4838</v>
      </c>
      <c r="M154" s="85"/>
      <c r="N154" s="1"/>
      <c r="O154" s="1"/>
      <c r="P154" s="1"/>
      <c r="Q154" s="1"/>
    </row>
    <row r="155" spans="1:31" s="65" customFormat="1" x14ac:dyDescent="0.35">
      <c r="A155" s="1431" t="s">
        <v>53</v>
      </c>
      <c r="B155" s="1432"/>
      <c r="C155" s="1432"/>
      <c r="D155" s="1432"/>
      <c r="E155" s="1432"/>
      <c r="F155" s="1432"/>
      <c r="G155" s="1432"/>
      <c r="H155" s="1433"/>
      <c r="I155" s="31">
        <f>SUMIF(H14:H145,"SB(VB)",I14:I145)</f>
        <v>190</v>
      </c>
      <c r="J155" s="31">
        <f>SUMIF(H14:H145,"SB(VB)",J14:J145)</f>
        <v>44.7</v>
      </c>
      <c r="K155" s="31">
        <f>SUMIF(H14:H145,"SB(VB)",K14:K145)</f>
        <v>0</v>
      </c>
      <c r="L155" s="31">
        <f>SUMIF(H14:H145,"SB(VB)",L14:L145)</f>
        <v>0</v>
      </c>
      <c r="M155" s="23"/>
      <c r="N155" s="1"/>
      <c r="O155" s="1"/>
      <c r="P155" s="1"/>
      <c r="Q155" s="1"/>
    </row>
    <row r="156" spans="1:31" s="65" customFormat="1" ht="27" customHeight="1" x14ac:dyDescent="0.35">
      <c r="A156" s="1431" t="s">
        <v>98</v>
      </c>
      <c r="B156" s="1432"/>
      <c r="C156" s="1432"/>
      <c r="D156" s="1432"/>
      <c r="E156" s="1432"/>
      <c r="F156" s="1432"/>
      <c r="G156" s="1432"/>
      <c r="H156" s="1433"/>
      <c r="I156" s="31">
        <f>SUMIF(H14:H145,"SB(ESA)",I14:I145)</f>
        <v>0</v>
      </c>
      <c r="J156" s="31">
        <f>SUMIF(H14:H145,"SB(ESA)",J14:J145)</f>
        <v>0</v>
      </c>
      <c r="K156" s="31">
        <f>SUMIF(H33:H144,"SB(ESA)",K34:K145)</f>
        <v>0</v>
      </c>
      <c r="L156" s="31">
        <f>SUMIF(H14:H145,"SB(ESA)",L14:L145)</f>
        <v>0</v>
      </c>
      <c r="M156" s="23"/>
      <c r="N156" s="1"/>
      <c r="O156" s="1"/>
      <c r="P156" s="1"/>
      <c r="Q156" s="1"/>
    </row>
    <row r="157" spans="1:31" s="65" customFormat="1" ht="27.75" customHeight="1" x14ac:dyDescent="0.35">
      <c r="A157" s="1431" t="s">
        <v>208</v>
      </c>
      <c r="B157" s="1432"/>
      <c r="C157" s="1432"/>
      <c r="D157" s="1432"/>
      <c r="E157" s="1432"/>
      <c r="F157" s="1432"/>
      <c r="G157" s="1432"/>
      <c r="H157" s="1433"/>
      <c r="I157" s="31">
        <f>SUMIF(H14:H145,"SB(ES)",I14:I145)</f>
        <v>2389.7999999999997</v>
      </c>
      <c r="J157" s="31">
        <f>SUMIF(H14:H145,"SB(ES)",J14:J145)</f>
        <v>521.30000000000007</v>
      </c>
      <c r="K157" s="31">
        <f>SUMIF(H14:H145,"SB(ES)",K14:K145)</f>
        <v>0</v>
      </c>
      <c r="L157" s="31">
        <f>SUMIF(H14:H145,"SB(ES)",L14:L145)</f>
        <v>0</v>
      </c>
      <c r="M157" s="85"/>
      <c r="N157" s="515"/>
      <c r="O157" s="1"/>
      <c r="P157" s="1"/>
      <c r="Q157" s="1"/>
    </row>
    <row r="158" spans="1:31" s="65" customFormat="1" ht="13.5" customHeight="1" x14ac:dyDescent="0.35">
      <c r="A158" s="1470" t="s">
        <v>54</v>
      </c>
      <c r="B158" s="1471"/>
      <c r="C158" s="1471"/>
      <c r="D158" s="1471"/>
      <c r="E158" s="1471"/>
      <c r="F158" s="1471"/>
      <c r="G158" s="1471"/>
      <c r="H158" s="1472"/>
      <c r="I158" s="32">
        <f>SUMIF(H14:H145,"SB(AAL)",I14:I145)</f>
        <v>552.5</v>
      </c>
      <c r="J158" s="32">
        <f>SUMIF(H14:H145,"SB(AAL)",J14:J145)</f>
        <v>230.49999999999997</v>
      </c>
      <c r="K158" s="32">
        <f>SUMIF(H14:H145,"SB(AAL)",K14:K145)</f>
        <v>0</v>
      </c>
      <c r="L158" s="32">
        <f>SUMIF(H14:H145,"SB(AAL)",L14:L145)</f>
        <v>0</v>
      </c>
      <c r="M158" s="23"/>
      <c r="N158" s="1"/>
      <c r="O158" s="1"/>
      <c r="P158" s="1"/>
      <c r="Q158" s="1"/>
    </row>
    <row r="159" spans="1:31" s="65" customFormat="1" ht="15" customHeight="1" x14ac:dyDescent="0.35">
      <c r="A159" s="1482" t="s">
        <v>211</v>
      </c>
      <c r="B159" s="1483"/>
      <c r="C159" s="1483"/>
      <c r="D159" s="1483"/>
      <c r="E159" s="1483"/>
      <c r="F159" s="1483"/>
      <c r="G159" s="1483"/>
      <c r="H159" s="1484"/>
      <c r="I159" s="32">
        <f>SUMIF(H14:H145,"SB(ESL)",I14:I145)</f>
        <v>477.3</v>
      </c>
      <c r="J159" s="32">
        <f>SUMIF(H14:H145,"SB(ESL)",J14:J145)</f>
        <v>18.400000000000002</v>
      </c>
      <c r="K159" s="32">
        <f>SUMIF(H14:H145,"SB(ESL)",K14:K145)</f>
        <v>0</v>
      </c>
      <c r="L159" s="32">
        <f>SUMIF(H14:H145,"SB(ESL)",L14:L145)</f>
        <v>0</v>
      </c>
      <c r="M159" s="23"/>
      <c r="N159" s="515"/>
      <c r="O159" s="1"/>
      <c r="P159" s="1"/>
      <c r="Q159" s="1"/>
    </row>
    <row r="160" spans="1:31" s="65" customFormat="1" ht="13" customHeight="1" x14ac:dyDescent="0.35">
      <c r="A160" s="1470" t="s">
        <v>209</v>
      </c>
      <c r="B160" s="1471"/>
      <c r="C160" s="1471"/>
      <c r="D160" s="1471"/>
      <c r="E160" s="1471"/>
      <c r="F160" s="1471"/>
      <c r="G160" s="1471"/>
      <c r="H160" s="1472"/>
      <c r="I160" s="32">
        <f>SUMIF(H14:H145,"SB(VRL)",I14:I145)</f>
        <v>329.4</v>
      </c>
      <c r="J160" s="32">
        <f>SUMIF(H14:H145,"SB(VRL)",J14:J145)</f>
        <v>384.5</v>
      </c>
      <c r="K160" s="32">
        <f>SUMIF(H14:H145,"SB(VRL)",K14:K145)</f>
        <v>286.3</v>
      </c>
      <c r="L160" s="32">
        <f>SUMIF(H14:H145,"SB(VRL)",L14:L145)</f>
        <v>0</v>
      </c>
      <c r="M160" s="23"/>
      <c r="N160" s="1"/>
      <c r="O160" s="1"/>
      <c r="P160" s="1"/>
      <c r="Q160" s="1"/>
    </row>
    <row r="161" spans="1:17" s="65" customFormat="1" x14ac:dyDescent="0.35">
      <c r="A161" s="1470" t="s">
        <v>210</v>
      </c>
      <c r="B161" s="1471"/>
      <c r="C161" s="1471"/>
      <c r="D161" s="1471"/>
      <c r="E161" s="1471"/>
      <c r="F161" s="1471"/>
      <c r="G161" s="1471"/>
      <c r="H161" s="1472"/>
      <c r="I161" s="32">
        <f>SUMIF(H14:H145,"SB(L)",I14:I145)</f>
        <v>359.70000000000005</v>
      </c>
      <c r="J161" s="32">
        <f>SUMIF(H14:H145,"SB(L)",J14:J145)</f>
        <v>186</v>
      </c>
      <c r="K161" s="32">
        <f>SUMIF(J14:J146,"SB(L)",K14:K146)</f>
        <v>0</v>
      </c>
      <c r="L161" s="32">
        <f>SUMIF(H14:H145,"SB(L)",L14:L145)</f>
        <v>0</v>
      </c>
      <c r="M161" s="23"/>
      <c r="N161" s="1"/>
      <c r="O161" s="1"/>
      <c r="P161" s="1"/>
      <c r="Q161" s="1"/>
    </row>
    <row r="162" spans="1:17" s="65" customFormat="1" ht="14.25" customHeight="1" x14ac:dyDescent="0.35">
      <c r="A162" s="1470" t="s">
        <v>139</v>
      </c>
      <c r="B162" s="1471"/>
      <c r="C162" s="1471"/>
      <c r="D162" s="1471"/>
      <c r="E162" s="1471"/>
      <c r="F162" s="1471"/>
      <c r="G162" s="1471"/>
      <c r="H162" s="1472"/>
      <c r="I162" s="32">
        <f>SUMIF(H14:H145,"SB(VBL)",I14:I145)</f>
        <v>28.3</v>
      </c>
      <c r="J162" s="32">
        <f>SUMIF(H14:H145,"SB(VBL)",J14:J145)</f>
        <v>0.1</v>
      </c>
      <c r="K162" s="32">
        <f>SUMIF(H14:H145,"SB(VBL)",K14:K145)</f>
        <v>0</v>
      </c>
      <c r="L162" s="32">
        <f>SUMIF(H14:H145,"SB(VBL)",L14:L145)</f>
        <v>0</v>
      </c>
      <c r="M162" s="23"/>
      <c r="N162" s="1"/>
      <c r="O162" s="1"/>
      <c r="P162" s="1"/>
      <c r="Q162" s="1"/>
    </row>
    <row r="163" spans="1:17" s="65" customFormat="1" x14ac:dyDescent="0.35">
      <c r="A163" s="1473" t="s">
        <v>55</v>
      </c>
      <c r="B163" s="1474"/>
      <c r="C163" s="1474"/>
      <c r="D163" s="1474"/>
      <c r="E163" s="1474"/>
      <c r="F163" s="1474"/>
      <c r="G163" s="1474"/>
      <c r="H163" s="1475"/>
      <c r="I163" s="27">
        <f>SUM(I164:I166)</f>
        <v>110.7</v>
      </c>
      <c r="J163" s="27">
        <f t="shared" ref="J163:K163" si="8">SUM(J164:J166)</f>
        <v>52</v>
      </c>
      <c r="K163" s="27">
        <f t="shared" si="8"/>
        <v>47</v>
      </c>
      <c r="L163" s="27">
        <f>SUM(L164:L166)</f>
        <v>202.3</v>
      </c>
      <c r="M163" s="23"/>
      <c r="N163" s="1"/>
      <c r="O163" s="1"/>
      <c r="P163" s="1"/>
      <c r="Q163" s="1"/>
    </row>
    <row r="164" spans="1:17" s="65" customFormat="1" x14ac:dyDescent="0.35">
      <c r="A164" s="1476" t="s">
        <v>56</v>
      </c>
      <c r="B164" s="1477"/>
      <c r="C164" s="1477"/>
      <c r="D164" s="1477"/>
      <c r="E164" s="1477"/>
      <c r="F164" s="1477"/>
      <c r="G164" s="1576"/>
      <c r="H164" s="1478"/>
      <c r="I164" s="31">
        <f>SUMIF(H14:H145,"ES",I14:I145)</f>
        <v>0</v>
      </c>
      <c r="J164" s="31">
        <f>SUMIF(H14:H145,"ES",J14:J145)</f>
        <v>0</v>
      </c>
      <c r="K164" s="31">
        <f>SUMIF(H14:H145,"ES",K14:K145)</f>
        <v>0</v>
      </c>
      <c r="L164" s="31">
        <f>SUMIF(H14:H145,"ES",L14:L145)</f>
        <v>182.3</v>
      </c>
      <c r="M164" s="23"/>
      <c r="N164" s="1"/>
      <c r="O164" s="1"/>
      <c r="P164" s="1"/>
      <c r="Q164" s="1"/>
    </row>
    <row r="165" spans="1:17" s="65" customFormat="1" x14ac:dyDescent="0.35">
      <c r="A165" s="1479" t="s">
        <v>57</v>
      </c>
      <c r="B165" s="1480"/>
      <c r="C165" s="1480"/>
      <c r="D165" s="1480"/>
      <c r="E165" s="1480"/>
      <c r="F165" s="1480"/>
      <c r="G165" s="1575"/>
      <c r="H165" s="1481"/>
      <c r="I165" s="31">
        <f>SUMIF(H14:H145,"LRVB",I14:I145)</f>
        <v>0</v>
      </c>
      <c r="J165" s="31">
        <f>SUMIF(H14:H145,"LRVB",J14:J145)</f>
        <v>30</v>
      </c>
      <c r="K165" s="31">
        <f>SUMIF(H14:H145,"LRVB",K14:K145)</f>
        <v>25</v>
      </c>
      <c r="L165" s="31">
        <f>SUMIF(H14:H145,"LRVB",L14:L145)</f>
        <v>20</v>
      </c>
      <c r="M165" s="23"/>
      <c r="N165" s="1"/>
      <c r="O165" s="1"/>
      <c r="P165" s="1"/>
      <c r="Q165" s="1"/>
    </row>
    <row r="166" spans="1:17" s="65" customFormat="1" x14ac:dyDescent="0.35">
      <c r="A166" s="1479" t="s">
        <v>58</v>
      </c>
      <c r="B166" s="1480"/>
      <c r="C166" s="1480"/>
      <c r="D166" s="1480"/>
      <c r="E166" s="1480"/>
      <c r="F166" s="1480"/>
      <c r="G166" s="1575"/>
      <c r="H166" s="1481"/>
      <c r="I166" s="31">
        <f>SUMIF(H14:H145,"Kt",I14:I145)</f>
        <v>110.7</v>
      </c>
      <c r="J166" s="31">
        <f>SUMIF(H14:H145,"Kt",J14:J145)</f>
        <v>22</v>
      </c>
      <c r="K166" s="31">
        <f>SUMIF(H14:H145,"Kt",K14:K145)</f>
        <v>22</v>
      </c>
      <c r="L166" s="31">
        <f>SUMIF(H14:H145,"Kt",L14:L145)</f>
        <v>0</v>
      </c>
      <c r="M166" s="23"/>
      <c r="N166" s="1"/>
      <c r="O166" s="1"/>
      <c r="P166" s="1"/>
      <c r="Q166" s="1"/>
    </row>
    <row r="167" spans="1:17" s="65" customFormat="1" ht="13.5" thickBot="1" x14ac:dyDescent="0.4">
      <c r="A167" s="1465" t="s">
        <v>59</v>
      </c>
      <c r="B167" s="1466"/>
      <c r="C167" s="1466"/>
      <c r="D167" s="1466"/>
      <c r="E167" s="1466"/>
      <c r="F167" s="1466"/>
      <c r="G167" s="1466"/>
      <c r="H167" s="1467"/>
      <c r="I167" s="28">
        <f>SUM(I150,I163)</f>
        <v>10103.699999999999</v>
      </c>
      <c r="J167" s="28">
        <f>SUM(J150,J163)</f>
        <v>7942.7</v>
      </c>
      <c r="K167" s="28">
        <f t="shared" ref="K167" si="9">SUM(K150,K163)</f>
        <v>6680.3</v>
      </c>
      <c r="L167" s="28">
        <f>SUM(L150,L163)</f>
        <v>6787.3</v>
      </c>
      <c r="M167" s="7"/>
    </row>
    <row r="168" spans="1:17" s="65" customFormat="1" x14ac:dyDescent="0.35">
      <c r="A168" s="1"/>
      <c r="B168" s="1"/>
      <c r="C168" s="1"/>
      <c r="D168" s="1"/>
      <c r="E168" s="1"/>
      <c r="F168" s="48"/>
      <c r="G168" s="2"/>
      <c r="H168" s="89"/>
      <c r="I168" s="89"/>
      <c r="J168" s="89"/>
      <c r="K168" s="89"/>
      <c r="L168" s="89"/>
      <c r="M168" s="23"/>
      <c r="N168" s="1"/>
      <c r="O168" s="1"/>
      <c r="P168" s="1"/>
      <c r="Q168" s="1"/>
    </row>
    <row r="169" spans="1:17" x14ac:dyDescent="0.3">
      <c r="L169" s="71"/>
    </row>
    <row r="170" spans="1:17" x14ac:dyDescent="0.3">
      <c r="I170" s="71"/>
      <c r="J170" s="71"/>
      <c r="K170" s="71"/>
      <c r="L170" s="71"/>
    </row>
    <row r="171" spans="1:17" x14ac:dyDescent="0.3">
      <c r="I171" s="71"/>
      <c r="J171" s="71"/>
      <c r="K171" s="71"/>
      <c r="L171" s="71"/>
    </row>
    <row r="172" spans="1:17" x14ac:dyDescent="0.3">
      <c r="I172" s="71"/>
      <c r="J172" s="71"/>
      <c r="K172" s="71"/>
      <c r="L172" s="71"/>
    </row>
    <row r="173" spans="1:17" x14ac:dyDescent="0.3">
      <c r="I173" s="71"/>
      <c r="J173" s="71"/>
      <c r="K173" s="71"/>
      <c r="L173" s="71"/>
    </row>
  </sheetData>
  <mergeCells count="181">
    <mergeCell ref="B12:Q12"/>
    <mergeCell ref="C13:Q13"/>
    <mergeCell ref="A14:A16"/>
    <mergeCell ref="B14:B16"/>
    <mergeCell ref="C14:C16"/>
    <mergeCell ref="E15:E16"/>
    <mergeCell ref="G15:G16"/>
    <mergeCell ref="M15:M16"/>
    <mergeCell ref="L7:L9"/>
    <mergeCell ref="M7:Q7"/>
    <mergeCell ref="A10:Q10"/>
    <mergeCell ref="A11:Q11"/>
    <mergeCell ref="M1:Q1"/>
    <mergeCell ref="E3:M3"/>
    <mergeCell ref="A4:N4"/>
    <mergeCell ref="A5:N5"/>
    <mergeCell ref="P6:Q6"/>
    <mergeCell ref="A7:A9"/>
    <mergeCell ref="B7:B9"/>
    <mergeCell ref="C7:C9"/>
    <mergeCell ref="D7:D9"/>
    <mergeCell ref="E7:E9"/>
    <mergeCell ref="M8:M9"/>
    <mergeCell ref="N8:Q8"/>
    <mergeCell ref="F7:F9"/>
    <mergeCell ref="G7:G9"/>
    <mergeCell ref="H7:H9"/>
    <mergeCell ref="I7:I9"/>
    <mergeCell ref="J7:J9"/>
    <mergeCell ref="K7:K9"/>
    <mergeCell ref="E17:E18"/>
    <mergeCell ref="G17:G18"/>
    <mergeCell ref="M17:M18"/>
    <mergeCell ref="A20:A22"/>
    <mergeCell ref="B20:B22"/>
    <mergeCell ref="C20:C22"/>
    <mergeCell ref="E20:E21"/>
    <mergeCell ref="F20:F22"/>
    <mergeCell ref="G20:G22"/>
    <mergeCell ref="C36:C38"/>
    <mergeCell ref="G36:G38"/>
    <mergeCell ref="E37:E38"/>
    <mergeCell ref="G45:G47"/>
    <mergeCell ref="E48:E49"/>
    <mergeCell ref="G24:G26"/>
    <mergeCell ref="A27:A28"/>
    <mergeCell ref="B27:B28"/>
    <mergeCell ref="C27:C28"/>
    <mergeCell ref="E27:E28"/>
    <mergeCell ref="G27:G28"/>
    <mergeCell ref="A29:A30"/>
    <mergeCell ref="B29:B30"/>
    <mergeCell ref="C29:C30"/>
    <mergeCell ref="E29:E30"/>
    <mergeCell ref="G29:G30"/>
    <mergeCell ref="A24:A26"/>
    <mergeCell ref="B24:B26"/>
    <mergeCell ref="C24:C26"/>
    <mergeCell ref="E24:E26"/>
    <mergeCell ref="M96:M98"/>
    <mergeCell ref="G98:G101"/>
    <mergeCell ref="G77:G79"/>
    <mergeCell ref="G81:G83"/>
    <mergeCell ref="E77:E80"/>
    <mergeCell ref="E73:E76"/>
    <mergeCell ref="G73:G76"/>
    <mergeCell ref="M73:M76"/>
    <mergeCell ref="A31:A32"/>
    <mergeCell ref="B31:B32"/>
    <mergeCell ref="C31:C32"/>
    <mergeCell ref="E31:E32"/>
    <mergeCell ref="G31:G32"/>
    <mergeCell ref="F39:F40"/>
    <mergeCell ref="M39:M40"/>
    <mergeCell ref="E42:E44"/>
    <mergeCell ref="F42:F44"/>
    <mergeCell ref="F37:F38"/>
    <mergeCell ref="C52:H52"/>
    <mergeCell ref="M52:Q52"/>
    <mergeCell ref="C34:H34"/>
    <mergeCell ref="C35:Q35"/>
    <mergeCell ref="A36:A38"/>
    <mergeCell ref="B36:B38"/>
    <mergeCell ref="C53:Q53"/>
    <mergeCell ref="G55:G57"/>
    <mergeCell ref="E57:E58"/>
    <mergeCell ref="M57:M58"/>
    <mergeCell ref="E59:E64"/>
    <mergeCell ref="G60:G64"/>
    <mergeCell ref="A84:A105"/>
    <mergeCell ref="B84:B105"/>
    <mergeCell ref="C84:C105"/>
    <mergeCell ref="E84:E88"/>
    <mergeCell ref="G84:G88"/>
    <mergeCell ref="M86:M87"/>
    <mergeCell ref="D89:D95"/>
    <mergeCell ref="E89:E95"/>
    <mergeCell ref="G89:G91"/>
    <mergeCell ref="M89:M93"/>
    <mergeCell ref="M99:M100"/>
    <mergeCell ref="M61:M62"/>
    <mergeCell ref="M63:M64"/>
    <mergeCell ref="E67:E69"/>
    <mergeCell ref="G67:G69"/>
    <mergeCell ref="G92:G95"/>
    <mergeCell ref="E96:E101"/>
    <mergeCell ref="G96:G97"/>
    <mergeCell ref="M109:M110"/>
    <mergeCell ref="E111:E113"/>
    <mergeCell ref="F111:F113"/>
    <mergeCell ref="M111:M113"/>
    <mergeCell ref="E102:E104"/>
    <mergeCell ref="G102:G104"/>
    <mergeCell ref="M102:M104"/>
    <mergeCell ref="F103:F104"/>
    <mergeCell ref="E106:E107"/>
    <mergeCell ref="F106:F107"/>
    <mergeCell ref="G111:G115"/>
    <mergeCell ref="K114:K115"/>
    <mergeCell ref="L114:L115"/>
    <mergeCell ref="H114:H115"/>
    <mergeCell ref="J114:J115"/>
    <mergeCell ref="F108:F110"/>
    <mergeCell ref="F122:F124"/>
    <mergeCell ref="G122:G124"/>
    <mergeCell ref="D114:D115"/>
    <mergeCell ref="E114:E115"/>
    <mergeCell ref="F114:F115"/>
    <mergeCell ref="E117:E119"/>
    <mergeCell ref="G117:G119"/>
    <mergeCell ref="E108:E110"/>
    <mergeCell ref="G108:G110"/>
    <mergeCell ref="A166:H166"/>
    <mergeCell ref="A167:H167"/>
    <mergeCell ref="A159:H159"/>
    <mergeCell ref="A160:H160"/>
    <mergeCell ref="A161:H161"/>
    <mergeCell ref="A162:H162"/>
    <mergeCell ref="A163:H163"/>
    <mergeCell ref="A164:H164"/>
    <mergeCell ref="A153:H153"/>
    <mergeCell ref="A154:H154"/>
    <mergeCell ref="A155:H155"/>
    <mergeCell ref="A156:H156"/>
    <mergeCell ref="A157:H157"/>
    <mergeCell ref="A158:H158"/>
    <mergeCell ref="A165:H165"/>
    <mergeCell ref="M122:M124"/>
    <mergeCell ref="A146:I146"/>
    <mergeCell ref="A148:H148"/>
    <mergeCell ref="A149:H149"/>
    <mergeCell ref="A150:H150"/>
    <mergeCell ref="A151:H151"/>
    <mergeCell ref="A152:H152"/>
    <mergeCell ref="E137:E139"/>
    <mergeCell ref="G137:G138"/>
    <mergeCell ref="C143:H143"/>
    <mergeCell ref="B144:H144"/>
    <mergeCell ref="B145:H145"/>
    <mergeCell ref="A125:A128"/>
    <mergeCell ref="B125:B128"/>
    <mergeCell ref="C125:C128"/>
    <mergeCell ref="D125:D128"/>
    <mergeCell ref="E125:E128"/>
    <mergeCell ref="F125:F128"/>
    <mergeCell ref="G125:G128"/>
    <mergeCell ref="M126:M127"/>
    <mergeCell ref="A122:A124"/>
    <mergeCell ref="B122:B124"/>
    <mergeCell ref="C122:C124"/>
    <mergeCell ref="E122:E124"/>
    <mergeCell ref="E140:E141"/>
    <mergeCell ref="D140:D141"/>
    <mergeCell ref="G140:G141"/>
    <mergeCell ref="M143:Q143"/>
    <mergeCell ref="C130:H130"/>
    <mergeCell ref="M130:Q130"/>
    <mergeCell ref="C131:Q131"/>
    <mergeCell ref="E133:E136"/>
    <mergeCell ref="G133:G135"/>
    <mergeCell ref="M134:M135"/>
  </mergeCells>
  <printOptions horizontalCentered="1"/>
  <pageMargins left="0.78740157480314965" right="0.19685039370078741" top="0.39370078740157483" bottom="0.39370078740157483" header="0.31496062992125984" footer="0.31496062992125984"/>
  <pageSetup paperSize="9" scale="53" orientation="portrait" r:id="rId1"/>
  <rowBreaks count="2" manualBreakCount="2">
    <brk id="65" max="16" man="1"/>
    <brk id="136"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5 programa</vt:lpstr>
      <vt:lpstr>Lyginamasis variantas</vt:lpstr>
      <vt:lpstr>Aiškinamoji lentelė </vt:lpstr>
      <vt:lpstr>'5 programa'!Print_Area</vt:lpstr>
      <vt:lpstr>'Aiškinamoji lentelė '!Print_Area</vt:lpstr>
      <vt:lpstr>'Lyginamasis variantas'!Print_Area</vt:lpstr>
      <vt:lpstr>'5 programa'!Print_Titles</vt:lpstr>
      <vt:lpstr>'Aiškinamoji lentelė '!Print_Titles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2021-11-02T18:55:25Z</cp:lastPrinted>
  <dcterms:created xsi:type="dcterms:W3CDTF">2015-10-26T14:41:47Z</dcterms:created>
  <dcterms:modified xsi:type="dcterms:W3CDTF">2021-11-02T18:55:53Z</dcterms:modified>
  <cp:contentStatus/>
</cp:coreProperties>
</file>