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1-2023 SVP keitimas\2021-2023 SVP (lapkričio keitimas)\"/>
    </mc:Choice>
  </mc:AlternateContent>
  <bookViews>
    <workbookView xWindow="0" yWindow="0" windowWidth="24000" windowHeight="8700"/>
  </bookViews>
  <sheets>
    <sheet name="6 programa" sheetId="6" r:id="rId1"/>
    <sheet name="Lyginamasis variantas" sheetId="7" state="hidden" r:id="rId2"/>
    <sheet name="Lyginamasis variantas (2)" sheetId="8" state="hidden" r:id="rId3"/>
    <sheet name="Aiškinamoji lentelė" sheetId="5" state="hidden" r:id="rId4"/>
  </sheets>
  <definedNames>
    <definedName name="_xlnm.Print_Area" localSheetId="0">'6 programa'!$A$1:$M$304</definedName>
    <definedName name="_xlnm.Print_Area" localSheetId="3">'Aiškinamoji lentelė'!$A$1:$Q$299</definedName>
    <definedName name="_xlnm.Print_Area" localSheetId="1">'Lyginamasis variantas'!$A$1:$W$314</definedName>
    <definedName name="_xlnm.Print_Area" localSheetId="2">'Lyginamasis variantas (2)'!$A$1:$U$302</definedName>
    <definedName name="_xlnm.Print_Titles" localSheetId="0">'6 programa'!$9:$11</definedName>
    <definedName name="_xlnm.Print_Titles" localSheetId="3">'Aiškinamoji lentelė'!$7:$9</definedName>
    <definedName name="_xlnm.Print_Titles" localSheetId="1">'Lyginamasis variantas'!$8:$10</definedName>
    <definedName name="_xlnm.Print_Titles" localSheetId="2">'Lyginamasis variantas (2)'!$8:$10</definedName>
  </definedNames>
  <calcPr calcId="162913" fullPrecision="0"/>
</workbook>
</file>

<file path=xl/calcChain.xml><?xml version="1.0" encoding="utf-8"?>
<calcChain xmlns="http://schemas.openxmlformats.org/spreadsheetml/2006/main">
  <c r="I281" i="6" l="1"/>
  <c r="H281" i="6"/>
  <c r="G281" i="6"/>
  <c r="G301" i="6"/>
  <c r="H207" i="7" l="1"/>
  <c r="G207" i="7"/>
  <c r="G235" i="6" l="1"/>
  <c r="H232" i="6"/>
  <c r="H230" i="6"/>
  <c r="G230" i="6"/>
  <c r="I206" i="6"/>
  <c r="H206" i="6"/>
  <c r="G206" i="6"/>
  <c r="I161" i="6"/>
  <c r="I160" i="6"/>
  <c r="H161" i="6"/>
  <c r="H160" i="6"/>
  <c r="G162" i="6"/>
  <c r="G161" i="6"/>
  <c r="G160" i="6"/>
  <c r="H26" i="6"/>
  <c r="G26" i="6"/>
  <c r="I20" i="6"/>
  <c r="H20" i="6"/>
  <c r="G20" i="6"/>
  <c r="H16" i="6"/>
  <c r="G16" i="6"/>
  <c r="H246" i="7" l="1"/>
  <c r="L246" i="7"/>
  <c r="K242" i="7"/>
  <c r="K240" i="7"/>
  <c r="H240" i="7"/>
  <c r="L262" i="7"/>
  <c r="H262" i="7"/>
  <c r="G262" i="7"/>
  <c r="L254" i="7"/>
  <c r="L253" i="7"/>
  <c r="J253" i="7"/>
  <c r="H253" i="7"/>
  <c r="G253" i="7"/>
  <c r="N216" i="7"/>
  <c r="K216" i="7"/>
  <c r="N238" i="7"/>
  <c r="K238" i="7"/>
  <c r="H216" i="7"/>
  <c r="H231" i="7"/>
  <c r="N171" i="7"/>
  <c r="N170" i="7"/>
  <c r="L173" i="7"/>
  <c r="K171" i="7"/>
  <c r="K170" i="7"/>
  <c r="H172" i="7"/>
  <c r="H171" i="7"/>
  <c r="H170" i="7"/>
  <c r="O207" i="7"/>
  <c r="L208" i="7"/>
  <c r="K207" i="7"/>
  <c r="L207" i="7" s="1"/>
  <c r="H176" i="7"/>
  <c r="I176" i="7" s="1"/>
  <c r="G176" i="7"/>
  <c r="O187" i="7"/>
  <c r="L187" i="7"/>
  <c r="H187" i="7"/>
  <c r="I187" i="7" s="1"/>
  <c r="H185" i="7"/>
  <c r="G185" i="7"/>
  <c r="H184" i="7"/>
  <c r="G184" i="7"/>
  <c r="K15" i="7"/>
  <c r="K152" i="7"/>
  <c r="H15" i="7"/>
  <c r="K25" i="7"/>
  <c r="H25" i="7"/>
  <c r="K84" i="7"/>
  <c r="H84" i="7"/>
  <c r="K19" i="7"/>
  <c r="K82" i="7"/>
  <c r="I262" i="7" l="1"/>
  <c r="I185" i="7"/>
  <c r="I184" i="7"/>
  <c r="I253" i="7"/>
  <c r="K79" i="7"/>
  <c r="K56" i="7"/>
  <c r="N19" i="7"/>
  <c r="N36" i="7"/>
  <c r="H19" i="7"/>
  <c r="H36" i="7"/>
  <c r="I202" i="7" l="1"/>
  <c r="I160" i="7"/>
  <c r="I156" i="7"/>
  <c r="H122" i="7"/>
  <c r="H104" i="7"/>
  <c r="H98" i="7"/>
  <c r="H81" i="7"/>
  <c r="H65" i="7"/>
  <c r="H58" i="7"/>
  <c r="H59" i="7"/>
  <c r="I50" i="7"/>
  <c r="H30" i="7"/>
  <c r="G277" i="7" l="1"/>
  <c r="G272" i="7"/>
  <c r="H272" i="7"/>
  <c r="M240" i="7"/>
  <c r="J240" i="7"/>
  <c r="G242" i="7"/>
  <c r="G240" i="7"/>
  <c r="G219" i="7"/>
  <c r="H219" i="7"/>
  <c r="G216" i="7"/>
  <c r="G128" i="7"/>
  <c r="J128" i="7"/>
  <c r="K128" i="7"/>
  <c r="H128" i="7"/>
  <c r="G103" i="7"/>
  <c r="H103" i="7"/>
  <c r="G81" i="7"/>
  <c r="J15" i="7"/>
  <c r="G15" i="7"/>
  <c r="G232" i="6" l="1"/>
  <c r="H242" i="7"/>
  <c r="I230" i="6" l="1"/>
  <c r="N240" i="7"/>
  <c r="O273" i="7"/>
  <c r="L273" i="7"/>
  <c r="H277" i="7"/>
  <c r="G261" i="7"/>
  <c r="G254" i="7"/>
  <c r="H82" i="7" l="1"/>
  <c r="G82" i="7"/>
  <c r="G74" i="7" l="1"/>
  <c r="H74" i="7"/>
  <c r="G69" i="7"/>
  <c r="H69" i="7"/>
  <c r="G67" i="7"/>
  <c r="H261" i="7" l="1"/>
  <c r="H254" i="7"/>
  <c r="I43" i="7"/>
  <c r="H67" i="7"/>
  <c r="I30" i="7"/>
  <c r="N304" i="7" l="1"/>
  <c r="M304" i="7"/>
  <c r="K257" i="7"/>
  <c r="L257" i="7" s="1"/>
  <c r="K275" i="7"/>
  <c r="L275" i="7" s="1"/>
  <c r="N275" i="7"/>
  <c r="O275" i="7" s="1"/>
  <c r="N272" i="7"/>
  <c r="O272" i="7" s="1"/>
  <c r="K272" i="7"/>
  <c r="L272" i="7" s="1"/>
  <c r="K269" i="7"/>
  <c r="L269" i="7" s="1"/>
  <c r="K268" i="7"/>
  <c r="L268" i="7" s="1"/>
  <c r="K266" i="7"/>
  <c r="L266" i="7" s="1"/>
  <c r="H275" i="7"/>
  <c r="I275" i="7" s="1"/>
  <c r="H274" i="7"/>
  <c r="I274" i="7" s="1"/>
  <c r="I272" i="7"/>
  <c r="H269" i="7"/>
  <c r="I269" i="7" s="1"/>
  <c r="H263" i="7"/>
  <c r="I263" i="7" s="1"/>
  <c r="H259" i="7"/>
  <c r="I259" i="7" s="1"/>
  <c r="H258" i="7"/>
  <c r="I258" i="7" s="1"/>
  <c r="H248" i="7"/>
  <c r="I248" i="7" s="1"/>
  <c r="O283" i="7"/>
  <c r="J260" i="7"/>
  <c r="M257" i="7"/>
  <c r="J256" i="7"/>
  <c r="G256" i="7"/>
  <c r="M242" i="7"/>
  <c r="J247" i="7"/>
  <c r="J242" i="7"/>
  <c r="G246" i="7"/>
  <c r="G247" i="7"/>
  <c r="I234" i="7"/>
  <c r="H238" i="7"/>
  <c r="I238" i="7" s="1"/>
  <c r="H234" i="7"/>
  <c r="H232" i="7"/>
  <c r="I232" i="7" s="1"/>
  <c r="H227" i="7"/>
  <c r="I227" i="7" s="1"/>
  <c r="H226" i="7"/>
  <c r="I226" i="7" s="1"/>
  <c r="H225" i="7"/>
  <c r="I225" i="7" s="1"/>
  <c r="H229" i="7"/>
  <c r="I229" i="7" s="1"/>
  <c r="L238" i="7"/>
  <c r="K237" i="7"/>
  <c r="L237" i="7" s="1"/>
  <c r="K236" i="7"/>
  <c r="L236" i="7" s="1"/>
  <c r="K234" i="7"/>
  <c r="L234" i="7" s="1"/>
  <c r="K232" i="7"/>
  <c r="L232" i="7" s="1"/>
  <c r="K229" i="7"/>
  <c r="L229" i="7" s="1"/>
  <c r="K227" i="7"/>
  <c r="L227" i="7" s="1"/>
  <c r="K226" i="7"/>
  <c r="L226" i="7" s="1"/>
  <c r="K225" i="7"/>
  <c r="L225" i="7" s="1"/>
  <c r="O238" i="7"/>
  <c r="N237" i="7"/>
  <c r="O237" i="7" s="1"/>
  <c r="N234" i="7"/>
  <c r="O234" i="7" s="1"/>
  <c r="N232" i="7"/>
  <c r="O232" i="7" s="1"/>
  <c r="N229" i="7"/>
  <c r="O229" i="7" s="1"/>
  <c r="N227" i="7"/>
  <c r="O227" i="7" s="1"/>
  <c r="N226" i="7"/>
  <c r="O226" i="7" s="1"/>
  <c r="N225" i="7"/>
  <c r="O225" i="7" s="1"/>
  <c r="N221" i="7"/>
  <c r="O221" i="7" s="1"/>
  <c r="N219" i="7"/>
  <c r="O219" i="7" s="1"/>
  <c r="K221" i="7"/>
  <c r="L221" i="7" s="1"/>
  <c r="K219" i="7"/>
  <c r="L219" i="7" s="1"/>
  <c r="H221" i="7"/>
  <c r="I221" i="7" s="1"/>
  <c r="I219" i="7"/>
  <c r="G220" i="7"/>
  <c r="M216" i="7"/>
  <c r="J216" i="7"/>
  <c r="G215" i="7"/>
  <c r="N210" i="7"/>
  <c r="O210" i="7" s="1"/>
  <c r="N209" i="7"/>
  <c r="O209" i="7" s="1"/>
  <c r="N201" i="7"/>
  <c r="O201" i="7" s="1"/>
  <c r="K202" i="7"/>
  <c r="L202" i="7" s="1"/>
  <c r="K201" i="7"/>
  <c r="L201" i="7" s="1"/>
  <c r="I207" i="7"/>
  <c r="H204" i="7"/>
  <c r="I204" i="7" s="1"/>
  <c r="H200" i="7"/>
  <c r="I200" i="7" s="1"/>
  <c r="H199" i="7"/>
  <c r="I199" i="7" s="1"/>
  <c r="H198" i="7"/>
  <c r="I198" i="7" s="1"/>
  <c r="L193" i="7"/>
  <c r="K193" i="7"/>
  <c r="N193" i="7"/>
  <c r="O193" i="7" s="1"/>
  <c r="N191" i="7"/>
  <c r="O191" i="7" s="1"/>
  <c r="N189" i="7"/>
  <c r="O189" i="7" s="1"/>
  <c r="K191" i="7"/>
  <c r="L191" i="7" s="1"/>
  <c r="K189" i="7"/>
  <c r="L189" i="7" s="1"/>
  <c r="H191" i="7"/>
  <c r="I191" i="7" s="1"/>
  <c r="H189" i="7"/>
  <c r="I189" i="7" s="1"/>
  <c r="G193" i="7"/>
  <c r="G177" i="7"/>
  <c r="G172" i="7"/>
  <c r="G170" i="7"/>
  <c r="N152" i="7"/>
  <c r="O152" i="7" s="1"/>
  <c r="N149" i="7"/>
  <c r="O149" i="7" s="1"/>
  <c r="N147" i="7"/>
  <c r="O147" i="7" s="1"/>
  <c r="N146" i="7"/>
  <c r="O146" i="7" s="1"/>
  <c r="N144" i="7"/>
  <c r="O144" i="7" s="1"/>
  <c r="K155" i="7"/>
  <c r="L155" i="7" s="1"/>
  <c r="L152" i="7"/>
  <c r="K146" i="7"/>
  <c r="L146" i="7" s="1"/>
  <c r="K147" i="7"/>
  <c r="L147" i="7" s="1"/>
  <c r="K144" i="7"/>
  <c r="L144" i="7" s="1"/>
  <c r="I152" i="7"/>
  <c r="H163" i="7"/>
  <c r="I163" i="7" s="1"/>
  <c r="H159" i="7"/>
  <c r="I159" i="7" s="1"/>
  <c r="H158" i="7"/>
  <c r="I158" i="7" s="1"/>
  <c r="H155" i="7"/>
  <c r="I155" i="7" s="1"/>
  <c r="H152" i="7"/>
  <c r="H144" i="7"/>
  <c r="I144" i="7" s="1"/>
  <c r="N142" i="7"/>
  <c r="O142" i="7" s="1"/>
  <c r="N141" i="7"/>
  <c r="O141" i="7" s="1"/>
  <c r="K140" i="7"/>
  <c r="L140" i="7" s="1"/>
  <c r="N132" i="7"/>
  <c r="O132" i="7" s="1"/>
  <c r="N131" i="7"/>
  <c r="O131" i="7" s="1"/>
  <c r="N129" i="7"/>
  <c r="O129" i="7" s="1"/>
  <c r="K129" i="7"/>
  <c r="L129" i="7" s="1"/>
  <c r="K131" i="7"/>
  <c r="L131" i="7" s="1"/>
  <c r="K132" i="7"/>
  <c r="L132" i="7" s="1"/>
  <c r="H134" i="7"/>
  <c r="I134" i="7" s="1"/>
  <c r="H132" i="7"/>
  <c r="I132" i="7" s="1"/>
  <c r="H131" i="7"/>
  <c r="I131" i="7" s="1"/>
  <c r="H129" i="7"/>
  <c r="I129" i="7" s="1"/>
  <c r="N128" i="7"/>
  <c r="O128" i="7" s="1"/>
  <c r="N127" i="7"/>
  <c r="O127" i="7" s="1"/>
  <c r="L128" i="7"/>
  <c r="K127" i="7"/>
  <c r="L127" i="7" s="1"/>
  <c r="N125" i="7"/>
  <c r="O125" i="7" s="1"/>
  <c r="G125" i="7"/>
  <c r="K125" i="7"/>
  <c r="L125" i="7" s="1"/>
  <c r="N123" i="7"/>
  <c r="O123" i="7" s="1"/>
  <c r="N122" i="7"/>
  <c r="O122" i="7" s="1"/>
  <c r="K123" i="7"/>
  <c r="L123" i="7" s="1"/>
  <c r="K122" i="7"/>
  <c r="L122" i="7" s="1"/>
  <c r="H123" i="7"/>
  <c r="I123" i="7" s="1"/>
  <c r="N121" i="7"/>
  <c r="O121" i="7" s="1"/>
  <c r="N104" i="7"/>
  <c r="O104" i="7" s="1"/>
  <c r="N103" i="7"/>
  <c r="O103" i="7" s="1"/>
  <c r="K104" i="7"/>
  <c r="L104" i="7" s="1"/>
  <c r="K103" i="7"/>
  <c r="L103" i="7" s="1"/>
  <c r="I103" i="7"/>
  <c r="G162" i="7"/>
  <c r="G161" i="7"/>
  <c r="G133" i="7"/>
  <c r="G127" i="7"/>
  <c r="G122" i="7"/>
  <c r="G104" i="7"/>
  <c r="N98" i="7"/>
  <c r="O98" i="7" s="1"/>
  <c r="K98" i="7"/>
  <c r="L98" i="7" s="1"/>
  <c r="K97" i="7"/>
  <c r="L97" i="7" s="1"/>
  <c r="I98" i="7"/>
  <c r="L90" i="7"/>
  <c r="H93" i="7"/>
  <c r="I93" i="7" s="1"/>
  <c r="N92" i="7"/>
  <c r="O92" i="7" s="1"/>
  <c r="N91" i="7"/>
  <c r="O91" i="7" s="1"/>
  <c r="N90" i="7"/>
  <c r="O90" i="7" s="1"/>
  <c r="K92" i="7"/>
  <c r="L92" i="7" s="1"/>
  <c r="K91" i="7"/>
  <c r="L91" i="7" s="1"/>
  <c r="K90" i="7"/>
  <c r="H90" i="7"/>
  <c r="I90" i="7" s="1"/>
  <c r="N83" i="7"/>
  <c r="O83" i="7" s="1"/>
  <c r="L84" i="7"/>
  <c r="K83" i="7"/>
  <c r="L83" i="7" s="1"/>
  <c r="H86" i="7"/>
  <c r="I86" i="7" s="1"/>
  <c r="H85" i="7"/>
  <c r="I85" i="7" s="1"/>
  <c r="I84" i="7"/>
  <c r="N82" i="7"/>
  <c r="O82" i="7" s="1"/>
  <c r="N79" i="7"/>
  <c r="O79" i="7" s="1"/>
  <c r="L82" i="7"/>
  <c r="L79" i="7"/>
  <c r="G79" i="7"/>
  <c r="I69" i="7"/>
  <c r="K70" i="7"/>
  <c r="L70" i="7" s="1"/>
  <c r="K68" i="7"/>
  <c r="L68" i="7" s="1"/>
  <c r="I74" i="7"/>
  <c r="H78" i="7"/>
  <c r="I78" i="7" s="1"/>
  <c r="I66" i="7"/>
  <c r="I64" i="7"/>
  <c r="H63" i="7"/>
  <c r="I58" i="7"/>
  <c r="N62" i="7"/>
  <c r="O62" i="7" s="1"/>
  <c r="N57" i="7"/>
  <c r="O57" i="7" s="1"/>
  <c r="K62" i="7"/>
  <c r="L62" i="7" s="1"/>
  <c r="H60" i="7"/>
  <c r="I60" i="7" s="1"/>
  <c r="I59" i="7"/>
  <c r="G77" i="7"/>
  <c r="G76" i="7"/>
  <c r="G75" i="7"/>
  <c r="G70" i="7"/>
  <c r="G62" i="7"/>
  <c r="H51" i="7"/>
  <c r="I51" i="7" s="1"/>
  <c r="M56" i="7"/>
  <c r="L56" i="7"/>
  <c r="M54" i="7"/>
  <c r="J54" i="7"/>
  <c r="H56" i="7"/>
  <c r="I56" i="7" s="1"/>
  <c r="G53" i="7"/>
  <c r="G54" i="7"/>
  <c r="G55" i="7"/>
  <c r="N47" i="7"/>
  <c r="O47" i="7" s="1"/>
  <c r="K47" i="7"/>
  <c r="L47" i="7" s="1"/>
  <c r="H42" i="7"/>
  <c r="I42" i="7" s="1"/>
  <c r="G39" i="7"/>
  <c r="H38" i="7"/>
  <c r="I38" i="7" s="1"/>
  <c r="H35" i="7"/>
  <c r="I35" i="7" s="1"/>
  <c r="N35" i="7"/>
  <c r="O35" i="7" s="1"/>
  <c r="K38" i="7"/>
  <c r="L38" i="7" s="1"/>
  <c r="K35" i="7"/>
  <c r="L35" i="7" s="1"/>
  <c r="K32" i="7"/>
  <c r="L32" i="7" s="1"/>
  <c r="M36" i="7"/>
  <c r="M29" i="7"/>
  <c r="J36" i="7"/>
  <c r="J33" i="7"/>
  <c r="H29" i="7"/>
  <c r="I29" i="7" s="1"/>
  <c r="I31" i="7"/>
  <c r="G34" i="7"/>
  <c r="G36" i="7"/>
  <c r="G33" i="7"/>
  <c r="M24" i="7"/>
  <c r="M23" i="7"/>
  <c r="M19" i="7"/>
  <c r="M15" i="7"/>
  <c r="J24" i="7"/>
  <c r="J23" i="7"/>
  <c r="J19" i="7"/>
  <c r="G28" i="7"/>
  <c r="G26" i="7"/>
  <c r="G24" i="7"/>
  <c r="G23" i="7"/>
  <c r="G21" i="7"/>
  <c r="G20" i="7"/>
  <c r="G19" i="7"/>
  <c r="G17" i="7"/>
  <c r="H177" i="7" l="1"/>
  <c r="I16" i="6" l="1"/>
  <c r="N15" i="7"/>
  <c r="N29" i="7"/>
  <c r="H25" i="6" l="1"/>
  <c r="I25" i="6"/>
  <c r="H24" i="6"/>
  <c r="G27" i="6"/>
  <c r="G22" i="6"/>
  <c r="G21" i="6"/>
  <c r="G18" i="6"/>
  <c r="H157" i="6" l="1"/>
  <c r="I157" i="6"/>
  <c r="I27" i="7"/>
  <c r="H204" i="8" l="1"/>
  <c r="I255" i="7" l="1"/>
  <c r="H21" i="7" l="1"/>
  <c r="I177" i="7" l="1"/>
  <c r="I142" i="7"/>
  <c r="I138" i="7"/>
  <c r="H77" i="7"/>
  <c r="H76" i="7"/>
  <c r="H70" i="7"/>
  <c r="I67" i="7"/>
  <c r="H62" i="7"/>
  <c r="I62" i="7" s="1"/>
  <c r="I61" i="7"/>
  <c r="H54" i="7"/>
  <c r="H34" i="7"/>
  <c r="H33" i="7"/>
  <c r="I33" i="7" s="1"/>
  <c r="O300" i="8"/>
  <c r="N300" i="8"/>
  <c r="M300" i="8"/>
  <c r="K300" i="8"/>
  <c r="J300" i="8"/>
  <c r="H300" i="8"/>
  <c r="G300" i="8"/>
  <c r="M299" i="8"/>
  <c r="J299" i="8"/>
  <c r="N298" i="8"/>
  <c r="M298" i="8"/>
  <c r="K298" i="8"/>
  <c r="J298" i="8"/>
  <c r="H298" i="8"/>
  <c r="G298" i="8"/>
  <c r="M297" i="8"/>
  <c r="J297" i="8"/>
  <c r="O295" i="8"/>
  <c r="N295" i="8"/>
  <c r="M295" i="8"/>
  <c r="L295" i="8"/>
  <c r="K295" i="8"/>
  <c r="J295" i="8"/>
  <c r="G295" i="8"/>
  <c r="O294" i="8"/>
  <c r="N294" i="8"/>
  <c r="M294" i="8"/>
  <c r="L294" i="8"/>
  <c r="K294" i="8"/>
  <c r="J294" i="8"/>
  <c r="I294" i="8"/>
  <c r="H294" i="8"/>
  <c r="G294" i="8"/>
  <c r="N293" i="8"/>
  <c r="M293" i="8"/>
  <c r="K293" i="8"/>
  <c r="J293" i="8"/>
  <c r="H293" i="8"/>
  <c r="G293" i="8"/>
  <c r="O292" i="8"/>
  <c r="N292" i="8"/>
  <c r="M292" i="8"/>
  <c r="L292" i="8"/>
  <c r="K292" i="8"/>
  <c r="J292" i="8"/>
  <c r="O291" i="8"/>
  <c r="N291" i="8"/>
  <c r="M291" i="8"/>
  <c r="L291" i="8"/>
  <c r="K291" i="8"/>
  <c r="J291" i="8"/>
  <c r="I291" i="8"/>
  <c r="H291" i="8"/>
  <c r="G291" i="8"/>
  <c r="O290" i="8"/>
  <c r="N290" i="8"/>
  <c r="M290" i="8"/>
  <c r="K290" i="8"/>
  <c r="J290" i="8"/>
  <c r="H290" i="8"/>
  <c r="G290" i="8"/>
  <c r="M289" i="8"/>
  <c r="J289" i="8"/>
  <c r="G289" i="8"/>
  <c r="O288" i="8"/>
  <c r="N288" i="8"/>
  <c r="M288" i="8"/>
  <c r="K288" i="8"/>
  <c r="J288" i="8"/>
  <c r="G288" i="8"/>
  <c r="N287" i="8"/>
  <c r="M287" i="8"/>
  <c r="K287" i="8"/>
  <c r="J287" i="8"/>
  <c r="G287" i="8"/>
  <c r="O286" i="8"/>
  <c r="N286" i="8"/>
  <c r="M286" i="8"/>
  <c r="L286" i="8"/>
  <c r="K286" i="8"/>
  <c r="J286" i="8"/>
  <c r="H286" i="8"/>
  <c r="G286" i="8"/>
  <c r="M285" i="8"/>
  <c r="J285" i="8"/>
  <c r="G285" i="8"/>
  <c r="O284" i="8"/>
  <c r="N284" i="8"/>
  <c r="M284" i="8"/>
  <c r="L284" i="8"/>
  <c r="K284" i="8"/>
  <c r="J284" i="8"/>
  <c r="H284" i="8"/>
  <c r="G284" i="8"/>
  <c r="O283" i="8"/>
  <c r="N283" i="8"/>
  <c r="M283" i="8"/>
  <c r="L283" i="8"/>
  <c r="K283" i="8"/>
  <c r="J283" i="8"/>
  <c r="G283" i="8"/>
  <c r="J282" i="8"/>
  <c r="G282" i="8"/>
  <c r="J272" i="8"/>
  <c r="G272" i="8"/>
  <c r="O271" i="8"/>
  <c r="L270" i="8"/>
  <c r="L265" i="8"/>
  <c r="I265" i="8"/>
  <c r="G256" i="8"/>
  <c r="Y229" i="8" s="1"/>
  <c r="G255" i="8"/>
  <c r="Y231" i="8" s="1"/>
  <c r="G252" i="8"/>
  <c r="H250" i="8"/>
  <c r="I250" i="8" s="1"/>
  <c r="H249" i="8"/>
  <c r="G249" i="8"/>
  <c r="K248" i="8"/>
  <c r="L248" i="8" s="1"/>
  <c r="G248" i="8"/>
  <c r="O247" i="8"/>
  <c r="N245" i="8"/>
  <c r="O245" i="8" s="1"/>
  <c r="K244" i="8"/>
  <c r="J244" i="8"/>
  <c r="Z235" i="8" s="1"/>
  <c r="H244" i="8"/>
  <c r="G244" i="8"/>
  <c r="L242" i="8"/>
  <c r="H242" i="8"/>
  <c r="G242" i="8"/>
  <c r="K241" i="8"/>
  <c r="J241" i="8"/>
  <c r="Z228" i="8" s="1"/>
  <c r="H241" i="8"/>
  <c r="G241" i="8"/>
  <c r="Z239" i="8"/>
  <c r="Y239" i="8"/>
  <c r="AA235" i="8"/>
  <c r="K235" i="8"/>
  <c r="L235" i="8" s="1"/>
  <c r="H235" i="8"/>
  <c r="I235" i="8" s="1"/>
  <c r="Y234" i="8"/>
  <c r="H234" i="8"/>
  <c r="I234" i="8" s="1"/>
  <c r="Y233" i="8"/>
  <c r="I233" i="8"/>
  <c r="AA232" i="8"/>
  <c r="Z232" i="8"/>
  <c r="Y232" i="8"/>
  <c r="I232" i="8"/>
  <c r="AA231" i="8"/>
  <c r="Z231" i="8"/>
  <c r="I231" i="8"/>
  <c r="AA230" i="8"/>
  <c r="Z230" i="8"/>
  <c r="N230" i="8"/>
  <c r="O230" i="8" s="1"/>
  <c r="K230" i="8"/>
  <c r="L230" i="8" s="1"/>
  <c r="H230" i="8"/>
  <c r="I230" i="8" s="1"/>
  <c r="AA229" i="8"/>
  <c r="Z229" i="8"/>
  <c r="L229" i="8"/>
  <c r="L290" i="8" s="1"/>
  <c r="I229" i="8"/>
  <c r="I290" i="8" s="1"/>
  <c r="AA228" i="8"/>
  <c r="N228" i="8"/>
  <c r="N282" i="8" s="1"/>
  <c r="M228" i="8"/>
  <c r="AA239" i="8" s="1"/>
  <c r="K228" i="8"/>
  <c r="H228" i="8"/>
  <c r="I228" i="8" s="1"/>
  <c r="M227" i="8"/>
  <c r="J227" i="8"/>
  <c r="G227" i="8"/>
  <c r="N219" i="8"/>
  <c r="O219" i="8" s="1"/>
  <c r="K219" i="8"/>
  <c r="L219" i="8" s="1"/>
  <c r="H219" i="8"/>
  <c r="I219" i="8" s="1"/>
  <c r="M208" i="8"/>
  <c r="AA203" i="8" s="1"/>
  <c r="J208" i="8"/>
  <c r="H208" i="8"/>
  <c r="I208" i="8" s="1"/>
  <c r="AA206" i="8"/>
  <c r="Z206" i="8"/>
  <c r="Y206" i="8"/>
  <c r="O206" i="8"/>
  <c r="O293" i="8" s="1"/>
  <c r="L206" i="8"/>
  <c r="L293" i="8" s="1"/>
  <c r="I206" i="8"/>
  <c r="AA205" i="8"/>
  <c r="Z205" i="8"/>
  <c r="Y205" i="8"/>
  <c r="O205" i="8"/>
  <c r="L205" i="8"/>
  <c r="I205" i="8"/>
  <c r="AA204" i="8"/>
  <c r="Z204" i="8"/>
  <c r="Y204" i="8"/>
  <c r="N204" i="8"/>
  <c r="N227" i="8" s="1"/>
  <c r="K204" i="8"/>
  <c r="I204" i="8"/>
  <c r="Z203" i="8"/>
  <c r="Y203" i="8"/>
  <c r="O203" i="8"/>
  <c r="L203" i="8"/>
  <c r="H203" i="8"/>
  <c r="H227" i="8" s="1"/>
  <c r="N200" i="8"/>
  <c r="N201" i="8" s="1"/>
  <c r="M200" i="8"/>
  <c r="M201" i="8" s="1"/>
  <c r="K200" i="8"/>
  <c r="K201" i="8" s="1"/>
  <c r="J200" i="8"/>
  <c r="J201" i="8" s="1"/>
  <c r="G200" i="8"/>
  <c r="G201" i="8" s="1"/>
  <c r="J198" i="8"/>
  <c r="Z162" i="8" s="1"/>
  <c r="J197" i="8"/>
  <c r="I191" i="8"/>
  <c r="H181" i="8"/>
  <c r="I181" i="8" s="1"/>
  <c r="H173" i="8"/>
  <c r="I173" i="8" s="1"/>
  <c r="H172" i="8"/>
  <c r="G172" i="8"/>
  <c r="M166" i="8"/>
  <c r="AA159" i="8" s="1"/>
  <c r="J166" i="8"/>
  <c r="G166" i="8"/>
  <c r="Y159" i="8" s="1"/>
  <c r="G165" i="8"/>
  <c r="Y160" i="8" s="1"/>
  <c r="M164" i="8"/>
  <c r="AA158" i="8" s="1"/>
  <c r="J164" i="8"/>
  <c r="Z158" i="8" s="1"/>
  <c r="H164" i="8"/>
  <c r="G164" i="8"/>
  <c r="AA162" i="8"/>
  <c r="Y162" i="8"/>
  <c r="O162" i="8"/>
  <c r="L162" i="8"/>
  <c r="AA161" i="8"/>
  <c r="Z161" i="8"/>
  <c r="Y161" i="8"/>
  <c r="I161" i="8"/>
  <c r="AA160" i="8"/>
  <c r="Z160" i="8"/>
  <c r="H160" i="8"/>
  <c r="I160" i="8" s="1"/>
  <c r="O159" i="8"/>
  <c r="L159" i="8"/>
  <c r="I159" i="8"/>
  <c r="O158" i="8"/>
  <c r="L158" i="8"/>
  <c r="H158" i="8"/>
  <c r="M155" i="8"/>
  <c r="M156" i="8" s="1"/>
  <c r="J155" i="8"/>
  <c r="J156" i="8" s="1"/>
  <c r="H150" i="8"/>
  <c r="I150" i="8" s="1"/>
  <c r="H149" i="8"/>
  <c r="I149" i="8" s="1"/>
  <c r="J139" i="8"/>
  <c r="I129" i="8"/>
  <c r="J125" i="8"/>
  <c r="G125" i="8"/>
  <c r="H123" i="8"/>
  <c r="I123" i="8" s="1"/>
  <c r="G118" i="8"/>
  <c r="H117" i="8"/>
  <c r="I117" i="8" s="1"/>
  <c r="H115" i="8"/>
  <c r="I115" i="8" s="1"/>
  <c r="H112" i="8"/>
  <c r="G112" i="8"/>
  <c r="H102" i="8"/>
  <c r="I102" i="8" s="1"/>
  <c r="L93" i="8"/>
  <c r="I93" i="8"/>
  <c r="M87" i="8"/>
  <c r="G81" i="8"/>
  <c r="H80" i="8"/>
  <c r="I80" i="8" s="1"/>
  <c r="M79" i="8"/>
  <c r="J79" i="8"/>
  <c r="G79" i="8"/>
  <c r="H77" i="8"/>
  <c r="G77" i="8"/>
  <c r="G75" i="8"/>
  <c r="G74" i="8"/>
  <c r="Y21" i="8" s="1"/>
  <c r="H73" i="8"/>
  <c r="G73" i="8"/>
  <c r="G72" i="8"/>
  <c r="M68" i="8"/>
  <c r="G68" i="8"/>
  <c r="M66" i="8"/>
  <c r="G66" i="8"/>
  <c r="G65" i="8"/>
  <c r="G63" i="8"/>
  <c r="G61" i="8"/>
  <c r="G60" i="8"/>
  <c r="J55" i="8"/>
  <c r="N54" i="8"/>
  <c r="O54" i="8" s="1"/>
  <c r="O53" i="8"/>
  <c r="L53" i="8"/>
  <c r="H53" i="8"/>
  <c r="I53" i="8" s="1"/>
  <c r="N52" i="8"/>
  <c r="M52" i="8"/>
  <c r="AA24" i="8" s="1"/>
  <c r="K52" i="8"/>
  <c r="J52" i="8"/>
  <c r="Z24" i="8" s="1"/>
  <c r="G52" i="8"/>
  <c r="H51" i="8"/>
  <c r="I51" i="8" s="1"/>
  <c r="I50" i="8"/>
  <c r="M48" i="8"/>
  <c r="J48" i="8"/>
  <c r="G42" i="8"/>
  <c r="Y25" i="8" s="1"/>
  <c r="I40" i="8"/>
  <c r="H39" i="8"/>
  <c r="G39" i="8"/>
  <c r="H38" i="8"/>
  <c r="G38" i="8"/>
  <c r="G36" i="8"/>
  <c r="N35" i="8"/>
  <c r="M35" i="8"/>
  <c r="AA19" i="8" s="1"/>
  <c r="K35" i="8"/>
  <c r="J35" i="8"/>
  <c r="Z19" i="8" s="1"/>
  <c r="G35" i="8"/>
  <c r="H33" i="8"/>
  <c r="I33" i="8" s="1"/>
  <c r="K32" i="8"/>
  <c r="J32" i="8"/>
  <c r="Z23" i="8" s="1"/>
  <c r="G32" i="8"/>
  <c r="Y23" i="8" s="1"/>
  <c r="M29" i="8"/>
  <c r="AA28" i="8"/>
  <c r="Z28" i="8"/>
  <c r="Y28" i="8"/>
  <c r="H28" i="8"/>
  <c r="H292" i="8" s="1"/>
  <c r="G28" i="8"/>
  <c r="G292" i="8" s="1"/>
  <c r="AA26" i="8"/>
  <c r="Z26" i="8"/>
  <c r="Y26" i="8"/>
  <c r="H26" i="8"/>
  <c r="AA25" i="8"/>
  <c r="Z25" i="8"/>
  <c r="L25" i="8"/>
  <c r="L300" i="8" s="1"/>
  <c r="I25" i="8"/>
  <c r="I300" i="8" s="1"/>
  <c r="N24" i="8"/>
  <c r="N297" i="8" s="1"/>
  <c r="K24" i="8"/>
  <c r="H24" i="8"/>
  <c r="G24" i="8"/>
  <c r="G297" i="8" s="1"/>
  <c r="AA23" i="8"/>
  <c r="N23" i="8"/>
  <c r="N299" i="8" s="1"/>
  <c r="K23" i="8"/>
  <c r="K299" i="8" s="1"/>
  <c r="H23" i="8"/>
  <c r="H299" i="8" s="1"/>
  <c r="G23" i="8"/>
  <c r="AA22" i="8"/>
  <c r="Z22" i="8"/>
  <c r="Y22" i="8"/>
  <c r="O22" i="8"/>
  <c r="O298" i="8" s="1"/>
  <c r="L22" i="8"/>
  <c r="L298" i="8" s="1"/>
  <c r="I22" i="8"/>
  <c r="I298" i="8" s="1"/>
  <c r="O21" i="8"/>
  <c r="O287" i="8" s="1"/>
  <c r="L21" i="8"/>
  <c r="L287" i="8" s="1"/>
  <c r="H21" i="8"/>
  <c r="H287" i="8" s="1"/>
  <c r="AA20" i="8"/>
  <c r="Z20" i="8"/>
  <c r="Y20" i="8"/>
  <c r="L20" i="8"/>
  <c r="L288" i="8" s="1"/>
  <c r="H20" i="8"/>
  <c r="H288" i="8" s="1"/>
  <c r="N19" i="8"/>
  <c r="K19" i="8"/>
  <c r="H19" i="8"/>
  <c r="AA18" i="8"/>
  <c r="Z18" i="8"/>
  <c r="Y18" i="8"/>
  <c r="I18" i="8"/>
  <c r="I286" i="8" s="1"/>
  <c r="AA17" i="8"/>
  <c r="Z17" i="8"/>
  <c r="Y17" i="8"/>
  <c r="H17" i="8"/>
  <c r="H283" i="8" s="1"/>
  <c r="AA16" i="8"/>
  <c r="Z16" i="8"/>
  <c r="Y16" i="8"/>
  <c r="I16" i="8"/>
  <c r="I284" i="8" s="1"/>
  <c r="O15" i="8"/>
  <c r="K15" i="8"/>
  <c r="H15" i="8"/>
  <c r="I15" i="8" s="1"/>
  <c r="I21" i="8" l="1"/>
  <c r="I287" i="8" s="1"/>
  <c r="O52" i="8"/>
  <c r="Y230" i="8"/>
  <c r="I39" i="8"/>
  <c r="H295" i="8"/>
  <c r="L35" i="8"/>
  <c r="J273" i="8"/>
  <c r="K272" i="8"/>
  <c r="I77" i="8"/>
  <c r="Z15" i="8"/>
  <c r="I73" i="8"/>
  <c r="I28" i="8"/>
  <c r="I292" i="8" s="1"/>
  <c r="L32" i="8"/>
  <c r="Y19" i="8"/>
  <c r="Y235" i="8"/>
  <c r="Z159" i="8"/>
  <c r="Z163" i="8" s="1"/>
  <c r="Z164" i="8" s="1"/>
  <c r="L241" i="8"/>
  <c r="H297" i="8"/>
  <c r="O35" i="8"/>
  <c r="I244" i="8"/>
  <c r="I249" i="8"/>
  <c r="I70" i="7"/>
  <c r="H282" i="8"/>
  <c r="H289" i="8"/>
  <c r="K282" i="8"/>
  <c r="I23" i="8"/>
  <c r="I299" i="8" s="1"/>
  <c r="K297" i="8"/>
  <c r="K296" i="8" s="1"/>
  <c r="AA15" i="8"/>
  <c r="AA29" i="8" s="1"/>
  <c r="AA30" i="8" s="1"/>
  <c r="I112" i="8"/>
  <c r="I285" i="8"/>
  <c r="I164" i="8"/>
  <c r="K285" i="8"/>
  <c r="I242" i="8"/>
  <c r="I36" i="7"/>
  <c r="I77" i="7"/>
  <c r="G167" i="7"/>
  <c r="I54" i="7"/>
  <c r="I76" i="7"/>
  <c r="I17" i="8"/>
  <c r="I283" i="8" s="1"/>
  <c r="L24" i="8"/>
  <c r="L297" i="8" s="1"/>
  <c r="I203" i="8"/>
  <c r="I227" i="8" s="1"/>
  <c r="L204" i="8"/>
  <c r="L227" i="8" s="1"/>
  <c r="I26" i="8"/>
  <c r="Y158" i="8"/>
  <c r="Y163" i="8" s="1"/>
  <c r="Y164" i="8" s="1"/>
  <c r="Z236" i="8"/>
  <c r="Z237" i="8" s="1"/>
  <c r="I38" i="8"/>
  <c r="O23" i="8"/>
  <c r="O299" i="8" s="1"/>
  <c r="I172" i="8"/>
  <c r="O204" i="8"/>
  <c r="O227" i="8" s="1"/>
  <c r="L244" i="8"/>
  <c r="M282" i="8"/>
  <c r="M281" i="8" s="1"/>
  <c r="M280" i="8" s="1"/>
  <c r="Y15" i="8"/>
  <c r="Z29" i="8"/>
  <c r="Z30" i="8" s="1"/>
  <c r="I19" i="8"/>
  <c r="I289" i="8" s="1"/>
  <c r="H155" i="8"/>
  <c r="H156" i="8" s="1"/>
  <c r="G299" i="8"/>
  <c r="G296" i="8" s="1"/>
  <c r="G155" i="8"/>
  <c r="AA163" i="8"/>
  <c r="AA164" i="8" s="1"/>
  <c r="O228" i="8"/>
  <c r="O272" i="8" s="1"/>
  <c r="O273" i="8" s="1"/>
  <c r="O200" i="8"/>
  <c r="O201" i="8" s="1"/>
  <c r="AA236" i="8"/>
  <c r="I241" i="8"/>
  <c r="M272" i="8"/>
  <c r="M273" i="8" s="1"/>
  <c r="M274" i="8" s="1"/>
  <c r="M275" i="8" s="1"/>
  <c r="M296" i="8"/>
  <c r="J281" i="8"/>
  <c r="J280" i="8" s="1"/>
  <c r="J296" i="8"/>
  <c r="G281" i="8"/>
  <c r="G280" i="8" s="1"/>
  <c r="I272" i="8"/>
  <c r="I273" i="8" s="1"/>
  <c r="N155" i="8"/>
  <c r="N156" i="8" s="1"/>
  <c r="N289" i="8"/>
  <c r="L23" i="8"/>
  <c r="L299" i="8" s="1"/>
  <c r="I24" i="8"/>
  <c r="I297" i="8" s="1"/>
  <c r="I296" i="8" s="1"/>
  <c r="O24" i="8"/>
  <c r="O297" i="8" s="1"/>
  <c r="L52" i="8"/>
  <c r="G273" i="8"/>
  <c r="N272" i="8"/>
  <c r="N273" i="8" s="1"/>
  <c r="L15" i="8"/>
  <c r="K289" i="8"/>
  <c r="L19" i="8"/>
  <c r="L289" i="8" s="1"/>
  <c r="O19" i="8"/>
  <c r="I20" i="8"/>
  <c r="I288" i="8" s="1"/>
  <c r="H296" i="8"/>
  <c r="N296" i="8"/>
  <c r="I295" i="8"/>
  <c r="H200" i="8"/>
  <c r="H201" i="8" s="1"/>
  <c r="I158" i="8"/>
  <c r="I200" i="8" s="1"/>
  <c r="I201" i="8" s="1"/>
  <c r="O285" i="8"/>
  <c r="N285" i="8"/>
  <c r="L228" i="8"/>
  <c r="L272" i="8" s="1"/>
  <c r="Y228" i="8"/>
  <c r="O282" i="8"/>
  <c r="Y24" i="8"/>
  <c r="G156" i="8"/>
  <c r="K155" i="8"/>
  <c r="K156" i="8" s="1"/>
  <c r="L200" i="8"/>
  <c r="L201" i="8" s="1"/>
  <c r="I293" i="8"/>
  <c r="K227" i="8"/>
  <c r="H272" i="8"/>
  <c r="H273" i="8" s="1"/>
  <c r="J274" i="8"/>
  <c r="J275" i="8" s="1"/>
  <c r="H285" i="8"/>
  <c r="N274" i="8" l="1"/>
  <c r="N275" i="8" s="1"/>
  <c r="K273" i="8"/>
  <c r="Y29" i="8"/>
  <c r="Y30" i="8" s="1"/>
  <c r="Y236" i="8"/>
  <c r="Y237" i="8" s="1"/>
  <c r="AA237" i="8"/>
  <c r="I155" i="8"/>
  <c r="I156" i="8" s="1"/>
  <c r="I274" i="8" s="1"/>
  <c r="I275" i="8" s="1"/>
  <c r="N281" i="8"/>
  <c r="N280" i="8" s="1"/>
  <c r="N301" i="8" s="1"/>
  <c r="I282" i="8"/>
  <c r="I281" i="8" s="1"/>
  <c r="I280" i="8" s="1"/>
  <c r="I301" i="8" s="1"/>
  <c r="O296" i="8"/>
  <c r="K281" i="8"/>
  <c r="K280" i="8" s="1"/>
  <c r="L296" i="8"/>
  <c r="H281" i="8"/>
  <c r="H280" i="8" s="1"/>
  <c r="L285" i="8"/>
  <c r="K301" i="8"/>
  <c r="M301" i="8"/>
  <c r="K274" i="8"/>
  <c r="K275" i="8" s="1"/>
  <c r="L273" i="8"/>
  <c r="G301" i="8"/>
  <c r="J301" i="8"/>
  <c r="H301" i="8"/>
  <c r="O289" i="8"/>
  <c r="O281" i="8" s="1"/>
  <c r="O280" i="8" s="1"/>
  <c r="O301" i="8" s="1"/>
  <c r="O155" i="8"/>
  <c r="O156" i="8" s="1"/>
  <c r="O274" i="8" s="1"/>
  <c r="O275" i="8" s="1"/>
  <c r="G274" i="8"/>
  <c r="G275" i="8" s="1"/>
  <c r="L282" i="8"/>
  <c r="L281" i="8" s="1"/>
  <c r="L280" i="8" s="1"/>
  <c r="L301" i="8" s="1"/>
  <c r="L155" i="8"/>
  <c r="L156" i="8" s="1"/>
  <c r="L274" i="8" s="1"/>
  <c r="L275" i="8" s="1"/>
  <c r="H274" i="8"/>
  <c r="H275" i="8" s="1"/>
  <c r="N231" i="7" l="1"/>
  <c r="K231" i="7"/>
  <c r="H40" i="7" l="1"/>
  <c r="I41" i="7"/>
  <c r="H26" i="7" l="1"/>
  <c r="H79" i="7" l="1"/>
  <c r="L19" i="7" l="1"/>
  <c r="K36" i="7"/>
  <c r="K23" i="7"/>
  <c r="L15" i="7"/>
  <c r="N24" i="7"/>
  <c r="K24" i="7"/>
  <c r="O21" i="7"/>
  <c r="L21" i="7"/>
  <c r="H17" i="7"/>
  <c r="N23" i="7"/>
  <c r="H20" i="7"/>
  <c r="L20" i="7"/>
  <c r="K260" i="7" l="1"/>
  <c r="L260" i="7" s="1"/>
  <c r="I203" i="7"/>
  <c r="L95" i="7"/>
  <c r="I95" i="7"/>
  <c r="I82" i="7"/>
  <c r="H75" i="7" l="1"/>
  <c r="N56" i="7"/>
  <c r="O56" i="7" s="1"/>
  <c r="O55" i="7"/>
  <c r="N54" i="7"/>
  <c r="L55" i="7"/>
  <c r="K54" i="7"/>
  <c r="H55" i="7"/>
  <c r="I55" i="7" s="1"/>
  <c r="I52" i="7"/>
  <c r="H53" i="7"/>
  <c r="I53" i="7" s="1"/>
  <c r="H39" i="7"/>
  <c r="K33" i="7"/>
  <c r="I34" i="7"/>
  <c r="G37" i="7"/>
  <c r="H37" i="7" s="1"/>
  <c r="I37" i="7" s="1"/>
  <c r="I232" i="6" l="1"/>
  <c r="H237" i="6"/>
  <c r="G237" i="6"/>
  <c r="G205" i="6"/>
  <c r="L242" i="7"/>
  <c r="I242" i="7"/>
  <c r="N242" i="7"/>
  <c r="O242" i="7" s="1"/>
  <c r="L240" i="7"/>
  <c r="K247" i="7"/>
  <c r="L247" i="7" s="1"/>
  <c r="H247" i="7"/>
  <c r="I240" i="7"/>
  <c r="O216" i="7"/>
  <c r="L216" i="7"/>
  <c r="I216" i="7"/>
  <c r="H215" i="7"/>
  <c r="I215" i="7" s="1"/>
  <c r="I26" i="7"/>
  <c r="I19" i="7"/>
  <c r="O23" i="7"/>
  <c r="O24" i="7"/>
  <c r="O22" i="7"/>
  <c r="O19" i="7"/>
  <c r="O15" i="7"/>
  <c r="L23" i="7"/>
  <c r="L24" i="7"/>
  <c r="L25" i="7"/>
  <c r="L22" i="7"/>
  <c r="I17" i="7"/>
  <c r="I18" i="7"/>
  <c r="I20" i="7"/>
  <c r="I21" i="7"/>
  <c r="I22" i="7"/>
  <c r="I25" i="7"/>
  <c r="I16" i="7"/>
  <c r="I15" i="7"/>
  <c r="H28" i="7"/>
  <c r="H24" i="7"/>
  <c r="H23" i="7"/>
  <c r="O174" i="7"/>
  <c r="O171" i="7"/>
  <c r="O170" i="7"/>
  <c r="L174" i="7"/>
  <c r="L171" i="7"/>
  <c r="L170" i="7"/>
  <c r="I173" i="7"/>
  <c r="I171" i="7"/>
  <c r="I170" i="7"/>
  <c r="O217" i="7"/>
  <c r="O218" i="7"/>
  <c r="O215" i="7"/>
  <c r="L217" i="7"/>
  <c r="L218" i="7"/>
  <c r="L215" i="7"/>
  <c r="I217" i="7"/>
  <c r="I218" i="7"/>
  <c r="L241" i="7"/>
  <c r="I246" i="7"/>
  <c r="I245" i="7"/>
  <c r="I244" i="7"/>
  <c r="I243" i="7"/>
  <c r="I241" i="7"/>
  <c r="L282" i="7"/>
  <c r="L277" i="7"/>
  <c r="I277" i="7"/>
  <c r="H167" i="7" l="1"/>
  <c r="O240" i="7"/>
  <c r="I172" i="7"/>
  <c r="H212" i="7"/>
  <c r="H284" i="7"/>
  <c r="L284" i="7"/>
  <c r="I247" i="7"/>
  <c r="O259" i="7" l="1"/>
  <c r="N257" i="7"/>
  <c r="O257" i="7" s="1"/>
  <c r="K256" i="7"/>
  <c r="H256" i="7"/>
  <c r="O231" i="7"/>
  <c r="L231" i="7"/>
  <c r="I231" i="7"/>
  <c r="H220" i="7"/>
  <c r="I220" i="7" s="1"/>
  <c r="H193" i="7"/>
  <c r="I193" i="7" s="1"/>
  <c r="I139" i="7"/>
  <c r="H162" i="7"/>
  <c r="I162" i="7" s="1"/>
  <c r="H161" i="7"/>
  <c r="I161" i="7" s="1"/>
  <c r="H133" i="7"/>
  <c r="I133" i="7" s="1"/>
  <c r="H127" i="7"/>
  <c r="I127" i="7" s="1"/>
  <c r="H125" i="7"/>
  <c r="I125" i="7" s="1"/>
  <c r="I104" i="7"/>
  <c r="G25" i="6" l="1"/>
  <c r="H273" i="6"/>
  <c r="I273" i="6"/>
  <c r="G273" i="6"/>
  <c r="G98" i="6"/>
  <c r="G29" i="6"/>
  <c r="G24" i="6"/>
  <c r="G157" i="6" l="1"/>
  <c r="I28" i="7"/>
  <c r="AA20" i="7"/>
  <c r="Z20" i="7"/>
  <c r="Y20" i="7"/>
  <c r="I24" i="7"/>
  <c r="I23" i="7"/>
  <c r="Y18" i="7"/>
  <c r="Y17" i="7"/>
  <c r="Y16" i="7"/>
  <c r="Y174" i="7"/>
  <c r="Z251" i="7"/>
  <c r="AA251" i="7"/>
  <c r="Y251" i="7"/>
  <c r="O284" i="7"/>
  <c r="N284" i="7"/>
  <c r="M284" i="7"/>
  <c r="K284" i="7"/>
  <c r="J284" i="7"/>
  <c r="I284" i="7"/>
  <c r="G284" i="7"/>
  <c r="G296" i="7"/>
  <c r="Y246" i="7"/>
  <c r="Y245" i="7"/>
  <c r="I261" i="7"/>
  <c r="I254" i="7"/>
  <c r="I122" i="7"/>
  <c r="Y28" i="7"/>
  <c r="Y21" i="7"/>
  <c r="Y178" i="7" l="1"/>
  <c r="I167" i="7"/>
  <c r="G174" i="6"/>
  <c r="G167" i="6"/>
  <c r="P162" i="6" s="1"/>
  <c r="G166" i="6"/>
  <c r="Y26" i="7"/>
  <c r="G73" i="6"/>
  <c r="G212" i="7" l="1"/>
  <c r="Y172" i="7"/>
  <c r="I79" i="7"/>
  <c r="O312" i="7" l="1"/>
  <c r="O311" i="7"/>
  <c r="O310" i="7"/>
  <c r="O309" i="7"/>
  <c r="O307" i="7"/>
  <c r="O306" i="7"/>
  <c r="O305" i="7"/>
  <c r="O304" i="7"/>
  <c r="O303" i="7"/>
  <c r="O301" i="7"/>
  <c r="O300" i="7"/>
  <c r="O299" i="7"/>
  <c r="O298" i="7"/>
  <c r="O297" i="7"/>
  <c r="O296" i="7"/>
  <c r="O302" i="7"/>
  <c r="O295" i="7"/>
  <c r="O294" i="7"/>
  <c r="N312" i="7"/>
  <c r="N311" i="7"/>
  <c r="N310" i="7"/>
  <c r="N309" i="7"/>
  <c r="N307" i="7"/>
  <c r="N306" i="7"/>
  <c r="N305" i="7"/>
  <c r="N303" i="7"/>
  <c r="N302" i="7"/>
  <c r="N301" i="7"/>
  <c r="N300" i="7"/>
  <c r="N299" i="7"/>
  <c r="N298" i="7"/>
  <c r="N297" i="7"/>
  <c r="N296" i="7"/>
  <c r="N295" i="7"/>
  <c r="N294" i="7"/>
  <c r="L312" i="7"/>
  <c r="L311" i="7"/>
  <c r="L310" i="7"/>
  <c r="L309" i="7"/>
  <c r="L307" i="7"/>
  <c r="L306" i="7"/>
  <c r="L305" i="7"/>
  <c r="L304" i="7"/>
  <c r="L303" i="7"/>
  <c r="L302" i="7"/>
  <c r="L301" i="7"/>
  <c r="L300" i="7"/>
  <c r="L299" i="7"/>
  <c r="L298" i="7"/>
  <c r="L297" i="7"/>
  <c r="L296" i="7"/>
  <c r="L295" i="7"/>
  <c r="L294" i="7"/>
  <c r="K312" i="7"/>
  <c r="K311" i="7"/>
  <c r="K310" i="7"/>
  <c r="K309" i="7"/>
  <c r="K307" i="7"/>
  <c r="K306" i="7"/>
  <c r="K304" i="7"/>
  <c r="K305" i="7"/>
  <c r="K303" i="7"/>
  <c r="K302" i="7"/>
  <c r="K301" i="7"/>
  <c r="K300" i="7"/>
  <c r="K299" i="7"/>
  <c r="K298" i="7"/>
  <c r="K297" i="7"/>
  <c r="K296" i="7"/>
  <c r="K295" i="7"/>
  <c r="K294" i="7"/>
  <c r="I312" i="7"/>
  <c r="I311" i="7"/>
  <c r="I310" i="7"/>
  <c r="I309" i="7"/>
  <c r="I307" i="7"/>
  <c r="I306" i="7"/>
  <c r="I305" i="7"/>
  <c r="I304" i="7"/>
  <c r="I303" i="7"/>
  <c r="I302" i="7"/>
  <c r="I301" i="7"/>
  <c r="I300" i="7"/>
  <c r="I299" i="7"/>
  <c r="I298" i="7"/>
  <c r="I297" i="7"/>
  <c r="I296" i="7"/>
  <c r="I295" i="7"/>
  <c r="I294" i="7"/>
  <c r="H312" i="7"/>
  <c r="H311" i="7"/>
  <c r="H310" i="7"/>
  <c r="H309" i="7"/>
  <c r="H307" i="7"/>
  <c r="H306" i="7"/>
  <c r="H305" i="7"/>
  <c r="H304" i="7"/>
  <c r="H303" i="7"/>
  <c r="H302" i="7"/>
  <c r="H301" i="7"/>
  <c r="H300" i="7"/>
  <c r="H299" i="7"/>
  <c r="H298" i="7"/>
  <c r="H297" i="7"/>
  <c r="H296" i="7"/>
  <c r="H295" i="7"/>
  <c r="H294" i="7"/>
  <c r="N239" i="7" l="1"/>
  <c r="N285" i="7" s="1"/>
  <c r="N212" i="7"/>
  <c r="N213" i="7" s="1"/>
  <c r="N167" i="7"/>
  <c r="N168" i="7" s="1"/>
  <c r="O239" i="7"/>
  <c r="O285" i="7" s="1"/>
  <c r="O212" i="7"/>
  <c r="O213" i="7" s="1"/>
  <c r="O167" i="7"/>
  <c r="O168" i="7" s="1"/>
  <c r="K239" i="7"/>
  <c r="K285" i="7" s="1"/>
  <c r="K212" i="7"/>
  <c r="K213" i="7" s="1"/>
  <c r="K167" i="7"/>
  <c r="K168" i="7" s="1"/>
  <c r="L239" i="7"/>
  <c r="L285" i="7" s="1"/>
  <c r="L212" i="7"/>
  <c r="L213" i="7" s="1"/>
  <c r="L167" i="7"/>
  <c r="L168" i="7" s="1"/>
  <c r="H239" i="7"/>
  <c r="H285" i="7" s="1"/>
  <c r="H213" i="7"/>
  <c r="H168" i="7"/>
  <c r="I239" i="7"/>
  <c r="I285" i="7" s="1"/>
  <c r="I212" i="7"/>
  <c r="I213" i="7" s="1"/>
  <c r="I168" i="7"/>
  <c r="M312" i="7"/>
  <c r="J312" i="7"/>
  <c r="G312" i="7"/>
  <c r="M311" i="7"/>
  <c r="J311" i="7"/>
  <c r="G311" i="7"/>
  <c r="M310" i="7"/>
  <c r="J310" i="7"/>
  <c r="G310" i="7"/>
  <c r="M309" i="7"/>
  <c r="J309" i="7"/>
  <c r="G309" i="7"/>
  <c r="M307" i="7"/>
  <c r="J307" i="7"/>
  <c r="G307" i="7"/>
  <c r="M306" i="7"/>
  <c r="J306" i="7"/>
  <c r="G306" i="7"/>
  <c r="M305" i="7"/>
  <c r="J305" i="7"/>
  <c r="G305" i="7"/>
  <c r="J304" i="7"/>
  <c r="G304" i="7"/>
  <c r="M303" i="7"/>
  <c r="J303" i="7"/>
  <c r="G303" i="7"/>
  <c r="M302" i="7"/>
  <c r="J302" i="7"/>
  <c r="G302" i="7"/>
  <c r="M301" i="7"/>
  <c r="J301" i="7"/>
  <c r="G301" i="7"/>
  <c r="M300" i="7"/>
  <c r="J300" i="7"/>
  <c r="G300" i="7"/>
  <c r="M299" i="7"/>
  <c r="J299" i="7"/>
  <c r="G299" i="7"/>
  <c r="M298" i="7"/>
  <c r="J298" i="7"/>
  <c r="G298" i="7"/>
  <c r="M297" i="7"/>
  <c r="J297" i="7"/>
  <c r="G297" i="7"/>
  <c r="M296" i="7"/>
  <c r="J296" i="7"/>
  <c r="M295" i="7"/>
  <c r="J295" i="7"/>
  <c r="G295" i="7"/>
  <c r="M294" i="7"/>
  <c r="J294" i="7"/>
  <c r="G294" i="7"/>
  <c r="G268" i="7"/>
  <c r="G267" i="7"/>
  <c r="G264" i="7"/>
  <c r="H264" i="7" s="1"/>
  <c r="I264" i="7" s="1"/>
  <c r="G260" i="7"/>
  <c r="H260" i="7" s="1"/>
  <c r="I260" i="7" s="1"/>
  <c r="AA247" i="7"/>
  <c r="AA244" i="7"/>
  <c r="Z244" i="7"/>
  <c r="Y244" i="7"/>
  <c r="AA243" i="7"/>
  <c r="Z243" i="7"/>
  <c r="AA242" i="7"/>
  <c r="Z242" i="7"/>
  <c r="Y242" i="7"/>
  <c r="AA241" i="7"/>
  <c r="Z241" i="7"/>
  <c r="AA240" i="7"/>
  <c r="M239" i="7"/>
  <c r="M285" i="7" s="1"/>
  <c r="J239" i="7"/>
  <c r="J285" i="7" s="1"/>
  <c r="G239" i="7"/>
  <c r="G285" i="7" s="1"/>
  <c r="M220" i="7"/>
  <c r="J220" i="7"/>
  <c r="AA218" i="7"/>
  <c r="Z218" i="7"/>
  <c r="Y218" i="7"/>
  <c r="AA217" i="7"/>
  <c r="Z217" i="7"/>
  <c r="Y217" i="7"/>
  <c r="AA216" i="7"/>
  <c r="Z216" i="7"/>
  <c r="Y216" i="7"/>
  <c r="Y215" i="7"/>
  <c r="M212" i="7"/>
  <c r="M213" i="7" s="1"/>
  <c r="J212" i="7"/>
  <c r="J213" i="7" s="1"/>
  <c r="G213" i="7"/>
  <c r="J210" i="7"/>
  <c r="J209" i="7"/>
  <c r="K209" i="7" s="1"/>
  <c r="L209" i="7" s="1"/>
  <c r="M178" i="7"/>
  <c r="J178" i="7"/>
  <c r="K178" i="7" s="1"/>
  <c r="L178" i="7" s="1"/>
  <c r="G178" i="7"/>
  <c r="M176" i="7"/>
  <c r="J176" i="7"/>
  <c r="Y170" i="7"/>
  <c r="AA174" i="7"/>
  <c r="AA173" i="7"/>
  <c r="Z173" i="7"/>
  <c r="Y173" i="7"/>
  <c r="AA172" i="7"/>
  <c r="Z172" i="7"/>
  <c r="G168" i="7"/>
  <c r="M167" i="7"/>
  <c r="M168" i="7" s="1"/>
  <c r="J167" i="7"/>
  <c r="J168" i="7" s="1"/>
  <c r="J149" i="7"/>
  <c r="K149" i="7" s="1"/>
  <c r="L149" i="7" s="1"/>
  <c r="J135" i="7"/>
  <c r="G135" i="7"/>
  <c r="I128" i="7"/>
  <c r="M89" i="7"/>
  <c r="N89" i="7" s="1"/>
  <c r="O89" i="7" s="1"/>
  <c r="G83" i="7"/>
  <c r="H83" i="7" s="1"/>
  <c r="I83" i="7" s="1"/>
  <c r="M81" i="7"/>
  <c r="N81" i="7" s="1"/>
  <c r="O81" i="7" s="1"/>
  <c r="J81" i="7"/>
  <c r="I81" i="7"/>
  <c r="I75" i="7"/>
  <c r="M70" i="7"/>
  <c r="N70" i="7" s="1"/>
  <c r="O70" i="7" s="1"/>
  <c r="M68" i="7"/>
  <c r="G68" i="7"/>
  <c r="H68" i="7" s="1"/>
  <c r="I68" i="7" s="1"/>
  <c r="G65" i="7"/>
  <c r="I65" i="7" s="1"/>
  <c r="G63" i="7"/>
  <c r="I63" i="7" s="1"/>
  <c r="J57" i="7"/>
  <c r="K57" i="7" s="1"/>
  <c r="L57" i="7" s="1"/>
  <c r="Y24" i="7"/>
  <c r="M50" i="7"/>
  <c r="N50" i="7" s="1"/>
  <c r="O50" i="7" s="1"/>
  <c r="J50" i="7"/>
  <c r="K50" i="7" s="1"/>
  <c r="L50" i="7" s="1"/>
  <c r="G44" i="7"/>
  <c r="G40" i="7"/>
  <c r="I40" i="7" s="1"/>
  <c r="I39" i="7"/>
  <c r="O36" i="7"/>
  <c r="Y23" i="7"/>
  <c r="O29" i="7"/>
  <c r="AA28" i="7"/>
  <c r="Z28" i="7"/>
  <c r="AA26" i="7"/>
  <c r="Z26" i="7"/>
  <c r="AA25" i="7"/>
  <c r="Z25" i="7"/>
  <c r="AA23" i="7"/>
  <c r="AA22" i="7"/>
  <c r="Z22" i="7"/>
  <c r="Y22" i="7"/>
  <c r="AA18" i="7"/>
  <c r="Z18" i="7"/>
  <c r="AA17" i="7"/>
  <c r="Z17" i="7"/>
  <c r="AA16" i="7"/>
  <c r="Z16" i="7"/>
  <c r="K81" i="7" l="1"/>
  <c r="L81" i="7" s="1"/>
  <c r="K135" i="7"/>
  <c r="L135" i="7" s="1"/>
  <c r="H135" i="7"/>
  <c r="I135" i="7" s="1"/>
  <c r="Y25" i="7"/>
  <c r="H44" i="7"/>
  <c r="I44" i="7" s="1"/>
  <c r="Y171" i="7"/>
  <c r="H178" i="7"/>
  <c r="I178" i="7" s="1"/>
  <c r="AA170" i="7"/>
  <c r="AA175" i="7" s="1"/>
  <c r="AA176" i="7" s="1"/>
  <c r="N176" i="7"/>
  <c r="O176" i="7" s="1"/>
  <c r="Y241" i="7"/>
  <c r="H268" i="7"/>
  <c r="I268" i="7" s="1"/>
  <c r="Z170" i="7"/>
  <c r="K176" i="7"/>
  <c r="L176" i="7" s="1"/>
  <c r="Y243" i="7"/>
  <c r="H267" i="7"/>
  <c r="I267" i="7" s="1"/>
  <c r="AA171" i="7"/>
  <c r="N178" i="7"/>
  <c r="O178" i="7" s="1"/>
  <c r="Z215" i="7"/>
  <c r="K220" i="7"/>
  <c r="L220" i="7" s="1"/>
  <c r="Z174" i="7"/>
  <c r="K210" i="7"/>
  <c r="L210" i="7" s="1"/>
  <c r="AA215" i="7"/>
  <c r="N220" i="7"/>
  <c r="O220" i="7" s="1"/>
  <c r="Y240" i="7"/>
  <c r="Y33" i="7"/>
  <c r="Z15" i="7"/>
  <c r="Y15" i="7"/>
  <c r="Z19" i="7"/>
  <c r="L36" i="7"/>
  <c r="Z24" i="7"/>
  <c r="L54" i="7"/>
  <c r="AA24" i="7"/>
  <c r="O54" i="7"/>
  <c r="Z23" i="7"/>
  <c r="L33" i="7"/>
  <c r="I286" i="7"/>
  <c r="I287" i="7" s="1"/>
  <c r="G286" i="7"/>
  <c r="Y19" i="7"/>
  <c r="J286" i="7"/>
  <c r="J287" i="7" s="1"/>
  <c r="M286" i="7"/>
  <c r="M287" i="7" s="1"/>
  <c r="O286" i="7"/>
  <c r="O287" i="7" s="1"/>
  <c r="L286" i="7"/>
  <c r="L287" i="7" s="1"/>
  <c r="N286" i="7"/>
  <c r="N287" i="7" s="1"/>
  <c r="K286" i="7"/>
  <c r="K287" i="7" s="1"/>
  <c r="H286" i="7"/>
  <c r="H287" i="7" s="1"/>
  <c r="Y175" i="7"/>
  <c r="Y176" i="7" s="1"/>
  <c r="Z247" i="7"/>
  <c r="L256" i="7"/>
  <c r="AA15" i="7"/>
  <c r="AA19" i="7"/>
  <c r="Z240" i="7"/>
  <c r="I256" i="7"/>
  <c r="Y247" i="7"/>
  <c r="Z171" i="7"/>
  <c r="Z175" i="7" s="1"/>
  <c r="Z176" i="7" s="1"/>
  <c r="AA248" i="7"/>
  <c r="AA249" i="7" s="1"/>
  <c r="M308" i="7"/>
  <c r="G293" i="7"/>
  <c r="G292" i="7" s="1"/>
  <c r="J293" i="7"/>
  <c r="J292" i="7" s="1"/>
  <c r="M293" i="7"/>
  <c r="M292" i="7" s="1"/>
  <c r="G308" i="7"/>
  <c r="J308" i="7"/>
  <c r="G57" i="6"/>
  <c r="Y248" i="7" l="1"/>
  <c r="Y249" i="7" s="1"/>
  <c r="Y29" i="7"/>
  <c r="Y31" i="7" s="1"/>
  <c r="Z29" i="7"/>
  <c r="Z31" i="7" s="1"/>
  <c r="M313" i="7"/>
  <c r="AA29" i="7"/>
  <c r="AA31" i="7" s="1"/>
  <c r="Z248" i="7"/>
  <c r="Z249" i="7" s="1"/>
  <c r="G287" i="7"/>
  <c r="J313" i="7"/>
  <c r="G313" i="7"/>
  <c r="Q17" i="6"/>
  <c r="R17" i="6"/>
  <c r="P17" i="6"/>
  <c r="Q26" i="6"/>
  <c r="R26" i="6"/>
  <c r="P27" i="6"/>
  <c r="P29" i="6"/>
  <c r="Q29" i="6"/>
  <c r="R29" i="6"/>
  <c r="Q27" i="6"/>
  <c r="R27" i="6"/>
  <c r="R24" i="6"/>
  <c r="Q23" i="6"/>
  <c r="R23" i="6"/>
  <c r="P23" i="6"/>
  <c r="Q21" i="6"/>
  <c r="R21" i="6"/>
  <c r="P21" i="6"/>
  <c r="Q19" i="6"/>
  <c r="R19" i="6"/>
  <c r="P19" i="6"/>
  <c r="Q18" i="6"/>
  <c r="R18" i="6"/>
  <c r="P18" i="6"/>
  <c r="H202" i="6" l="1"/>
  <c r="I202" i="6"/>
  <c r="G202" i="6"/>
  <c r="Q163" i="6"/>
  <c r="R163" i="6"/>
  <c r="P163" i="6"/>
  <c r="R164" i="6"/>
  <c r="P164" i="6"/>
  <c r="Q162" i="6"/>
  <c r="R162" i="6"/>
  <c r="H229" i="6"/>
  <c r="I229" i="6"/>
  <c r="G229" i="6"/>
  <c r="Q206" i="6"/>
  <c r="R206" i="6"/>
  <c r="P206" i="6"/>
  <c r="Q208" i="6"/>
  <c r="R208" i="6"/>
  <c r="P208" i="6"/>
  <c r="Q207" i="6"/>
  <c r="R207" i="6"/>
  <c r="P207" i="6"/>
  <c r="P205" i="6"/>
  <c r="Q241" i="6"/>
  <c r="R241" i="6"/>
  <c r="P241" i="6"/>
  <c r="P232" i="6"/>
  <c r="R237" i="6"/>
  <c r="Q234" i="6"/>
  <c r="R234" i="6"/>
  <c r="P234" i="6"/>
  <c r="Q233" i="6"/>
  <c r="R233" i="6"/>
  <c r="Q232" i="6"/>
  <c r="R232" i="6"/>
  <c r="R231" i="6"/>
  <c r="Q231" i="6"/>
  <c r="R230" i="6"/>
  <c r="K308" i="7" l="1"/>
  <c r="I293" i="7"/>
  <c r="I292" i="7" s="1"/>
  <c r="K293" i="7"/>
  <c r="K292" i="7" s="1"/>
  <c r="L308" i="7"/>
  <c r="L293" i="7"/>
  <c r="L292" i="7" s="1"/>
  <c r="N293" i="7"/>
  <c r="N292" i="7" s="1"/>
  <c r="H293" i="7"/>
  <c r="H292" i="7" s="1"/>
  <c r="I308" i="7"/>
  <c r="H308" i="7"/>
  <c r="N308" i="7"/>
  <c r="O308" i="7"/>
  <c r="O293" i="7"/>
  <c r="O292" i="7" s="1"/>
  <c r="R238" i="6"/>
  <c r="R239" i="6" s="1"/>
  <c r="P209" i="6"/>
  <c r="P210" i="6" s="1"/>
  <c r="I300" i="6"/>
  <c r="I299" i="6"/>
  <c r="I298" i="6"/>
  <c r="I297" i="6"/>
  <c r="I295" i="6"/>
  <c r="I294" i="6"/>
  <c r="I293" i="6"/>
  <c r="I292" i="6"/>
  <c r="I291" i="6"/>
  <c r="I290" i="6"/>
  <c r="I289" i="6"/>
  <c r="I288" i="6"/>
  <c r="I287" i="6"/>
  <c r="I286" i="6"/>
  <c r="I285" i="6"/>
  <c r="I284" i="6"/>
  <c r="I283" i="6"/>
  <c r="H300" i="6"/>
  <c r="H299" i="6"/>
  <c r="H298" i="6"/>
  <c r="H297" i="6"/>
  <c r="H295" i="6"/>
  <c r="H294" i="6"/>
  <c r="H293" i="6"/>
  <c r="H292" i="6"/>
  <c r="H291" i="6"/>
  <c r="H290" i="6"/>
  <c r="H289" i="6"/>
  <c r="H288" i="6"/>
  <c r="H287" i="6"/>
  <c r="H286" i="6"/>
  <c r="H285" i="6"/>
  <c r="H284" i="6"/>
  <c r="H283" i="6"/>
  <c r="G300" i="6"/>
  <c r="G299" i="6"/>
  <c r="G298" i="6"/>
  <c r="G297" i="6"/>
  <c r="G295" i="6"/>
  <c r="G294" i="6"/>
  <c r="G293" i="6"/>
  <c r="G292" i="6"/>
  <c r="G291" i="6"/>
  <c r="G290" i="6"/>
  <c r="G289" i="6"/>
  <c r="G288" i="6"/>
  <c r="G287" i="6"/>
  <c r="G286" i="6"/>
  <c r="G285" i="6"/>
  <c r="G284" i="6"/>
  <c r="G283" i="6"/>
  <c r="G253" i="6"/>
  <c r="H127" i="6"/>
  <c r="G127" i="6"/>
  <c r="G120" i="6"/>
  <c r="I75" i="6"/>
  <c r="H75" i="6"/>
  <c r="G75" i="6"/>
  <c r="G257" i="6"/>
  <c r="P231" i="6" s="1"/>
  <c r="G256" i="6"/>
  <c r="P233" i="6" s="1"/>
  <c r="G249" i="6"/>
  <c r="H245" i="6"/>
  <c r="Q237" i="6" s="1"/>
  <c r="G245" i="6"/>
  <c r="H243" i="6"/>
  <c r="Q230" i="6" s="1"/>
  <c r="G243" i="6"/>
  <c r="I210" i="6"/>
  <c r="R205" i="6" s="1"/>
  <c r="R209" i="6" s="1"/>
  <c r="R210" i="6" s="1"/>
  <c r="H210" i="6"/>
  <c r="Q205" i="6" s="1"/>
  <c r="Q209" i="6" s="1"/>
  <c r="Q210" i="6" s="1"/>
  <c r="H200" i="6"/>
  <c r="Q164" i="6" s="1"/>
  <c r="H199" i="6"/>
  <c r="I168" i="6"/>
  <c r="R161" i="6" s="1"/>
  <c r="H168" i="6"/>
  <c r="G168" i="6"/>
  <c r="P161" i="6" s="1"/>
  <c r="I166" i="6"/>
  <c r="R160" i="6" s="1"/>
  <c r="H166" i="6"/>
  <c r="Q160" i="6" s="1"/>
  <c r="P160" i="6"/>
  <c r="H141" i="6"/>
  <c r="I83" i="6"/>
  <c r="G77" i="6"/>
  <c r="G69" i="6"/>
  <c r="G68" i="6"/>
  <c r="I64" i="6"/>
  <c r="G64" i="6"/>
  <c r="I62" i="6"/>
  <c r="G62" i="6"/>
  <c r="G59" i="6"/>
  <c r="H52" i="6"/>
  <c r="I50" i="6"/>
  <c r="R25" i="6" s="1"/>
  <c r="H50" i="6"/>
  <c r="Q25" i="6" s="1"/>
  <c r="G50" i="6"/>
  <c r="P25" i="6" s="1"/>
  <c r="I47" i="6"/>
  <c r="H47" i="6"/>
  <c r="G41" i="6"/>
  <c r="P26" i="6" s="1"/>
  <c r="G39" i="6"/>
  <c r="G38" i="6"/>
  <c r="G36" i="6"/>
  <c r="I35" i="6"/>
  <c r="H35" i="6"/>
  <c r="Q20" i="6" s="1"/>
  <c r="G35" i="6"/>
  <c r="H33" i="6"/>
  <c r="Q24" i="6" s="1"/>
  <c r="G33" i="6"/>
  <c r="P24" i="6" s="1"/>
  <c r="I30" i="6"/>
  <c r="P230" i="6" l="1"/>
  <c r="P16" i="6"/>
  <c r="K313" i="7"/>
  <c r="I313" i="7"/>
  <c r="H313" i="7"/>
  <c r="L313" i="7"/>
  <c r="N313" i="7"/>
  <c r="O313" i="7"/>
  <c r="R165" i="6"/>
  <c r="R166" i="6" s="1"/>
  <c r="R20" i="6"/>
  <c r="P20" i="6"/>
  <c r="P165" i="6"/>
  <c r="P166" i="6" s="1"/>
  <c r="Q161" i="6"/>
  <c r="Q165" i="6" s="1"/>
  <c r="Q166" i="6" s="1"/>
  <c r="P237" i="6"/>
  <c r="R16" i="6"/>
  <c r="Q16" i="6"/>
  <c r="Q30" i="6" s="1"/>
  <c r="Q31" i="6" s="1"/>
  <c r="Q238" i="6"/>
  <c r="Q239" i="6" s="1"/>
  <c r="H296" i="6"/>
  <c r="G158" i="6"/>
  <c r="I296" i="6"/>
  <c r="G274" i="6"/>
  <c r="I274" i="6"/>
  <c r="G296" i="6"/>
  <c r="H203" i="6"/>
  <c r="H274" i="6"/>
  <c r="H158" i="6"/>
  <c r="G203" i="6"/>
  <c r="I158" i="6"/>
  <c r="I203" i="6"/>
  <c r="J23" i="5"/>
  <c r="L16" i="5"/>
  <c r="P238" i="6" l="1"/>
  <c r="P239" i="6" s="1"/>
  <c r="R30" i="6"/>
  <c r="R31" i="6" s="1"/>
  <c r="P30" i="6"/>
  <c r="P31" i="6" s="1"/>
  <c r="G275" i="6"/>
  <c r="G276" i="6" s="1"/>
  <c r="G282" i="6"/>
  <c r="H282" i="6"/>
  <c r="H301" i="6" s="1"/>
  <c r="I282" i="6"/>
  <c r="I301" i="6" s="1"/>
  <c r="I275" i="6"/>
  <c r="I276" i="6" s="1"/>
  <c r="H275" i="6"/>
  <c r="H276" i="6" s="1"/>
  <c r="L22" i="5"/>
  <c r="J22" i="5"/>
  <c r="J169" i="5" l="1"/>
  <c r="L282" i="5" l="1"/>
  <c r="K282" i="5"/>
  <c r="J282" i="5"/>
  <c r="I282" i="5"/>
  <c r="I281" i="5"/>
  <c r="J44" i="5"/>
  <c r="J59" i="5"/>
  <c r="J49" i="5"/>
  <c r="L284" i="5" l="1"/>
  <c r="K284" i="5"/>
  <c r="J284" i="5"/>
  <c r="I284" i="5"/>
  <c r="K49" i="5" l="1"/>
  <c r="J56" i="5" l="1"/>
  <c r="J54" i="5"/>
  <c r="J171" i="5" l="1"/>
  <c r="L281" i="5" l="1"/>
  <c r="K281" i="5"/>
  <c r="J281" i="5"/>
  <c r="J129" i="5" l="1"/>
  <c r="J253" i="5" l="1"/>
  <c r="L290" i="5" l="1"/>
  <c r="K290" i="5"/>
  <c r="I290" i="5"/>
  <c r="J290" i="5"/>
  <c r="J25" i="5" l="1"/>
  <c r="J26" i="5"/>
  <c r="J258" i="5"/>
  <c r="J66" i="5"/>
  <c r="J65" i="5"/>
  <c r="L61" i="5"/>
  <c r="L59" i="5"/>
  <c r="J61" i="5"/>
  <c r="K209" i="5" l="1"/>
  <c r="K208" i="5"/>
  <c r="J29" i="5" l="1"/>
  <c r="L83" i="5" l="1"/>
  <c r="L72" i="5"/>
  <c r="J247" i="5" l="1"/>
  <c r="J261" i="5" l="1"/>
  <c r="J260" i="5"/>
  <c r="K148" i="5"/>
  <c r="J77" i="5"/>
  <c r="L47" i="5"/>
  <c r="K47" i="5"/>
  <c r="J47" i="5"/>
  <c r="L44" i="5"/>
  <c r="K44" i="5"/>
  <c r="K22" i="5"/>
  <c r="K19" i="5"/>
  <c r="K249" i="5" l="1"/>
  <c r="J249" i="5"/>
  <c r="K247" i="5"/>
  <c r="L171" i="5"/>
  <c r="K171" i="5"/>
  <c r="L169" i="5"/>
  <c r="K169" i="5"/>
  <c r="K137" i="5"/>
  <c r="J137" i="5"/>
  <c r="J19" i="5" l="1"/>
  <c r="L74" i="5" l="1"/>
  <c r="K74" i="5"/>
  <c r="J74" i="5"/>
  <c r="J280" i="5" s="1"/>
  <c r="J164" i="5"/>
  <c r="J165" i="5" s="1"/>
  <c r="K164" i="5" l="1"/>
  <c r="L164" i="5"/>
  <c r="J270" i="5" l="1"/>
  <c r="J288" i="5" l="1"/>
  <c r="L270" i="5"/>
  <c r="K270" i="5"/>
  <c r="L217" i="5" l="1"/>
  <c r="L239" i="5" s="1"/>
  <c r="K217" i="5"/>
  <c r="J211" i="5"/>
  <c r="K239" i="5" l="1"/>
  <c r="K211" i="5"/>
  <c r="L211" i="5"/>
  <c r="J239" i="5"/>
  <c r="J271" i="5" s="1"/>
  <c r="L287" i="5"/>
  <c r="L285" i="5"/>
  <c r="K296" i="5"/>
  <c r="K287" i="5"/>
  <c r="K280" i="5"/>
  <c r="J287" i="5"/>
  <c r="L298" i="5" l="1"/>
  <c r="K298" i="5"/>
  <c r="J298" i="5"/>
  <c r="I298" i="5"/>
  <c r="L297" i="5"/>
  <c r="K297" i="5"/>
  <c r="J297" i="5"/>
  <c r="I297" i="5"/>
  <c r="L296" i="5"/>
  <c r="J296" i="5"/>
  <c r="L295" i="5"/>
  <c r="K295" i="5"/>
  <c r="J295" i="5"/>
  <c r="I295" i="5"/>
  <c r="L293" i="5"/>
  <c r="K293" i="5"/>
  <c r="J293" i="5"/>
  <c r="L292" i="5"/>
  <c r="K292" i="5"/>
  <c r="J292" i="5"/>
  <c r="I292" i="5"/>
  <c r="L291" i="5"/>
  <c r="K291" i="5"/>
  <c r="J291" i="5"/>
  <c r="L289" i="5"/>
  <c r="K289" i="5"/>
  <c r="J289" i="5"/>
  <c r="I289" i="5"/>
  <c r="L288" i="5"/>
  <c r="K288" i="5"/>
  <c r="K286" i="5"/>
  <c r="L286" i="5"/>
  <c r="J286" i="5"/>
  <c r="I286" i="5"/>
  <c r="K285" i="5"/>
  <c r="J285" i="5"/>
  <c r="L283" i="5"/>
  <c r="K283" i="5"/>
  <c r="J283" i="5"/>
  <c r="L280" i="5"/>
  <c r="J212" i="5" l="1"/>
  <c r="J272" i="5" s="1"/>
  <c r="J273" i="5" s="1"/>
  <c r="K212" i="5"/>
  <c r="L212" i="5"/>
  <c r="K165" i="5"/>
  <c r="L165" i="5"/>
  <c r="L271" i="5" l="1"/>
  <c r="L272" i="5" s="1"/>
  <c r="L273" i="5" s="1"/>
  <c r="K271" i="5"/>
  <c r="K272" i="5" s="1"/>
  <c r="K273" i="5" s="1"/>
  <c r="L294" i="5"/>
  <c r="K294" i="5"/>
  <c r="J294" i="5"/>
  <c r="J279" i="5"/>
  <c r="J278" i="5" s="1"/>
  <c r="J299" i="5" s="1"/>
  <c r="I265" i="5" l="1"/>
  <c r="I261" i="5"/>
  <c r="I288" i="5" s="1"/>
  <c r="I244" i="5"/>
  <c r="I291" i="5" s="1"/>
  <c r="I243" i="5"/>
  <c r="I234" i="5"/>
  <c r="I232" i="5"/>
  <c r="I216" i="5"/>
  <c r="I198" i="5"/>
  <c r="I187" i="5"/>
  <c r="I171" i="5"/>
  <c r="I170" i="5"/>
  <c r="I169" i="5"/>
  <c r="I141" i="5"/>
  <c r="I138" i="5"/>
  <c r="I130" i="5"/>
  <c r="I126" i="5"/>
  <c r="I124" i="5"/>
  <c r="I120" i="5"/>
  <c r="I65" i="5"/>
  <c r="I56" i="5"/>
  <c r="I54" i="5"/>
  <c r="I44" i="5"/>
  <c r="I42" i="5"/>
  <c r="I31" i="5"/>
  <c r="I285" i="5"/>
  <c r="I23" i="5"/>
  <c r="I22" i="5"/>
  <c r="I164" i="5" l="1"/>
  <c r="I211" i="5"/>
  <c r="I287" i="5"/>
  <c r="I239" i="5"/>
  <c r="I280" i="5"/>
  <c r="I283" i="5"/>
  <c r="I296" i="5"/>
  <c r="I294" i="5" s="1"/>
  <c r="I293" i="5"/>
  <c r="I212" i="5"/>
  <c r="I270" i="5"/>
  <c r="I279" i="5" l="1"/>
  <c r="I278" i="5" s="1"/>
  <c r="I299" i="5" s="1"/>
  <c r="I271" i="5"/>
  <c r="I165" i="5"/>
  <c r="L279" i="5"/>
  <c r="L278" i="5" l="1"/>
  <c r="L299" i="5" s="1"/>
  <c r="I272" i="5"/>
  <c r="I273" i="5" s="1"/>
  <c r="K279" i="5"/>
  <c r="K278" i="5" l="1"/>
  <c r="K299" i="5" s="1"/>
</calcChain>
</file>

<file path=xl/comments1.xml><?xml version="1.0" encoding="utf-8"?>
<comments xmlns="http://schemas.openxmlformats.org/spreadsheetml/2006/main">
  <authors>
    <author>Audra Cepiene</author>
    <author>Inga Mikalauskienė</author>
    <author>Indrė Butenienė</author>
    <author>Saulina Paulauskiene</author>
  </authors>
  <commentList>
    <comment ref="E17" authorId="0" shapeId="0">
      <text>
        <r>
          <rPr>
            <sz val="9"/>
            <color indexed="81"/>
            <rFont val="Tahoma"/>
            <family val="2"/>
            <charset val="186"/>
          </rPr>
          <t>P1, 3.6. Miesto susisiekimo sistemos tobulinimas užtikrinant didesnį gatvių tinklo pralaidumą;</t>
        </r>
      </text>
    </comment>
    <comment ref="E30"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38"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4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4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47"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49"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E5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52"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5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57"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5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62" authorId="2" shapeId="0">
      <text>
        <r>
          <rPr>
            <sz val="9"/>
            <color indexed="81"/>
            <rFont val="Tahoma"/>
            <family val="2"/>
            <charset val="186"/>
          </rPr>
          <t>P1, 1.1.2. Parengtas ir įgyvendintas žvyruotų kelių asfaltavimo priemonių planas siekiant asfaltuoti ne mažiau kaip 10 km žvyruotų kelių, vnt</t>
        </r>
      </text>
    </comment>
    <comment ref="E6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68"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E7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D73" authorId="1" shapeId="0">
      <text>
        <r>
          <rPr>
            <sz val="9"/>
            <color indexed="81"/>
            <rFont val="Tahoma"/>
            <family val="2"/>
            <charset val="186"/>
          </rPr>
          <t>Palikta tik dalis objekto, nes nevykdant naujo tilto statybos, keičiasi Danės g.  rekonstrukcijos sprendiniai</t>
        </r>
      </text>
    </comment>
    <comment ref="E75" authorId="2" shapeId="0">
      <text>
        <r>
          <rPr>
            <sz val="9"/>
            <color indexed="81"/>
            <rFont val="Tahoma"/>
            <family val="2"/>
            <charset val="186"/>
          </rPr>
          <t>P1, 1.1.2. Parengtas ir įgyvendintas žvyruotų kelių asfaltavimo priemonių planas siekiant asfaltuoti ne mažiau kaip 10 km žvyruotų kelių, vnt</t>
        </r>
      </text>
    </comment>
    <comment ref="E87"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E9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1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1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1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K121" authorId="3" shapeId="0">
      <text>
        <r>
          <rPr>
            <sz val="9"/>
            <color indexed="81"/>
            <rFont val="Tahoma"/>
            <family val="2"/>
            <charset val="186"/>
          </rPr>
          <t>Žaliakalnio gimnazija</t>
        </r>
      </text>
    </comment>
    <comment ref="D147" authorId="1" shapeId="0">
      <text>
        <r>
          <rPr>
            <sz val="9"/>
            <color indexed="81"/>
            <rFont val="Tahoma"/>
            <family val="2"/>
            <charset val="186"/>
          </rPr>
          <t>Vadovaujantis 2019-10-24 tarybos sprendimu Nr. T2-313 patvirtintu tvarkos aprašu bei 2019-11-22 KMSA direktoriaus įsakymu Nr. AD1-1429 patvirtintas žvyruotų kelių ir gatvių tvarkymo eiliškumo sąrašas. Inicijuoja statybos ir infrastruktūros plėtros skyrius</t>
        </r>
      </text>
    </comment>
    <comment ref="E160"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66"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E179"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8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L191" authorId="1" shapeId="0">
      <text>
        <r>
          <rPr>
            <sz val="9"/>
            <color indexed="81"/>
            <rFont val="Tahoma"/>
            <family val="2"/>
            <charset val="186"/>
          </rPr>
          <t xml:space="preserve">Įsigijus naujas švieslentes jos būtų kabinamos šiose stotelėse:
 </t>
        </r>
        <r>
          <rPr>
            <b/>
            <sz val="9"/>
            <color indexed="81"/>
            <rFont val="Tahoma"/>
            <family val="2"/>
            <charset val="186"/>
          </rPr>
          <t>Stotelės pavadinimas/ Adresas/ Esama situacija</t>
        </r>
        <r>
          <rPr>
            <sz val="9"/>
            <color indexed="81"/>
            <rFont val="Tahoma"/>
            <family val="2"/>
            <charset val="186"/>
          </rPr>
          <t xml:space="preserve">
1. Baltijos st. į šiaurę /Taikos pr. 71/ Nauji įvadai, stulpas+kabelis atvesta, trūksta skaitiklio, nėra švieslentės
2. Baltijos st. į pietus /Taikos pr. 66A/ Nauji įvadai, stulpas+kabelis atvesta, trūksta skaitiklio, nėra švieslentės
3. Vėtrungės į pietus /Taikos pr. 28/ Nauji įvadai, stulpas+kabelis atvesta, trūksta skaitiklio, nėra švieslentės
4. Kauno  st. į pietus /Taikos pr. 52C/ Nauji įvadai, stulpas+kabelis atvesta, trūksta skaitiklio, nėra švieslentės
5. Bibliotekos į šiaurę /H. Manto g. 36/ 2021 m. planuojamas elektros įvado sutvarkymas, nėra švieslentės, nes perkelta į kitą vietą. Sutvarkius įvadą reikės naujos švieslentės
6. Rumpiškės st. į rytus  /Sausio 15-osios g. 8A/ 2021 m. planuojamas elektros įvado sutvarkymas, nėra švieslentės, nes perkelta į kitą vietą. Sutvarkius įvadą reikės naujos švieslentės
7. Pasažo st. į šiaurę  /Vingio g. 5/ 2021 m. planuojamas elektros įvado sutvarkymas, nėra švieslentės, nes perkelta į kitą vietą. Sutvarkius įvadą reikės naujos švieslentės
8. „Klaipėdos miesto poliklinika“  į šiaurę /Taikos pr. 97B/ Nebėra elektros, planuojamas elektros įvado sutvarkymas, nėra švieslentės, nes perkelta į kitą vietą. Sutvarkius įvadą reikės naujos švieslentės
9. Rezervinė švieslentė (Galimai Savivaldybės st.) (Liepų g. 9) Galimai bus naudojama Savivaldybės stotelėje, nes 2022/2023 m. ruošiamasi pertvarkyti įvažą ir įrengti elektros įvadą.
10. Rezervinė švieslentė  Bus naudojama dabartinių švieslenčių pakeitimui gedimų atvejų</t>
        </r>
        <r>
          <rPr>
            <b/>
            <sz val="9"/>
            <color indexed="81"/>
            <rFont val="Tahoma"/>
            <family val="2"/>
            <charset val="186"/>
          </rPr>
          <t xml:space="preserve">
</t>
        </r>
      </text>
    </comment>
    <comment ref="L192" authorId="1" shapeId="0">
      <text>
        <r>
          <rPr>
            <sz val="9"/>
            <color indexed="81"/>
            <rFont val="Tahoma"/>
            <family val="2"/>
            <charset val="186"/>
          </rPr>
          <t>Rimkai 2 vnt. ir Kauno g. 2 vnt.  (šios stotelės neįeina į "Darnaus judumo priemonių diegimas Klaipėdos mieste" projekto sudėtį, jos bus įrengtos 2024 m. baigus "Darnaus judumo priemonių diegimas Klaipėdos mieste" projektą</t>
        </r>
      </text>
    </comment>
    <comment ref="E195"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96" authorId="2"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D197"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E197" authorId="1" shapeId="0">
      <text>
        <r>
          <rPr>
            <sz val="9"/>
            <color indexed="81"/>
            <rFont val="Tahoma"/>
            <family val="2"/>
            <charset val="186"/>
          </rPr>
          <t xml:space="preserve">Viešojo transporto rūšies diegimo Klaipėdos mieste gairės (2020-07-30, Nr. T2-200)
</t>
        </r>
      </text>
    </comment>
    <comment ref="D199" authorId="1" shapeId="0">
      <text>
        <r>
          <rPr>
            <sz val="9"/>
            <color indexed="81"/>
            <rFont val="Tahoma"/>
            <family val="2"/>
            <charset val="186"/>
          </rPr>
          <t>Pagal KMS tarybos sprendimą 2020-07-30 Nr. T2-174</t>
        </r>
      </text>
    </comment>
    <comment ref="E199" authorId="1" shapeId="0">
      <text>
        <r>
          <rPr>
            <sz val="9"/>
            <color indexed="81"/>
            <rFont val="Tahoma"/>
            <family val="2"/>
            <charset val="186"/>
          </rPr>
          <t xml:space="preserve">Viešojo transporto rūšies diegimo Klaipėdos mieste gairės (2020-07-30, Nr. T2-200)
</t>
        </r>
      </text>
    </comment>
    <comment ref="E20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205" authorId="2" shapeId="0">
      <text>
        <r>
          <rPr>
            <sz val="9"/>
            <color indexed="81"/>
            <rFont val="Tahoma"/>
            <family val="2"/>
            <charset val="186"/>
          </rPr>
          <t>P2, Klaipėdos miesto darnaus judumo planas (2018-09-13, T2-185),</t>
        </r>
      </text>
    </comment>
    <comment ref="E20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219"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family val="2"/>
            <charset val="186"/>
          </rPr>
          <t xml:space="preserve">
</t>
        </r>
        <r>
          <rPr>
            <sz val="9"/>
            <color indexed="81"/>
            <rFont val="Tahoma"/>
            <family val="2"/>
            <charset val="186"/>
          </rPr>
          <t xml:space="preserve">
</t>
        </r>
      </text>
    </comment>
    <comment ref="L219" authorId="1" shapeId="0">
      <text>
        <r>
          <rPr>
            <b/>
            <sz val="9"/>
            <color indexed="81"/>
            <rFont val="Tahoma"/>
            <family val="2"/>
            <charset val="186"/>
          </rPr>
          <t xml:space="preserve">2022 m.
</t>
        </r>
        <r>
          <rPr>
            <sz val="9"/>
            <color indexed="81"/>
            <rFont val="Tahoma"/>
            <family val="2"/>
            <charset val="186"/>
          </rPr>
          <t>1. Bijūnų g. ties Taikos pr.
2. Paryžiaus Komunos g. 22
3. Paryžiaus Komunos g. ties Komunarų g.
4. Naujakiemio g. ties Taikos pr.
5. Gedminų g. 18
6. Statybininkų g. 14.
7. Statybininkų g. 22
8. Raudonės g. ties Taikos pr.
9. Smiltelės g. 5
10. Smiltelės g. ties Mogiliovo g.</t>
        </r>
        <r>
          <rPr>
            <b/>
            <sz val="9"/>
            <color indexed="81"/>
            <rFont val="Tahoma"/>
            <family val="2"/>
            <charset val="186"/>
          </rPr>
          <t xml:space="preserve">
</t>
        </r>
        <r>
          <rPr>
            <sz val="9"/>
            <color indexed="81"/>
            <rFont val="Tahoma"/>
            <family val="2"/>
            <charset val="186"/>
          </rPr>
          <t xml:space="preserve">
</t>
        </r>
      </text>
    </comment>
    <comment ref="E224"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E22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E238"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39"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E240"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42"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52"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53"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54" authorId="0" shapeId="0">
      <text>
        <r>
          <rPr>
            <sz val="9"/>
            <color indexed="81"/>
            <rFont val="Tahoma"/>
            <family val="2"/>
            <charset val="186"/>
          </rPr>
          <t>P (KSP) 2.1.2.5. Sudaryti sąlygas naujų ekologiškų viešojo transporto rūšių atsiradimui</t>
        </r>
      </text>
    </comment>
    <comment ref="E255" authorId="0" shapeId="0">
      <text>
        <r>
          <rPr>
            <sz val="9"/>
            <color indexed="81"/>
            <rFont val="Tahoma"/>
            <family val="2"/>
            <charset val="186"/>
          </rPr>
          <t>P 2.1.2.5. Sudaryti sąlygas naujų ekologiškų viešojo transporto rūšių atsiradimui;
P2 Klaipėdos miesto darnaus judumo planas (2018-09-13, T2-185);</t>
        </r>
      </text>
    </comment>
    <comment ref="E258" authorId="0" shapeId="0">
      <text>
        <r>
          <rPr>
            <sz val="9"/>
            <color indexed="81"/>
            <rFont val="Tahoma"/>
            <family val="2"/>
            <charset val="186"/>
          </rPr>
          <t>P 2.1.2.5. Sudaryti sąlygas naujų ekologiškų viešojo transporto rūšių atsiradimui;
P2 Klaipėdos miesto darnaus judumo planas (2018-09-13, T2-185);</t>
        </r>
      </text>
    </comment>
    <comment ref="E261"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62"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E26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K263" authorId="3"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E264"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65"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E266" authorId="0" shapeId="0">
      <text>
        <r>
          <rPr>
            <sz val="9"/>
            <color indexed="81"/>
            <rFont val="Tahoma"/>
            <family val="2"/>
            <charset val="186"/>
          </rPr>
          <t>P 2.1.2.5. Sudaryti sąlygas naujų ekologiškų viešojo transporto rūšių atsiradimui;
P2 Klaipėdos miesto darnaus judumo planas (2018-09-13, T2-185);</t>
        </r>
      </text>
    </comment>
  </commentList>
</comments>
</file>

<file path=xl/comments2.xml><?xml version="1.0" encoding="utf-8"?>
<comments xmlns="http://schemas.openxmlformats.org/spreadsheetml/2006/main">
  <authors>
    <author>Audra Cepiene</author>
    <author>Inga Mikalauskienė</author>
    <author>Indrė Butenienė</author>
    <author>Saulina Paulauskiene</author>
  </authors>
  <commentList>
    <comment ref="E16" authorId="0" shapeId="0">
      <text>
        <r>
          <rPr>
            <sz val="9"/>
            <color indexed="81"/>
            <rFont val="Tahoma"/>
            <family val="2"/>
            <charset val="186"/>
          </rPr>
          <t>P1, 3.6. Miesto susisiekimo sistemos tobulinimas užtikrinant didesnį gatvių tinklo pralaidumą;</t>
        </r>
      </text>
    </comment>
    <comment ref="E29"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39"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4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4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50"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53"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E5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57"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5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63"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6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68" authorId="2" shapeId="0">
      <text>
        <r>
          <rPr>
            <sz val="9"/>
            <color indexed="81"/>
            <rFont val="Tahoma"/>
            <family val="2"/>
            <charset val="186"/>
          </rPr>
          <t>P1, 1.1.2. Parengtas ir įgyvendintas žvyruotų kelių asfaltavimo priemonių planas siekiant asfaltuoti ne mažiau kaip 10 km žvyruotų kelių, vnt</t>
        </r>
      </text>
    </comment>
    <comment ref="E7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74"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E7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D79" authorId="1" shapeId="0">
      <text>
        <r>
          <rPr>
            <sz val="9"/>
            <color indexed="81"/>
            <rFont val="Tahoma"/>
            <family val="2"/>
            <charset val="186"/>
          </rPr>
          <t>Palikta tik dalis objekto, nes nevykdant naujo tilto statybos, keičiasi Danės g.  rekonstrukcijos sprendiniai</t>
        </r>
      </text>
    </comment>
    <comment ref="E81" authorId="2" shapeId="0">
      <text>
        <r>
          <rPr>
            <sz val="9"/>
            <color indexed="81"/>
            <rFont val="Tahoma"/>
            <family val="2"/>
            <charset val="186"/>
          </rPr>
          <t>P1, 1.1.2. Parengtas ir įgyvendintas žvyruotų kelių asfaltavimo priemonių planas siekiant asfaltuoti ne mažiau kaip 10 km žvyruotų kelių, vnt</t>
        </r>
      </text>
    </comment>
    <comment ref="E93"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E10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2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2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2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Q129" authorId="3" shapeId="0">
      <text>
        <r>
          <rPr>
            <sz val="9"/>
            <color indexed="81"/>
            <rFont val="Tahoma"/>
            <family val="2"/>
            <charset val="186"/>
          </rPr>
          <t>Žaliakalnio gimnazija</t>
        </r>
      </text>
    </comment>
    <comment ref="R129" authorId="3" shapeId="0">
      <text>
        <r>
          <rPr>
            <sz val="9"/>
            <color indexed="81"/>
            <rFont val="Tahoma"/>
            <family val="2"/>
            <charset val="186"/>
          </rPr>
          <t>Žaliakalnio gimnazija</t>
        </r>
      </text>
    </comment>
    <comment ref="D155" authorId="1" shapeId="0">
      <text>
        <r>
          <rPr>
            <sz val="9"/>
            <color indexed="81"/>
            <rFont val="Tahoma"/>
            <family val="2"/>
            <charset val="186"/>
          </rPr>
          <t>Vadovaujantis 2019-10-24 tarybos sprendimu Nr. T2-313 patvirtintu tvarkos aprašu bei 2019-11-22 KMSA direktoriaus įsakymu Nr. AD1-1429 patvirtintas žvyruotų kelių ir gatvių tvarkymo eiliškumo sąrašas. Inicijuoja statybos ir infrastruktūros plėtros skyrius</t>
        </r>
      </text>
    </comment>
    <comment ref="E170"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76"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Q180" authorId="3" shapeId="0">
      <text>
        <r>
          <rPr>
            <sz val="9"/>
            <color indexed="81"/>
            <rFont val="Tahoma"/>
            <family val="2"/>
            <charset val="186"/>
          </rPr>
          <t xml:space="preserve">1. "Tall Ships Races"
2. Diena be automobilio
</t>
        </r>
      </text>
    </comment>
    <comment ref="E189"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9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S201" authorId="1" shapeId="0">
      <text>
        <r>
          <rPr>
            <sz val="9"/>
            <color indexed="81"/>
            <rFont val="Tahoma"/>
            <family val="2"/>
            <charset val="186"/>
          </rPr>
          <t xml:space="preserve">Įsigijus naujas švieslentes jos būtų kabinamos šiose stotelėse:
 </t>
        </r>
        <r>
          <rPr>
            <b/>
            <sz val="9"/>
            <color indexed="81"/>
            <rFont val="Tahoma"/>
            <family val="2"/>
            <charset val="186"/>
          </rPr>
          <t>Stotelės pavadinimas/ Adresas/ Esama situacija</t>
        </r>
        <r>
          <rPr>
            <sz val="9"/>
            <color indexed="81"/>
            <rFont val="Tahoma"/>
            <family val="2"/>
            <charset val="186"/>
          </rPr>
          <t xml:space="preserve">
1. Baltijos st. į šiaurę /Taikos pr. 71/ Nauji įvadai, stulpas+kabelis atvesta, trūksta skaitiklio, nėra švieslentės
2. Baltijos st. į pietus /Taikos pr. 66A/ Nauji įvadai, stulpas+kabelis atvesta, trūksta skaitiklio, nėra švieslentės
3. Vėtrungės į pietus /Taikos pr. 28/ Nauji įvadai, stulpas+kabelis atvesta, trūksta skaitiklio, nėra švieslentės
4. Kauno  st. į pietus /Taikos pr. 52C/ Nauji įvadai, stulpas+kabelis atvesta, trūksta skaitiklio, nėra švieslentės
5. Bibliotekos į šiaurę /H. Manto g. 36/ 2021 m. planuojamas elektros įvado sutvarkymas, nėra švieslentės, nes perkelta į kitą vietą. Sutvarkius įvadą reikės naujos švieslentės
6. Rumpiškės st. į rytus  /Sausio 15-osios g. 8A/ 2021 m. planuojamas elektros įvado sutvarkymas, nėra švieslentės, nes perkelta į kitą vietą. Sutvarkius įvadą reikės naujos švieslentės
7. Pasažo st. į šiaurę  /Vingio g. 5/ 2021 m. planuojamas elektros įvado sutvarkymas, nėra švieslentės, nes perkelta į kitą vietą. Sutvarkius įvadą reikės naujos švieslentės
8. „Klaipėdos miesto poliklinika“  į šiaurę /Taikos pr. 97B/ Nebėra elektros, planuojamas elektros įvado sutvarkymas, nėra švieslentės, nes perkelta į kitą vietą. Sutvarkius įvadą reikės naujos švieslentės
9. Rezervinė švieslentė (Galimai Savivaldybės st.) (Liepų g. 9) Galimai bus naudojama Savivaldybės stotelėje, nes 2022/2023 m. ruošiamasi pertvarkyti įvažą ir įrengti elektros įvadą.
10. Rezervinė švieslentė  Bus naudojama dabartinių švieslenčių pakeitimui gedimų atvejų</t>
        </r>
        <r>
          <rPr>
            <b/>
            <sz val="9"/>
            <color indexed="81"/>
            <rFont val="Tahoma"/>
            <family val="2"/>
            <charset val="186"/>
          </rPr>
          <t xml:space="preserve">
</t>
        </r>
      </text>
    </comment>
    <comment ref="S202" authorId="1" shapeId="0">
      <text>
        <r>
          <rPr>
            <sz val="9"/>
            <color indexed="81"/>
            <rFont val="Tahoma"/>
            <family val="2"/>
            <charset val="186"/>
          </rPr>
          <t>Rimkai 2 vnt. ir Kauno g. 2 vnt.  (šios stotelės neįeina į "Darnaus judumo priemonių diegimas Klaipėdos mieste" projekto sudėtį, jos bus įrengtos 2024 m. baigus "Darnaus judumo priemonių diegimas Klaipėdos mieste" projektą</t>
        </r>
      </text>
    </comment>
    <comment ref="E205"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206" authorId="2"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D207"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E207" authorId="1" shapeId="0">
      <text>
        <r>
          <rPr>
            <sz val="9"/>
            <color indexed="81"/>
            <rFont val="Tahoma"/>
            <family val="2"/>
            <charset val="186"/>
          </rPr>
          <t xml:space="preserve">Viešojo transporto rūšies diegimo Klaipėdos mieste gairės (2020-07-30, Nr. T2-200)
</t>
        </r>
      </text>
    </comment>
    <comment ref="D209" authorId="1" shapeId="0">
      <text>
        <r>
          <rPr>
            <sz val="9"/>
            <color indexed="81"/>
            <rFont val="Tahoma"/>
            <family val="2"/>
            <charset val="186"/>
          </rPr>
          <t>Pagal KMS tarybos sprendimą 2020-07-30 Nr. T2-174</t>
        </r>
      </text>
    </comment>
    <comment ref="E209" authorId="1" shapeId="0">
      <text>
        <r>
          <rPr>
            <sz val="9"/>
            <color indexed="81"/>
            <rFont val="Tahoma"/>
            <family val="2"/>
            <charset val="186"/>
          </rPr>
          <t xml:space="preserve">Viešojo transporto rūšies diegimo Klaipėdos mieste gairės (2020-07-30, Nr. T2-200)
</t>
        </r>
      </text>
    </comment>
    <comment ref="E21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215" authorId="2" shapeId="0">
      <text>
        <r>
          <rPr>
            <sz val="9"/>
            <color indexed="81"/>
            <rFont val="Tahoma"/>
            <family val="2"/>
            <charset val="186"/>
          </rPr>
          <t>P2, Klaipėdos miesto darnaus judumo planas (2018-09-13, T2-185),</t>
        </r>
      </text>
    </comment>
    <comment ref="E21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229"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family val="2"/>
            <charset val="186"/>
          </rPr>
          <t xml:space="preserve">
</t>
        </r>
        <r>
          <rPr>
            <sz val="9"/>
            <color indexed="81"/>
            <rFont val="Tahoma"/>
            <family val="2"/>
            <charset val="186"/>
          </rPr>
          <t xml:space="preserve">
</t>
        </r>
      </text>
    </comment>
    <comment ref="S229" authorId="1" shapeId="0">
      <text>
        <r>
          <rPr>
            <b/>
            <sz val="9"/>
            <color indexed="81"/>
            <rFont val="Tahoma"/>
            <family val="2"/>
            <charset val="186"/>
          </rPr>
          <t xml:space="preserve">2022 m.
</t>
        </r>
        <r>
          <rPr>
            <sz val="9"/>
            <color indexed="81"/>
            <rFont val="Tahoma"/>
            <family val="2"/>
            <charset val="186"/>
          </rPr>
          <t>1. Bijūnų g. ties Taikos pr.
2. Paryžiaus Komunos g. 22
3. Paryžiaus Komunos g. ties Komunarų g.
4. Naujakiemio g. ties Taikos pr.
5. Gedminų g. 18
6. Statybininkų g. 14.
7. Statybininkų g. 22
8. Raudonės g. ties Taikos pr.
9. Smiltelės g. 5
10. Smiltelės g. ties Mogiliovo g.</t>
        </r>
        <r>
          <rPr>
            <b/>
            <sz val="9"/>
            <color indexed="81"/>
            <rFont val="Tahoma"/>
            <family val="2"/>
            <charset val="186"/>
          </rPr>
          <t xml:space="preserve">
</t>
        </r>
        <r>
          <rPr>
            <sz val="9"/>
            <color indexed="81"/>
            <rFont val="Tahoma"/>
            <family val="2"/>
            <charset val="186"/>
          </rPr>
          <t xml:space="preserve">
</t>
        </r>
      </text>
    </comment>
    <comment ref="E234"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E23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E248"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49"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E250"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52"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63"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64"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65" authorId="0" shapeId="0">
      <text>
        <r>
          <rPr>
            <sz val="9"/>
            <color indexed="81"/>
            <rFont val="Tahoma"/>
            <family val="2"/>
            <charset val="186"/>
          </rPr>
          <t>P (KSP) 2.1.2.5. Sudaryti sąlygas naujų ekologiškų viešojo transporto rūšių atsiradimui</t>
        </r>
      </text>
    </comment>
    <comment ref="E266" authorId="0" shapeId="0">
      <text>
        <r>
          <rPr>
            <sz val="9"/>
            <color indexed="81"/>
            <rFont val="Tahoma"/>
            <family val="2"/>
            <charset val="186"/>
          </rPr>
          <t>P 2.1.2.5. Sudaryti sąlygas naujų ekologiškų viešojo transporto rūšių atsiradimui;
P2 Klaipėdos miesto darnaus judumo planas (2018-09-13, T2-185);</t>
        </r>
      </text>
    </comment>
    <comment ref="E269" authorId="0" shapeId="0">
      <text>
        <r>
          <rPr>
            <sz val="9"/>
            <color indexed="81"/>
            <rFont val="Tahoma"/>
            <family val="2"/>
            <charset val="186"/>
          </rPr>
          <t>P 2.1.2.5. Sudaryti sąlygas naujų ekologiškų viešojo transporto rūšių atsiradimui;
P2 Klaipėdos miesto darnaus judumo planas (2018-09-13, T2-185);</t>
        </r>
      </text>
    </comment>
    <comment ref="E272"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73"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E27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Q274" authorId="3"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E275"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76"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E277" authorId="0" shapeId="0">
      <text>
        <r>
          <rPr>
            <sz val="9"/>
            <color indexed="81"/>
            <rFont val="Tahoma"/>
            <family val="2"/>
            <charset val="186"/>
          </rPr>
          <t>P 2.1.2.5. Sudaryti sąlygas naujų ekologiškų viešojo transporto rūšių atsiradimui;
P2 Klaipėdos miesto darnaus judumo planas (2018-09-13, T2-185);</t>
        </r>
      </text>
    </comment>
  </commentList>
</comments>
</file>

<file path=xl/comments3.xml><?xml version="1.0" encoding="utf-8"?>
<comments xmlns="http://schemas.openxmlformats.org/spreadsheetml/2006/main">
  <authors>
    <author>Audra Cepiene</author>
    <author>Inga Mikalauskienė</author>
    <author>Indrė Butenienė</author>
    <author>Saulina Paulauskiene</author>
  </authors>
  <commentList>
    <comment ref="E16" authorId="0" shapeId="0">
      <text>
        <r>
          <rPr>
            <sz val="9"/>
            <color indexed="81"/>
            <rFont val="Tahoma"/>
            <family val="2"/>
            <charset val="186"/>
          </rPr>
          <t>P1, 3.6. Miesto susisiekimo sistemos tobulinimas užtikrinant didesnį gatvių tinklo pralaidumą;</t>
        </r>
      </text>
    </comment>
    <comment ref="E29"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38"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4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4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48"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51"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E5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55"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5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61"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6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66" authorId="2" shapeId="0">
      <text>
        <r>
          <rPr>
            <sz val="9"/>
            <color indexed="81"/>
            <rFont val="Tahoma"/>
            <family val="2"/>
            <charset val="186"/>
          </rPr>
          <t>P1, 1.1.2. Parengtas ir įgyvendintas žvyruotų kelių asfaltavimo priemonių planas siekiant asfaltuoti ne mažiau kaip 10 km žvyruotų kelių, vnt</t>
        </r>
      </text>
    </comment>
    <comment ref="E6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72"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E7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D77" authorId="1" shapeId="0">
      <text>
        <r>
          <rPr>
            <sz val="9"/>
            <color indexed="81"/>
            <rFont val="Tahoma"/>
            <family val="2"/>
            <charset val="186"/>
          </rPr>
          <t>Palikta tik dalis objekto, nes nevykdant naujo tilto statybos, keičiasi Danės g.  rekonstrukcijos sprendiniai</t>
        </r>
      </text>
    </comment>
    <comment ref="E79" authorId="2" shapeId="0">
      <text>
        <r>
          <rPr>
            <sz val="9"/>
            <color indexed="81"/>
            <rFont val="Tahoma"/>
            <family val="2"/>
            <charset val="186"/>
          </rPr>
          <t>P1, 1.1.2. Parengtas ir įgyvendintas žvyruotų kelių asfaltavimo priemonių planas siekiant asfaltuoti ne mažiau kaip 10 km žvyruotų kelių, vnt</t>
        </r>
      </text>
    </comment>
    <comment ref="E91"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E9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1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1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1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Q119" authorId="3" shapeId="0">
      <text>
        <r>
          <rPr>
            <sz val="9"/>
            <color indexed="81"/>
            <rFont val="Tahoma"/>
            <family val="2"/>
            <charset val="186"/>
          </rPr>
          <t>Žaliakalnio gimnazija</t>
        </r>
      </text>
    </comment>
    <comment ref="R119" authorId="3" shapeId="0">
      <text>
        <r>
          <rPr>
            <sz val="9"/>
            <color indexed="81"/>
            <rFont val="Tahoma"/>
            <family val="2"/>
            <charset val="186"/>
          </rPr>
          <t>Žaliakalnio gimnazija</t>
        </r>
      </text>
    </comment>
    <comment ref="D145" authorId="1" shapeId="0">
      <text>
        <r>
          <rPr>
            <sz val="9"/>
            <color indexed="81"/>
            <rFont val="Tahoma"/>
            <family val="2"/>
            <charset val="186"/>
          </rPr>
          <t>Vadovaujantis 2019-10-24 tarybos sprendimu Nr. T2-313 patvirtintu tvarkos aprašu bei 2019-11-22 KMSA direktoriaus įsakymu Nr. AD1-1429 patvirtintas žvyruotų kelių ir gatvių tvarkymo eiliškumo sąrašas. Inicijuoja statybos ir infrastruktūros plėtros skyrius</t>
        </r>
      </text>
    </comment>
    <comment ref="E158"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64"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Q168" authorId="3" shapeId="0">
      <text>
        <r>
          <rPr>
            <sz val="9"/>
            <color indexed="81"/>
            <rFont val="Tahoma"/>
            <family val="2"/>
            <charset val="186"/>
          </rPr>
          <t xml:space="preserve">1. "Tall Ships Races"
2. Diena be automobilio
</t>
        </r>
      </text>
    </comment>
    <comment ref="E177"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87"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S189" authorId="1" shapeId="0">
      <text>
        <r>
          <rPr>
            <sz val="9"/>
            <color indexed="81"/>
            <rFont val="Tahoma"/>
            <family val="2"/>
            <charset val="186"/>
          </rPr>
          <t xml:space="preserve">Įsigijus naujas švieslentes jos būtų kabinamos šiose stotelėse:
 </t>
        </r>
        <r>
          <rPr>
            <b/>
            <sz val="9"/>
            <color indexed="81"/>
            <rFont val="Tahoma"/>
            <family val="2"/>
            <charset val="186"/>
          </rPr>
          <t>Stotelės pavadinimas/ Adresas/ Esama situacija</t>
        </r>
        <r>
          <rPr>
            <sz val="9"/>
            <color indexed="81"/>
            <rFont val="Tahoma"/>
            <family val="2"/>
            <charset val="186"/>
          </rPr>
          <t xml:space="preserve">
1. Baltijos st. į šiaurę /Taikos pr. 71/ Nauji įvadai, stulpas+kabelis atvesta, trūksta skaitiklio, nėra švieslentės
2. Baltijos st. į pietus /Taikos pr. 66A/ Nauji įvadai, stulpas+kabelis atvesta, trūksta skaitiklio, nėra švieslentės
3. Vėtrungės į pietus /Taikos pr. 28/ Nauji įvadai, stulpas+kabelis atvesta, trūksta skaitiklio, nėra švieslentės
4. Kauno  st. į pietus /Taikos pr. 52C/ Nauji įvadai, stulpas+kabelis atvesta, trūksta skaitiklio, nėra švieslentės
5. Bibliotekos į šiaurę /H. Manto g. 36/ 2021 m. planuojamas elektros įvado sutvarkymas, nėra švieslentės, nes perkelta į kitą vietą. Sutvarkius įvadą reikės naujos švieslentės
6. Rumpiškės st. į rytus  /Sausio 15-osios g. 8A/ 2021 m. planuojamas elektros įvado sutvarkymas, nėra švieslentės, nes perkelta į kitą vietą. Sutvarkius įvadą reikės naujos švieslentės
7. Pasažo st. į šiaurę  /Vingio g. 5/ 2021 m. planuojamas elektros įvado sutvarkymas, nėra švieslentės, nes perkelta į kitą vietą. Sutvarkius įvadą reikės naujos švieslentės
8. „Klaipėdos miesto poliklinika“  į šiaurę /Taikos pr. 97B/ Nebėra elektros, planuojamas elektros įvado sutvarkymas, nėra švieslentės, nes perkelta į kitą vietą. Sutvarkius įvadą reikės naujos švieslentės
9. Rezervinė švieslentė (Galimai Savivaldybės st.) (Liepų g. 9) Galimai bus naudojama Savivaldybės stotelėje, nes 2022/2023 m. ruošiamasi pertvarkyti įvažą ir įrengti elektros įvadą.
10. Rezervinė švieslentė  Bus naudojama dabartinių švieslenčių pakeitimui gedimų atvejų</t>
        </r>
        <r>
          <rPr>
            <b/>
            <sz val="9"/>
            <color indexed="81"/>
            <rFont val="Tahoma"/>
            <family val="2"/>
            <charset val="186"/>
          </rPr>
          <t xml:space="preserve">
</t>
        </r>
      </text>
    </comment>
    <comment ref="S190" authorId="1" shapeId="0">
      <text>
        <r>
          <rPr>
            <sz val="9"/>
            <color indexed="81"/>
            <rFont val="Tahoma"/>
            <family val="2"/>
            <charset val="186"/>
          </rPr>
          <t>Rimkai 2 vnt. ir Kauno g. 2 vnt.  (šios stotelės neįeina į "Darnaus judumo priemonių diegimas Klaipėdos mieste" projekto sudėtį, jos bus įrengtos 2024 m. baigus "Darnaus judumo priemonių diegimas Klaipėdos mieste" projektą</t>
        </r>
      </text>
    </comment>
    <comment ref="E193"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94" authorId="2"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D195"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E195" authorId="1" shapeId="0">
      <text>
        <r>
          <rPr>
            <sz val="9"/>
            <color indexed="81"/>
            <rFont val="Tahoma"/>
            <family val="2"/>
            <charset val="186"/>
          </rPr>
          <t xml:space="preserve">Viešojo transporto rūšies diegimo Klaipėdos mieste gairės (2020-07-30, Nr. T2-200)
</t>
        </r>
      </text>
    </comment>
    <comment ref="D197" authorId="1" shapeId="0">
      <text>
        <r>
          <rPr>
            <sz val="9"/>
            <color indexed="81"/>
            <rFont val="Tahoma"/>
            <family val="2"/>
            <charset val="186"/>
          </rPr>
          <t>Pagal KMS tarybos sprendimą 2020-07-30 Nr. T2-174</t>
        </r>
      </text>
    </comment>
    <comment ref="E197" authorId="1" shapeId="0">
      <text>
        <r>
          <rPr>
            <sz val="9"/>
            <color indexed="81"/>
            <rFont val="Tahoma"/>
            <family val="2"/>
            <charset val="186"/>
          </rPr>
          <t xml:space="preserve">Viešojo transporto rūšies diegimo Klaipėdos mieste gairės (2020-07-30, Nr. T2-200)
</t>
        </r>
      </text>
    </comment>
    <comment ref="E19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203" authorId="2" shapeId="0">
      <text>
        <r>
          <rPr>
            <sz val="9"/>
            <color indexed="81"/>
            <rFont val="Tahoma"/>
            <family val="2"/>
            <charset val="186"/>
          </rPr>
          <t>P2, Klaipėdos miesto darnaus judumo planas (2018-09-13, T2-185),</t>
        </r>
      </text>
    </comment>
    <comment ref="E207"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217"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family val="2"/>
            <charset val="186"/>
          </rPr>
          <t xml:space="preserve">
</t>
        </r>
        <r>
          <rPr>
            <sz val="9"/>
            <color indexed="81"/>
            <rFont val="Tahoma"/>
            <family val="2"/>
            <charset val="186"/>
          </rPr>
          <t xml:space="preserve">
</t>
        </r>
      </text>
    </comment>
    <comment ref="S217" authorId="1" shapeId="0">
      <text>
        <r>
          <rPr>
            <b/>
            <sz val="9"/>
            <color indexed="81"/>
            <rFont val="Tahoma"/>
            <family val="2"/>
            <charset val="186"/>
          </rPr>
          <t xml:space="preserve">2022 m.
</t>
        </r>
        <r>
          <rPr>
            <sz val="9"/>
            <color indexed="81"/>
            <rFont val="Tahoma"/>
            <family val="2"/>
            <charset val="186"/>
          </rPr>
          <t>1. Bijūnų g. ties Taikos pr.
2. Paryžiaus Komunos g. 22
3. Paryžiaus Komunos g. ties Komunarų g.
4. Naujakiemio g. ties Taikos pr.
5. Gedminų g. 18
6. Statybininkų g. 14.
7. Statybininkų g. 22
8. Raudonės g. ties Taikos pr.
9. Smiltelės g. 5
10. Smiltelės g. ties Mogiliovo g.</t>
        </r>
        <r>
          <rPr>
            <b/>
            <sz val="9"/>
            <color indexed="81"/>
            <rFont val="Tahoma"/>
            <family val="2"/>
            <charset val="186"/>
          </rPr>
          <t xml:space="preserve">
</t>
        </r>
        <r>
          <rPr>
            <sz val="9"/>
            <color indexed="81"/>
            <rFont val="Tahoma"/>
            <family val="2"/>
            <charset val="186"/>
          </rPr>
          <t xml:space="preserve">
</t>
        </r>
      </text>
    </comment>
    <comment ref="E222"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E22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E236"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37"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E238"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40"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51"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52"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53" authorId="0" shapeId="0">
      <text>
        <r>
          <rPr>
            <sz val="9"/>
            <color indexed="81"/>
            <rFont val="Tahoma"/>
            <family val="2"/>
            <charset val="186"/>
          </rPr>
          <t>P (KSP) 2.1.2.5. Sudaryti sąlygas naujų ekologiškų viešojo transporto rūšių atsiradimui</t>
        </r>
      </text>
    </comment>
    <comment ref="E254" authorId="0" shapeId="0">
      <text>
        <r>
          <rPr>
            <sz val="9"/>
            <color indexed="81"/>
            <rFont val="Tahoma"/>
            <family val="2"/>
            <charset val="186"/>
          </rPr>
          <t>P 2.1.2.5. Sudaryti sąlygas naujų ekologiškų viešojo transporto rūšių atsiradimui;
P2 Klaipėdos miesto darnaus judumo planas (2018-09-13, T2-185);</t>
        </r>
      </text>
    </comment>
    <comment ref="E257" authorId="0" shapeId="0">
      <text>
        <r>
          <rPr>
            <sz val="9"/>
            <color indexed="81"/>
            <rFont val="Tahoma"/>
            <family val="2"/>
            <charset val="186"/>
          </rPr>
          <t>P 2.1.2.5. Sudaryti sąlygas naujų ekologiškų viešojo transporto rūšių atsiradimui;
P2 Klaipėdos miesto darnaus judumo planas (2018-09-13, T2-185);</t>
        </r>
      </text>
    </comment>
    <comment ref="E260"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61"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E26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Q262" authorId="3"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E263"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64"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E265" authorId="0" shapeId="0">
      <text>
        <r>
          <rPr>
            <sz val="9"/>
            <color indexed="81"/>
            <rFont val="Tahoma"/>
            <family val="2"/>
            <charset val="186"/>
          </rPr>
          <t>P 2.1.2.5. Sudaryti sąlygas naujų ekologiškų viešojo transporto rūšių atsiradimui;
P2 Klaipėdos miesto darnaus judumo planas (2018-09-13, T2-185);</t>
        </r>
      </text>
    </comment>
  </commentList>
</comments>
</file>

<file path=xl/comments4.xml><?xml version="1.0" encoding="utf-8"?>
<comments xmlns="http://schemas.openxmlformats.org/spreadsheetml/2006/main">
  <authors>
    <author>Audra Cepiene</author>
    <author>Inga Mikalauskienė</author>
    <author>Indrė Butenienė</author>
    <author>Saulina Paulauskiene</author>
  </authors>
  <commentList>
    <comment ref="F15" authorId="0" shapeId="0">
      <text>
        <r>
          <rPr>
            <sz val="9"/>
            <color indexed="81"/>
            <rFont val="Tahoma"/>
            <family val="2"/>
            <charset val="186"/>
          </rPr>
          <t>P1, 3.6. Miesto susisiekimo sistemos tobulinimas užtikrinant didesnį gatvių tinklo pralaidumą;</t>
        </r>
      </text>
    </comment>
    <comment ref="F16"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F1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H23" authorId="1" shapeId="0">
      <text>
        <r>
          <rPr>
            <b/>
            <sz val="9"/>
            <color indexed="81"/>
            <rFont val="Tahoma"/>
            <family val="2"/>
            <charset val="186"/>
          </rPr>
          <t>ŽP</t>
        </r>
      </text>
    </comment>
    <comment ref="F25"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F2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H30" authorId="1" shapeId="0">
      <text>
        <r>
          <rPr>
            <b/>
            <sz val="9"/>
            <color indexed="81"/>
            <rFont val="Tahoma"/>
            <family val="2"/>
            <charset val="186"/>
          </rPr>
          <t>ŽP</t>
        </r>
        <r>
          <rPr>
            <sz val="9"/>
            <color indexed="81"/>
            <rFont val="Tahoma"/>
            <family val="2"/>
            <charset val="186"/>
          </rPr>
          <t xml:space="preserve">
</t>
        </r>
      </text>
    </comment>
    <comment ref="F3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3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F44"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F46"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F4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49"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F5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H51" authorId="1" shapeId="0">
      <text>
        <r>
          <rPr>
            <b/>
            <sz val="9"/>
            <color indexed="81"/>
            <rFont val="Tahoma"/>
            <family val="2"/>
            <charset val="186"/>
          </rPr>
          <t>ŽP</t>
        </r>
        <r>
          <rPr>
            <sz val="9"/>
            <color indexed="81"/>
            <rFont val="Tahoma"/>
            <family val="2"/>
            <charset val="186"/>
          </rPr>
          <t xml:space="preserve">
</t>
        </r>
      </text>
    </comment>
    <comment ref="F54"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F5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H56" authorId="1" shapeId="0">
      <text>
        <r>
          <rPr>
            <b/>
            <sz val="9"/>
            <color indexed="81"/>
            <rFont val="Tahoma"/>
            <family val="2"/>
            <charset val="186"/>
          </rPr>
          <t>ŽP</t>
        </r>
      </text>
    </comment>
    <comment ref="F59" authorId="2" shapeId="0">
      <text>
        <r>
          <rPr>
            <sz val="9"/>
            <color indexed="81"/>
            <rFont val="Tahoma"/>
            <family val="2"/>
            <charset val="186"/>
          </rPr>
          <t>P1, 1.1.2. Parengtas ir įgyvendintas žvyruotų kelių asfaltavimo priemonių planas siekiant asfaltuoti ne mažiau kaip 10 km žvyruotų kelių, vnt</t>
        </r>
      </text>
    </comment>
    <comment ref="F6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F65"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F6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71" authorId="1" shapeId="0">
      <text>
        <r>
          <rPr>
            <sz val="9"/>
            <color indexed="81"/>
            <rFont val="Tahoma"/>
            <family val="2"/>
            <charset val="186"/>
          </rPr>
          <t>Palikta tik dalis objekto, nes nevykdant naujo tilto statybos, keičiasi Danės g.  rekonstrukcijos sprendiniai</t>
        </r>
      </text>
    </comment>
    <comment ref="F73" authorId="2" shapeId="0">
      <text>
        <r>
          <rPr>
            <sz val="9"/>
            <color indexed="81"/>
            <rFont val="Tahoma"/>
            <family val="2"/>
            <charset val="186"/>
          </rPr>
          <t>P1, 1.1.2. Parengtas ir įgyvendintas žvyruotų kelių asfaltavimo priemonių planas siekiant asfaltuoti ne mažiau kaip 10 km žvyruotų kelių, vnt</t>
        </r>
      </text>
    </comment>
    <comment ref="F95"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F10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O130" authorId="3" shapeId="0">
      <text>
        <r>
          <rPr>
            <sz val="9"/>
            <color indexed="81"/>
            <rFont val="Tahoma"/>
            <family val="2"/>
            <charset val="186"/>
          </rPr>
          <t>Žaliakalnio gimnazija</t>
        </r>
      </text>
    </comment>
    <comment ref="E154" authorId="1" shapeId="0">
      <text>
        <r>
          <rPr>
            <sz val="9"/>
            <color indexed="81"/>
            <rFont val="Tahoma"/>
            <family val="2"/>
            <charset val="186"/>
          </rPr>
          <t>Vadovaujantis 2019-10-24 tarybos sprendimu Nr. T2-313 patvirtintu tvarkos aprašu bei 2019-11-22 KMSA direktoriaus įsakymu Nr. AD1-1429 patvirtintas žvyruotų kelių ir gatvių tvarkymo eiliškumo sąrašas. Inicijuoja statybos ir infrastruktūros plėtros skyrius</t>
        </r>
      </text>
    </comment>
    <comment ref="F167"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69"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O173" authorId="3" shapeId="0">
      <text>
        <r>
          <rPr>
            <sz val="9"/>
            <color indexed="81"/>
            <rFont val="Tahoma"/>
            <family val="2"/>
            <charset val="186"/>
          </rPr>
          <t xml:space="preserve">1. Festivalis "Parbėg laivelis"
2. "Tall Ships Races"
3. Diena be automobilio
</t>
        </r>
      </text>
    </comment>
    <comment ref="F183"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191" authorId="1"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F19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P197" authorId="1" shapeId="0">
      <text>
        <r>
          <rPr>
            <sz val="9"/>
            <color indexed="81"/>
            <rFont val="Tahoma"/>
            <family val="2"/>
            <charset val="186"/>
          </rPr>
          <t xml:space="preserve">Įsigijus naujas švieslentes jos būtų kabinamos šiose stotelėse:
 </t>
        </r>
        <r>
          <rPr>
            <b/>
            <sz val="9"/>
            <color indexed="81"/>
            <rFont val="Tahoma"/>
            <family val="2"/>
            <charset val="186"/>
          </rPr>
          <t>Stotelės pavadinimas/ Adresas/ Esama situacija</t>
        </r>
        <r>
          <rPr>
            <sz val="9"/>
            <color indexed="81"/>
            <rFont val="Tahoma"/>
            <family val="2"/>
            <charset val="186"/>
          </rPr>
          <t xml:space="preserve">
1. Baltijos st. į šiaurę /Taikos pr. 71/ Nauji įvadai, stulpas+kabelis atvesta, trūksta skaitiklio, nėra švieslentės
2. Baltijos st. į pietus /Taikos pr. 66A/ Nauji įvadai, stulpas+kabelis atvesta, trūksta skaitiklio, nėra švieslentės
3. Vėtrungės į pietus /Taikos pr. 28/ Nauji įvadai, stulpas+kabelis atvesta, trūksta skaitiklio, nėra švieslentės
4. Kauno  st. į pietus /Taikos pr. 52C/ Nauji įvadai, stulpas+kabelis atvesta, trūksta skaitiklio, nėra švieslentės
5. Bibliotekos į šiaurę /H. Manto g. 36/ 2021 m. planuojamas elektros įvado sutvarkymas, nėra švieslentės, nes perkelta į kitą vietą. Sutvarkius įvadą reikės naujos švieslentės
6. Rumpiškės st. į rytus  /Sausio 15-osios g. 8A/ 2021 m. planuojamas elektros įvado sutvarkymas, nėra švieslentės, nes perkelta į kitą vietą. Sutvarkius įvadą reikės naujos švieslentės
7. Pasažo st. į šiaurę  /Vingio g. 5/ 2021 m. planuojamas elektros įvado sutvarkymas, nėra švieslentės, nes perkelta į kitą vietą. Sutvarkius įvadą reikės naujos švieslentės
8. „Klaipėdos miesto poliklinika“  į šiaurę /Taikos pr. 97B/ Nebėra elektros, planuojamas elektros įvado sutvarkymas, nėra švieslentės, nes perkelta į kitą vietą. Sutvarkius įvadą reikės naujos švieslentės
9. Rezervinė švieslentė (Galimai Savivaldybės st.) (Liepų g. 9) Galimai bus naudojama Savivaldybės stotelėje, nes 2022/2023 m. ruošiamasi pertvarkyti įvažą ir įrengti elektros įvadą.
10. Rezervinė švieslentė  Bus naudojama dabartinių švieslenčių pakeitimui gedimų atvejų</t>
        </r>
        <r>
          <rPr>
            <b/>
            <sz val="9"/>
            <color indexed="81"/>
            <rFont val="Tahoma"/>
            <family val="2"/>
            <charset val="186"/>
          </rPr>
          <t xml:space="preserve">
</t>
        </r>
      </text>
    </comment>
    <comment ref="P198" authorId="1" shapeId="0">
      <text>
        <r>
          <rPr>
            <sz val="9"/>
            <color indexed="81"/>
            <rFont val="Tahoma"/>
            <family val="2"/>
            <charset val="186"/>
          </rPr>
          <t>Rimkai 2 vnt. ir Kauno g. 2 vnt.  (šios stotelės neįeina į "Darnaus judumo priemonių diegimas Klaipėdos mieste" projekto sudėtį, jos bus įrengtos 2024 m. baigus "Darnaus judumo priemonių diegimas Klaipėdos mieste" projektą</t>
        </r>
      </text>
    </comment>
    <comment ref="F202"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r>
          <rPr>
            <b/>
            <sz val="9"/>
            <color indexed="81"/>
            <rFont val="Tahoma"/>
            <family val="2"/>
            <charset val="186"/>
          </rPr>
          <t>P2</t>
        </r>
        <r>
          <rPr>
            <sz val="9"/>
            <color indexed="81"/>
            <rFont val="Tahoma"/>
            <family val="2"/>
            <charset val="186"/>
          </rPr>
          <t xml:space="preserve"> Klaipėdos miesto darnaus judumo planas (2018-09-13, T2-185)</t>
        </r>
      </text>
    </comment>
    <comment ref="F203" authorId="2"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206"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F206" authorId="1" shapeId="0">
      <text>
        <r>
          <rPr>
            <sz val="9"/>
            <color indexed="81"/>
            <rFont val="Tahoma"/>
            <family val="2"/>
            <charset val="186"/>
          </rPr>
          <t xml:space="preserve">Viešojo transporto rūšies diegimo Klaipėdos mieste gairės (2020-07-30, Nr. T2-200)
</t>
        </r>
      </text>
    </comment>
    <comment ref="E208" authorId="1" shapeId="0">
      <text>
        <r>
          <rPr>
            <sz val="9"/>
            <color indexed="81"/>
            <rFont val="Tahoma"/>
            <family val="2"/>
            <charset val="186"/>
          </rPr>
          <t>Pagal KMS tarybos sprendimą 2020-07-30 Nr. T2-174</t>
        </r>
      </text>
    </comment>
    <comment ref="F208" authorId="1" shapeId="0">
      <text>
        <r>
          <rPr>
            <sz val="9"/>
            <color indexed="81"/>
            <rFont val="Tahoma"/>
            <family val="2"/>
            <charset val="186"/>
          </rPr>
          <t xml:space="preserve">Viešojo transporto rūšies diegimo Klaipėdos mieste gairės (2020-07-30, Nr. T2-200)
</t>
        </r>
      </text>
    </comment>
    <comment ref="F21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F214" authorId="2" shapeId="0">
      <text>
        <r>
          <rPr>
            <sz val="9"/>
            <color indexed="81"/>
            <rFont val="Tahoma"/>
            <family val="2"/>
            <charset val="186"/>
          </rPr>
          <t>P2, Klaipėdos miesto darnaus judumo planas (2018-09-13, T2-185),</t>
        </r>
      </text>
    </comment>
    <comment ref="F215"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O228"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family val="2"/>
            <charset val="186"/>
          </rPr>
          <t xml:space="preserve">
</t>
        </r>
        <r>
          <rPr>
            <sz val="9"/>
            <color indexed="81"/>
            <rFont val="Tahoma"/>
            <family val="2"/>
            <charset val="186"/>
          </rPr>
          <t xml:space="preserve">
</t>
        </r>
      </text>
    </comment>
    <comment ref="P228" authorId="1" shapeId="0">
      <text>
        <r>
          <rPr>
            <b/>
            <sz val="9"/>
            <color indexed="81"/>
            <rFont val="Tahoma"/>
            <family val="2"/>
            <charset val="186"/>
          </rPr>
          <t xml:space="preserve">2022 m.
</t>
        </r>
        <r>
          <rPr>
            <sz val="9"/>
            <color indexed="81"/>
            <rFont val="Tahoma"/>
            <family val="2"/>
            <charset val="186"/>
          </rPr>
          <t>1. Bijūnų g. ties Taikos pr.
2. Paryžiaus Komunos g. 22
3. Paryžiaus Komunos g. ties Komunarų g.
4. Naujakiemio g. ties Taikos pr.
5. Gedminų g. 18
6. Statybininkų g. 14.
7. Statybininkų g. 22
8. Raudonės g. ties Taikos pr.
9. Smiltelės g. 5
10. Smiltelės g. ties Mogiliovo g.</t>
        </r>
        <r>
          <rPr>
            <b/>
            <sz val="9"/>
            <color indexed="81"/>
            <rFont val="Tahoma"/>
            <family val="2"/>
            <charset val="186"/>
          </rPr>
          <t xml:space="preserve">
</t>
        </r>
        <r>
          <rPr>
            <sz val="9"/>
            <color indexed="81"/>
            <rFont val="Tahoma"/>
            <family val="2"/>
            <charset val="186"/>
          </rPr>
          <t xml:space="preserve">
</t>
        </r>
      </text>
    </comment>
    <comment ref="F234"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F23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F242"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F243"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F244"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F246"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F256"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F257"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F258" authorId="0" shapeId="0">
      <text>
        <r>
          <rPr>
            <sz val="9"/>
            <color indexed="81"/>
            <rFont val="Tahoma"/>
            <family val="2"/>
            <charset val="186"/>
          </rPr>
          <t>P (KSP) 2.1.2.5. Sudaryti sąlygas naujų ekologiškų viešojo transporto rūšių atsiradimui</t>
        </r>
      </text>
    </comment>
    <comment ref="F259" authorId="0" shapeId="0">
      <text>
        <r>
          <rPr>
            <sz val="9"/>
            <color indexed="81"/>
            <rFont val="Tahoma"/>
            <family val="2"/>
            <charset val="186"/>
          </rPr>
          <t>P 2.1.2.5. Sudaryti sąlygas naujų ekologiškų viešojo transporto rūšių atsiradimui;
P2 Klaipėdos miesto darnaus judumo planas (2018-09-13, T2-185);</t>
        </r>
      </text>
    </comment>
    <comment ref="F262" authorId="0" shapeId="0">
      <text>
        <r>
          <rPr>
            <sz val="9"/>
            <color indexed="81"/>
            <rFont val="Tahoma"/>
            <family val="2"/>
            <charset val="186"/>
          </rPr>
          <t>P 2.1.2.5. Sudaryti sąlygas naujų ekologiškų viešojo transporto rūšių atsiradimui;
P2 Klaipėdos miesto darnaus judumo planas (2018-09-13, T2-185);</t>
        </r>
      </text>
    </comment>
    <comment ref="F265"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N265"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O265" authorId="1" shapeId="0">
      <text>
        <r>
          <rPr>
            <sz val="9"/>
            <color indexed="81"/>
            <rFont val="Tahoma"/>
            <family val="2"/>
            <charset val="186"/>
          </rPr>
          <t>Prisideda naujai įrengtos 8 stotelės</t>
        </r>
      </text>
    </comment>
    <comment ref="F266"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N266" authorId="0" shapeId="0">
      <text>
        <r>
          <rPr>
            <sz val="9"/>
            <color indexed="81"/>
            <rFont val="Tahoma"/>
            <family val="2"/>
            <charset val="186"/>
          </rPr>
          <t xml:space="preserve">Pagal ES projektą 2019-10 įrengtos 3 stotelės, 6 prieigos ir priežiūros paslauga. Elektrą apmoką savivaldybė už 5 prieigas
</t>
        </r>
        <r>
          <rPr>
            <b/>
            <sz val="9"/>
            <color indexed="81"/>
            <rFont val="Tahoma"/>
            <family val="2"/>
            <charset val="186"/>
          </rPr>
          <t>2020 m. 3 stotelės, 5 prieigos:</t>
        </r>
        <r>
          <rPr>
            <sz val="9"/>
            <color indexed="81"/>
            <rFont val="Tahoma"/>
            <family val="2"/>
            <charset val="186"/>
          </rPr>
          <t xml:space="preserve">
Taikos pr. 80 (2 vnt.);
Jūrininkų pr. 16 (2 vnt.)
S. Neries g. 16A (1 vnt.)
Savivaldybė 5 metus po stotelių įrengimo turi užtikrinti nemokamą elektromobilių įkrovimo paslaugų teikimą. Elektros išlaidos suplanuotos 7 programoje.
</t>
        </r>
      </text>
    </comment>
    <comment ref="F26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O267" authorId="3"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F268"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N268" authorId="0" shapeId="0">
      <text>
        <r>
          <rPr>
            <b/>
            <sz val="9"/>
            <color indexed="81"/>
            <rFont val="Tahoma"/>
            <family val="2"/>
            <charset val="186"/>
          </rPr>
          <t>Įrenginiai;</t>
        </r>
        <r>
          <rPr>
            <sz val="9"/>
            <color indexed="81"/>
            <rFont val="Tahoma"/>
            <family val="2"/>
            <charset val="186"/>
          </rPr>
          <t xml:space="preserve"> Dviračių saugyklos:
Malūninkų g. 1
Dviračių skaičiuokliai:
prie p.c. Akropolis
prie "Atgimimo" stotelės
</t>
        </r>
      </text>
    </comment>
    <comment ref="F269"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List>
</comments>
</file>

<file path=xl/sharedStrings.xml><?xml version="1.0" encoding="utf-8"?>
<sst xmlns="http://schemas.openxmlformats.org/spreadsheetml/2006/main" count="2639" uniqueCount="511">
  <si>
    <t>Uždavinio kodas</t>
  </si>
  <si>
    <t>Priemonės kodas</t>
  </si>
  <si>
    <t>Priemonės požymis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</si>
  <si>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</si>
  <si>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</si>
  <si>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</si>
  <si>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</si>
  <si>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</si>
  <si>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</si>
  <si>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</si>
  <si>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</si>
  <si>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</si>
  <si>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</si>
  <si>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</si>
  <si>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</si>
  <si>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</si>
  <si>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</si>
  <si>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</si>
  <si>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</si>
  <si>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</si>
  <si>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</si>
  <si>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</si>
  <si>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</si>
  <si>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</si>
  <si>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</si>
  <si>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</si>
  <si>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</si>
  <si>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</si>
  <si>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</si>
  <si>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</si>
  <si>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</si>
  <si>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</si>
  <si>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</si>
  <si>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</si>
  <si>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</si>
  <si>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</si>
  <si>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</si>
  <si>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</si>
  <si>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ES</t>
  </si>
  <si>
    <t>Kt</t>
  </si>
  <si>
    <t>Parengtas techninis projektas, vnt.</t>
  </si>
  <si>
    <t>I</t>
  </si>
  <si>
    <t>KVJUD</t>
  </si>
  <si>
    <t>Transporto kompensacijų mokėjimas:</t>
  </si>
  <si>
    <t>Asfaltuotų daugiabučių kiemų dangų remontas</t>
  </si>
  <si>
    <t>Patikrinta viešojo transporto priemonių, tūkst. vnt.</t>
  </si>
  <si>
    <t>1</t>
  </si>
  <si>
    <t>Viešojo transporto paslaugų organizavimas:</t>
  </si>
  <si>
    <t xml:space="preserve">Iš viso  programai:  </t>
  </si>
  <si>
    <t>Pajūrio g. rekonstravimas</t>
  </si>
  <si>
    <t>SB(L)</t>
  </si>
  <si>
    <t>Strateginis tikslas 02. Kurti mieste patrauklią, švarią ir saugią gyvenamąją aplinką</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</si>
  <si>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</si>
  <si>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</si>
  <si>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</si>
  <si>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</si>
  <si>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</si>
  <si>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</si>
  <si>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</si>
  <si>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SB(VRL)</t>
  </si>
  <si>
    <t>Suženklinta gatvių, ha</t>
  </si>
  <si>
    <t>Eksploatuojama greičio matuoklių, vnt.</t>
  </si>
  <si>
    <t xml:space="preserve">Savivaldybės biudžetas, iš jo: </t>
  </si>
  <si>
    <t xml:space="preserve">Parengtas techninis projektas, vnt. </t>
  </si>
  <si>
    <t>Planas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</si>
  <si>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</si>
  <si>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</si>
  <si>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SB(ŽPL)</t>
  </si>
  <si>
    <t>SB(KPP)</t>
  </si>
  <si>
    <t>Kiemų ir privažiuojamųjų kelių  prie biudžetinių įstaigų dangos remontas</t>
  </si>
  <si>
    <t>Asfaltbetonio dangos, žvyruotos dangos ir akmenimis grįstų miesto gatvių dangos remontas</t>
  </si>
  <si>
    <t>Eismo reguliavimo infrastruktūros eksploatacija ir įrengimas</t>
  </si>
  <si>
    <t>Mokamo automobilių stovėjimo sistemos mieste kūrimas ir išlaikymas</t>
  </si>
  <si>
    <t>Eismo srautų reguliavimo ir saugumo priemonių įgyvendinimas:</t>
  </si>
  <si>
    <t>tūkst. Eur</t>
  </si>
  <si>
    <t xml:space="preserve">Diegti eismo srautų reguliavimo ir saugumo priemones </t>
  </si>
  <si>
    <t xml:space="preserve">Eksploatuojama eismo reguliavimo priemonių, tūkst. vnt. </t>
  </si>
  <si>
    <t xml:space="preserve">Susisiekimo sistemos objektų pritaikymas neįgaliesiems  </t>
  </si>
  <si>
    <t>Klaipėdos miesto viešojo transporto švieslenčių ir informacinių švieslenčių įrengimas ir atnaujinimas</t>
  </si>
  <si>
    <t xml:space="preserve">Įrengta švieslenčių miesto autobusų stotelėse, vnt.  </t>
  </si>
  <si>
    <t>Viešojo transporto (autobusų ir maršrutinių taksi) integravimo sistemos įrangos įsigijimas ir atnaujinimas</t>
  </si>
  <si>
    <t>Baltijos pr. ir Šilutės pl. žiedinės sankryžos rekonstravimas</t>
  </si>
  <si>
    <t xml:space="preserve">Privažiuojamojo kelio prie pastato Debreceno g. 48  įrengimas ir pastato aplinkos sutvarkymas </t>
  </si>
  <si>
    <t>Suteikta gatvių dangų, konstruktyvo ir betoninių gaminių kontrolinių bandymų paslaugų. Užbaigtumas, proc.</t>
  </si>
  <si>
    <t>Eksploatuojama bilietų automatų, vnt.</t>
  </si>
  <si>
    <t>Kompensuota bilietų moksleiviams, tūkst. vnt.</t>
  </si>
  <si>
    <t>Kompensuota bilietų profesinių mokyklų moksleiviams, tūkst. vnt.</t>
  </si>
  <si>
    <t>Atlikta rekonstravimo darbų. Užbaigtumas, proc.</t>
  </si>
  <si>
    <t>Atlikta gatvės (1374 m ) rekonstravimo darbų. Užbaigtumas, proc.</t>
  </si>
  <si>
    <t>Įstaigų, kurių kiemuose atlikta asfalto dangos remonto darbų, skaičius</t>
  </si>
  <si>
    <t xml:space="preserve">Klaipėdos miesto gatvių pėsčiųjų perėjų kryptinis apšvietimas </t>
  </si>
  <si>
    <t>Kompensuota nuostolingų maršrutų, vnt.</t>
  </si>
  <si>
    <t xml:space="preserve">Nuostolių kompensacijų mokėjimas: </t>
  </si>
  <si>
    <t>patirtų įgyvendinant ES Sanglaudos fondų finansuojamus ekologiškų viešojo transporto  priemonių įsigijimo projektus</t>
  </si>
  <si>
    <t>Parengta galimybių studija, vnt.</t>
  </si>
  <si>
    <t>Atlikta gatvės tiesimo darbų. Užbaigtumas, proc.</t>
  </si>
  <si>
    <r>
      <t xml:space="preserve">Programų lėšų likučių lėšos </t>
    </r>
    <r>
      <rPr>
        <b/>
        <sz val="10"/>
        <rFont val="Times New Roman"/>
        <family val="1"/>
        <charset val="186"/>
      </rPr>
      <t xml:space="preserve">SB(L) </t>
    </r>
  </si>
  <si>
    <t>Subsidijuojamų maršrutų skaičius:</t>
  </si>
  <si>
    <t>Atlikta gatvės (600 m) rekonstravimo darbų.
Užbaigtumas, proc.</t>
  </si>
  <si>
    <t>Atlikta žiedinės sankryžos rekonstravimo darbų. Užbaigtumas, proc.</t>
  </si>
  <si>
    <t>10</t>
  </si>
  <si>
    <t>08</t>
  </si>
  <si>
    <t>Elektra varomo viešojo transporto naujų galimybių plėtra (DEPO), ELENA</t>
  </si>
  <si>
    <t>Parengtas tramvajaus ir elektrinių autobusų pirkimo strategijos dokumentų paketas, vnt.</t>
  </si>
  <si>
    <t>Įdiegta dviračių saugojimo (angl. bike-storing) sistema, vnt.</t>
  </si>
  <si>
    <t>Transporto skyrius</t>
  </si>
  <si>
    <t>Įrengta elektros įvadų švieslenčių įrengimui, vnt.</t>
  </si>
  <si>
    <t>Tauralaukio gyvenvietės gatvių rekonstravimas</t>
  </si>
  <si>
    <t xml:space="preserve">Naujo įvažiuojamojo kelio (Priešpilio g.) į piliavietę ir Kruizinių laivų terminalą tiesimas </t>
  </si>
  <si>
    <t xml:space="preserve">Joniškės g. rekonstravimas (II etapas – nuo Klemiškės g. iki Liepų g., Šienpjovių g.) </t>
  </si>
  <si>
    <t>Automobilių stovėjimo aikštelės teritorijoje  Bangų g., Klaipėdoje, įrengimas</t>
  </si>
  <si>
    <t xml:space="preserve">Atlikta gatvės rekonstravimo darbų. Užbaigtumas, proc.
</t>
  </si>
  <si>
    <t>Ekologiškų viešojo transporto priemonių, kuriomis važiuojant patiriami nuostoliai, vnt.</t>
  </si>
  <si>
    <t>Klaipėdos miestui priklausančių elektromobilių įkrovimo stotelių eksploatavimas ir priežiūra</t>
  </si>
  <si>
    <t>Klemiškės g. rekonstravimas</t>
  </si>
  <si>
    <t>SB(ES)</t>
  </si>
  <si>
    <t>Eksploatuojama elektromobilių įkrovimo stotelių, vnt.</t>
  </si>
  <si>
    <t>Atliktas poveikio aplinkai vertinimo dokumentas, vnt.</t>
  </si>
  <si>
    <t>P2</t>
  </si>
  <si>
    <t>Atlikta sankryžos rekonstravimo darbų. Užbaigtumas, proc.</t>
  </si>
  <si>
    <t>Žvejybos produktų iškrovimo vietos prie jūros Klaipėdos miesto teritorijoje įrengimas</t>
  </si>
  <si>
    <t>LRVB</t>
  </si>
  <si>
    <r>
      <t xml:space="preserve">Valstybės biudžeto specialiosios tikslinės dotacijos lėšos </t>
    </r>
    <r>
      <rPr>
        <b/>
        <sz val="10"/>
        <rFont val="Times New Roman"/>
        <family val="1"/>
        <charset val="186"/>
      </rPr>
      <t>SB(VB)</t>
    </r>
  </si>
  <si>
    <t>Atlikta eismo juostos įrengimo darbų. Užbaigtumas, proc.</t>
  </si>
  <si>
    <t>Išmokėta už 2018 m. gautą autobusų integracijos įrangą ir sistemą. Užbaigtumas, proc.</t>
  </si>
  <si>
    <t>Parengta projektų, vnt.</t>
  </si>
  <si>
    <t>Prižiūrėta tiltų ir viadukų, vnt.</t>
  </si>
  <si>
    <t>Pėsčiųjų ir dviračių takų, šaligatvių (su dviračių takais) remonto bei įrengimo darbai</t>
  </si>
  <si>
    <t>Keleivinio transporto stotelių su įvažomis Klaipėdos miesto gatvėse projektavimas ir įrengimas</t>
  </si>
  <si>
    <t>Įrengtas įvažos pratęsimas, vnt.</t>
  </si>
  <si>
    <t xml:space="preserve">Neeksploatuojamų požeminių perėjų Šilutės pl. kapitalinis remontas </t>
  </si>
  <si>
    <t>Tilžės g. nuo Šilutės pl. iki geležinkelio pervažos rekonstravimas, pertvarkant žiedinę Mokyklos g. ir Šilutės pl. sankryžą</t>
  </si>
  <si>
    <t>1,3</t>
  </si>
  <si>
    <t>1,8</t>
  </si>
  <si>
    <t>Suremontuota asfaltbetonio dangos duobių kiemuose, ha</t>
  </si>
  <si>
    <t>Atnaujinta šaligatvių miesto gatvėse, ha</t>
  </si>
  <si>
    <t>0,15</t>
  </si>
  <si>
    <t>Suremontuota gatvių akmens grindinio dangos  senamiesčio gatvėse, ha</t>
  </si>
  <si>
    <t>Suremontuota šaligatvių (su dviračių takais), ha</t>
  </si>
  <si>
    <t>Atnaujinta dekoratyvinių kelio ženklų stovų, vnt.</t>
  </si>
  <si>
    <t>Nuostolingų maršrutų subsidijavimas priemiesčio ir miesto maršrutus aptarnaujantiems vežėjams</t>
  </si>
  <si>
    <t>Automatinės eismo priežiūros prietaisų eksploatacija</t>
  </si>
  <si>
    <r>
      <t xml:space="preserve">Kelių priežiūros ir plėtros programos lėšos įtrauktos į savivaldybės biudžetą </t>
    </r>
    <r>
      <rPr>
        <b/>
        <sz val="10"/>
        <rFont val="Times New Roman"/>
        <family val="1"/>
        <charset val="186"/>
      </rPr>
      <t>SB(KPP)</t>
    </r>
  </si>
  <si>
    <r>
      <t xml:space="preserve">Planuojamos kelių priežiūros ir plėtros programos lėšos </t>
    </r>
    <r>
      <rPr>
        <b/>
        <sz val="10"/>
        <rFont val="Times New Roman"/>
        <family val="1"/>
        <charset val="186"/>
      </rPr>
      <t>SB(KPP)</t>
    </r>
  </si>
  <si>
    <t>I, P2, P6</t>
  </si>
  <si>
    <t xml:space="preserve">Renginių, kurių metu keleiviams bus taikomos lengvatos, vnt. </t>
  </si>
  <si>
    <t>Įrengta kintamos informacijos ženklų Prano Lideikio g. Užbaigtumas, proc.</t>
  </si>
  <si>
    <t>Įvažiuojamųjų kelių atnaujinimas:</t>
  </si>
  <si>
    <t>Kompensuota bilietų pradinių klasių moksleivaims, tūkst. vnt.</t>
  </si>
  <si>
    <t>URBACT III projekto „Gyvos gatvės“ įgyvendinimas</t>
  </si>
  <si>
    <t>Atnaujinta senamiesčio dangų pritaikant neįgaliesiems, ha</t>
  </si>
  <si>
    <t>0,13</t>
  </si>
  <si>
    <t>Įgyvendintas projektas, vnt.</t>
  </si>
  <si>
    <t>P6</t>
  </si>
  <si>
    <t>Medžiagų tyrimas ir kontroliniai bandymai, topografinių nuotraukų, išpildomųjų geodezinių nuotraukų įsigijimas, statinių projektų ekspertizių bei kitos inžinerinės paslaugos</t>
  </si>
  <si>
    <t>18</t>
  </si>
  <si>
    <t>Mėgėjų sodų teritorijoje savivaldybių institucijų valdomų kelių remontas</t>
  </si>
  <si>
    <t>Senamiesčio gatvės</t>
  </si>
  <si>
    <t>Įdiegta paslauga. Užbaigtumas, proc.</t>
  </si>
  <si>
    <t>Parengta naujai įrengiamų šviesoforų projektų, vnt.</t>
  </si>
  <si>
    <t>Naujai įrengta šviesoforų, vnt.</t>
  </si>
  <si>
    <t>Parengtas techninis projektas, vnt</t>
  </si>
  <si>
    <t xml:space="preserve">Parengtas aprašas, vnt. </t>
  </si>
  <si>
    <t>Atlikta teritorijos paprastojo remonto darbų. Užbaigtumas, proc.</t>
  </si>
  <si>
    <t>S. Daukanto g. nuo Šaulių g. iki J. Zauerveino g. kapitalinis remontas</t>
  </si>
  <si>
    <t>Paprastojo remonto ir priežiūros darbų techninė priežiūra</t>
  </si>
  <si>
    <t>Atlikta techninė priežiūra, vnt.</t>
  </si>
  <si>
    <t>Gatvių tiesimas ir rekonstravimas:</t>
  </si>
  <si>
    <t>Šilutės plento ruožo nuo Tilžės g. iki geležinkelio pervažos (iki Kauno g.) rekonstrukcija (SM programa 06.2.1-TID-R-511 pr.Vietinių kelių vystymas)</t>
  </si>
  <si>
    <t>Atlikti elektros įrenginių iškėlimo ir apsaugos darbai. Užbaigtumas, proc.</t>
  </si>
  <si>
    <t>Įtraukta Lietuvos automobilių kelių direkcijos dalis pagal planuojamą pasirašyti bendradarbiavimo sutartį (lėšos detalizuotos pirkimo vertei pagrįsti)</t>
  </si>
  <si>
    <t>Dokumentacijos, reikalingos žemės perdavimo  naudotis savivaldybei procedūrų atlikimo, parengimas, vnt.</t>
  </si>
  <si>
    <t>Įrengta stotelių su įvažomis, vnt.</t>
  </si>
  <si>
    <t xml:space="preserve">Parengtas techninis projektas (Žvejų g., Teatro g., Sukilėlių g., Daržų g., Aukštoji g., Didžioji Vandens g., Vežėjų g.), vnt. </t>
  </si>
  <si>
    <t>Įdiegta transporto (I etapas) valdymo sistema. Užbaigtumas, proc.</t>
  </si>
  <si>
    <t>Atlikta remonto darbų. Užbaigtumas, proc.</t>
  </si>
  <si>
    <t>Atlikta Dailės g. su projekto parengimu  remonto darbų. Užbaigtumas, proc.</t>
  </si>
  <si>
    <t>Atlikta Dienovidžio g. remonto darbų. Užbaigtumas, proc.</t>
  </si>
  <si>
    <t>P1</t>
  </si>
  <si>
    <t>Lypkių pervažos įrengimas</t>
  </si>
  <si>
    <t>2</t>
  </si>
  <si>
    <t>laikinai patirtų vykdant keleivinio kelių transporto viešųjų paslaugų vežant keleivius vietinio (miesto) reguliaraus susisiekimo autobusų maršrutais</t>
  </si>
  <si>
    <t>09</t>
  </si>
  <si>
    <t>Tauralaukio gatvės</t>
  </si>
  <si>
    <t>Darnaus judumo projektų įgyvendinimas:</t>
  </si>
  <si>
    <t>Parengtas planas, vnt.</t>
  </si>
  <si>
    <t>Viešojo transporto parko atnaujinimo veiksmų plano parengimas ir įgyvendinimas</t>
  </si>
  <si>
    <t>11</t>
  </si>
  <si>
    <t>12</t>
  </si>
  <si>
    <t>13</t>
  </si>
  <si>
    <t>14</t>
  </si>
  <si>
    <t>Rekonstruoti, tiesti ir prižiūrėti gatves</t>
  </si>
  <si>
    <t>Naujo tilto su pakeliamu mechanizmu per Danę statybos dokumentacijos parengimas</t>
  </si>
  <si>
    <t>Žemėtvarkos skyrius</t>
  </si>
  <si>
    <t>Statybos ir infrastruktūros plėtros skyrius</t>
  </si>
  <si>
    <t xml:space="preserve">Projektų skyrius </t>
  </si>
  <si>
    <t>Miesto tvarkymo skyrius</t>
  </si>
  <si>
    <t>I, P1</t>
  </si>
  <si>
    <t>I, P1 P2</t>
  </si>
  <si>
    <t>Projektų skyrius</t>
  </si>
  <si>
    <t xml:space="preserve"> Transporto skyrius</t>
  </si>
  <si>
    <t xml:space="preserve"> Ištisinio asfaltbetonio dangos įrengimas: </t>
  </si>
  <si>
    <t>3</t>
  </si>
  <si>
    <t>4</t>
  </si>
  <si>
    <t>7</t>
  </si>
  <si>
    <t>P</t>
  </si>
  <si>
    <t>Įrengtas laikinas kelias (Lypkių pervažoje). Užbaigtumas, proc.</t>
  </si>
  <si>
    <t>SB(ESA)</t>
  </si>
  <si>
    <r>
      <t xml:space="preserve">Savivaldybės biudžeto apyvartos lėšos Europos Sąjungos finansinės paramos programų laikinam lėšų stygiui dengti </t>
    </r>
    <r>
      <rPr>
        <b/>
        <sz val="10"/>
        <rFont val="Times New Roman"/>
        <family val="1"/>
        <charset val="186"/>
      </rPr>
      <t xml:space="preserve"> SB(ESA)</t>
    </r>
  </si>
  <si>
    <t>SB(VB)</t>
  </si>
  <si>
    <t>15</t>
  </si>
  <si>
    <t>16</t>
  </si>
  <si>
    <t>17</t>
  </si>
  <si>
    <t>19</t>
  </si>
  <si>
    <t>20</t>
  </si>
  <si>
    <t>21</t>
  </si>
  <si>
    <t>22</t>
  </si>
  <si>
    <t>23</t>
  </si>
  <si>
    <t>24</t>
  </si>
  <si>
    <t>25</t>
  </si>
  <si>
    <t>26</t>
  </si>
  <si>
    <t>27</t>
  </si>
  <si>
    <t>28</t>
  </si>
  <si>
    <t>29</t>
  </si>
  <si>
    <t>30</t>
  </si>
  <si>
    <t>Sankryžų skaičius, kuriose atliktos transporto srautų analizės, vnt.</t>
  </si>
  <si>
    <t>Klaipėdos miesto gatvių rekonstravimas bendromis savivaldybės ir privačių asmenų lėšomis</t>
  </si>
  <si>
    <t>Eismo juostos, skirtos iš Prano Lideikio g. pasukti į H. Manto gatvę, įrengimas</t>
  </si>
  <si>
    <t xml:space="preserve">Šalia Klaipėdos Simono Dacho progimnazijos esančio Jūrininkų tako gatvės pailginimas </t>
  </si>
  <si>
    <t>Vilniaus dailės akademijos Klaipėdos fakulteto teritorijos sutvarkymas</t>
  </si>
  <si>
    <t>Transporto balso funkcijos, skirtos regėjimo negalią turintiems žmonėms, įdiegimas</t>
  </si>
  <si>
    <t>Transporto srautų analizė, skirta žaliųjų rodyklių grąžinimui</t>
  </si>
  <si>
    <t>Eksploatuojama elektromobilių įkrovimo stotelių, įrengtų pagal ES projektą, vnt.</t>
  </si>
  <si>
    <t xml:space="preserve"> Miesto tvarkymo sk.</t>
  </si>
  <si>
    <t>1,2</t>
  </si>
  <si>
    <t>Įsigyta šviesoforų postų eismo valdymo įrenginių, vnt.</t>
  </si>
  <si>
    <t>Teikiamų paslaugų skaičius, vnt.</t>
  </si>
  <si>
    <t xml:space="preserve">Vykdytojas </t>
  </si>
  <si>
    <t>Ekonominės plėtros grupė</t>
  </si>
  <si>
    <t>Dezinfekavimo paslaugų užtikrinimas organizuojant keleivių vežimą miesto ir priemiesčio maršrutais ekstremalios situacijos metu</t>
  </si>
  <si>
    <t>Transporto  skyrius</t>
  </si>
  <si>
    <t>Vyr. patarėjas G. Dovidaitis</t>
  </si>
  <si>
    <t>Vyr. patarėja I. Kubilienė</t>
  </si>
  <si>
    <t>patirtų vykdant keleivinio kelių transporto viešųjų paslaugų vežant keleivius vietinio (miesto) reguliaraus susisiekimo autobusų maršrutais</t>
  </si>
  <si>
    <t>patirtų dėl naudojamų transporto priemonių pakeitimo ekologiškomis viešojo transporto priemonėmis</t>
  </si>
  <si>
    <t>Dviračių įrenginių priežiūra</t>
  </si>
  <si>
    <t>Prižiūrima dviračių įrenginių (dviračių saugyklų ir skaičiuoklių), vnt.</t>
  </si>
  <si>
    <t>5,2</t>
  </si>
  <si>
    <t xml:space="preserve">2020–2023 M. KLAIPĖDOS MIESTO SAVIVALDYBĖS        </t>
  </si>
  <si>
    <t>2021-ieji metai</t>
  </si>
  <si>
    <t>2022-ieji metai</t>
  </si>
  <si>
    <t>2023-ieji metai</t>
  </si>
  <si>
    <t>100</t>
  </si>
  <si>
    <t xml:space="preserve">Teatro ir Sukilėlių g. rekonstrukcija </t>
  </si>
  <si>
    <t>40</t>
  </si>
  <si>
    <t>Danės g. rekonstravimas</t>
  </si>
  <si>
    <t>Parengtas techninis projektas (ruožas nuo Laivų skg. iki Artojų g.), vnt.</t>
  </si>
  <si>
    <t>Atlikta gatvės rekonstravimo darbų. Užbaigtumas, proc.</t>
  </si>
  <si>
    <t>Atlikta įrengimo darbų. Užbaigtumas, proc.</t>
  </si>
  <si>
    <t>Įrengtas naujas žvejų laivams skirtas slipas (aikštelė, skirta valtims nuleisti ir ištraukti iš vandens). Užbaigtumas, proc.</t>
  </si>
  <si>
    <t>Gatvės ir pėsčiųjų bei dviračių takų įrengimas prisidedant prie BĮ Lietuvos jūrų muziejaus projekto „Baltijos jūros gyvūnų reabilitacinis centras“  įgyvendinimo</t>
  </si>
  <si>
    <t>Įrengtas Smiltynės g. ruožas su dviračių ir pėsčiųjų takais, proc.</t>
  </si>
  <si>
    <t>Atlikta gatvės kapitalinio remonto ir eismo juostos įrengimo darbų. Užbaigtumas, proc.</t>
  </si>
  <si>
    <t xml:space="preserve">Sodų bendrija „Vaiteliai“–„Rasa“ kursavimas </t>
  </si>
  <si>
    <t>Maršruto „Klaipėdos autobusų stotis–Palangos oro uostas“ kursavimas</t>
  </si>
  <si>
    <t>Maršrutas į LEZ teritoriją</t>
  </si>
  <si>
    <t>Kursuojančių ekologiškų elektrinių autobusų skaičius, vnt.</t>
  </si>
  <si>
    <t>Objektų, kuriuose nagrinėjamas transporto srautų pasiskirstymas ir modeliavimo scenarijai, skaičius</t>
  </si>
  <si>
    <t>2020 m. asignavimų planas*</t>
  </si>
  <si>
    <t>2021 m. asignavimų projektas</t>
  </si>
  <si>
    <t>2022 m. asignavimų projektas</t>
  </si>
  <si>
    <t>2023 m. asignavimų projektas</t>
  </si>
  <si>
    <t>2020-ieji metai</t>
  </si>
  <si>
    <t>Produkto kriterijus</t>
  </si>
  <si>
    <r>
      <rPr>
        <b/>
        <sz val="10"/>
        <rFont val="Times New Roman"/>
        <family val="1"/>
        <charset val="186"/>
      </rPr>
      <t xml:space="preserve">I etapas. </t>
    </r>
    <r>
      <rPr>
        <sz val="10"/>
        <rFont val="Times New Roman"/>
        <family val="1"/>
        <charset val="186"/>
      </rPr>
      <t>Tilžės g. nuo Šilutės pl. iki geležinkelio pervažos rekonstravimas</t>
    </r>
  </si>
  <si>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</si>
  <si>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Atliktas gatvių – Klaipėdos g. (500 m) ir Virkučių g. (1004 m) rekonstravimas. Užbaigtumas, proc.</t>
  </si>
  <si>
    <t>Koreguotas techninis projektas, vnt.</t>
  </si>
  <si>
    <t>31</t>
  </si>
  <si>
    <t xml:space="preserve">  vežėjams už lengvatas turinčių keleivių vežimą</t>
  </si>
  <si>
    <t xml:space="preserve"> moksleiviams</t>
  </si>
  <si>
    <t xml:space="preserve"> profesinių mokyklų moksleiviams</t>
  </si>
  <si>
    <t xml:space="preserve"> papildomoms socialinėms grupėms</t>
  </si>
  <si>
    <t>nuostolių, patirtų vežant keleivius vietinio reguliaraus susisiekimo autobusų maršrutais renginių metu, kompensavimas</t>
  </si>
  <si>
    <t>16,0</t>
  </si>
  <si>
    <r>
      <t>Įvažos pratęsimo Naujojo turgaus autobusų stotelėje įrengimas (</t>
    </r>
    <r>
      <rPr>
        <i/>
        <sz val="10"/>
        <rFont val="Times New Roman"/>
        <family val="1"/>
        <charset val="186"/>
      </rPr>
      <t>kryptis į pietinę miesto dalį</t>
    </r>
    <r>
      <rPr>
        <sz val="10"/>
        <rFont val="Times New Roman"/>
        <family val="1"/>
        <charset val="186"/>
      </rPr>
      <t xml:space="preserve">)  </t>
    </r>
  </si>
  <si>
    <t>Transporto srautų modeliavimas</t>
  </si>
  <si>
    <t>Projekto „Darnaus judumo planavimas: bendradarbiavimas bei ryšiai urbanistinėje sistemoje (SUMP-PLUS)“ įgyvendinimas</t>
  </si>
  <si>
    <t>2020 m.  asignavimų planas*</t>
  </si>
  <si>
    <t>32</t>
  </si>
  <si>
    <t>Atlikta darbų. Užbaigtumas, proc.</t>
  </si>
  <si>
    <t>0,58</t>
  </si>
  <si>
    <t>Įrengta neregių vedimo dangos autobusų stotelėse, vnt.</t>
  </si>
  <si>
    <t>Apšviesta pėsčiųjų perėjų, vnt.</t>
  </si>
  <si>
    <t>2020 m.</t>
  </si>
  <si>
    <t xml:space="preserve">2021 m. </t>
  </si>
  <si>
    <t>Joniškės g. (neremontuotas ruožas šalia Klaipėdos baldų įmonės iki Bangų g.)</t>
  </si>
  <si>
    <t>Smiltelės g. (ruožas nuo Taikos pr. iki Minijos g.)</t>
  </si>
  <si>
    <t>Vytauto g. (ruožas nuo S. Šimkaus g. iki Puodžių g.)</t>
  </si>
  <si>
    <t>S. Šimkaus g.</t>
  </si>
  <si>
    <t>Mogiliovo gyvenamojo rajono gatvės (labiausiai pažeistos vietos)</t>
  </si>
  <si>
    <t>H. Manto (labiausiai pažeistos vietos)</t>
  </si>
  <si>
    <t>Šilutės pl. senasis ruožas</t>
  </si>
  <si>
    <t>0,1</t>
  </si>
  <si>
    <t>Vingio g. (ruožas nuo Smiltelės g. iki Šilutės pl.)</t>
  </si>
  <si>
    <t xml:space="preserve">Įvažiuojamojo kelio ir šalia esančio skvero į Taikos pr. 109 </t>
  </si>
  <si>
    <t>Įvažiuojamojo kelio į Taikos pr. 101</t>
  </si>
  <si>
    <t>Infrastruktūros įrengimas, reikalingas BRT sistemai funkcionuoti</t>
  </si>
  <si>
    <t>Įrengta infrastruktūra. Užbaigtumas, proc.</t>
  </si>
  <si>
    <t>0,84</t>
  </si>
  <si>
    <t>Saugaus eismo strategija ,,Vizija 0“</t>
  </si>
  <si>
    <t>Avaringiausių vietų “juodųjų dėmių“ nustatymas ir tobulinimo/pertvarkymo projektinių schemų parengimas</t>
  </si>
  <si>
    <t>Parengti projektiniai sprendiniai, proc.</t>
  </si>
  <si>
    <t>Saugaus eismo auditas</t>
  </si>
  <si>
    <t>Atlikta auditų, vnt.</t>
  </si>
  <si>
    <t>Įrengta elektromobilių įkrovimo stotelių, vnt.</t>
  </si>
  <si>
    <t>Įgyvendintas projekto etapas, vnt.</t>
  </si>
  <si>
    <t>33</t>
  </si>
  <si>
    <t>70</t>
  </si>
  <si>
    <t>Atlikta Arimų g. remonto darbų. Užbaigtumas, proc.</t>
  </si>
  <si>
    <t>Atlikta Neringos g. remonto darbų. Užbaigtumas, proc.</t>
  </si>
  <si>
    <t xml:space="preserve">Atlikta Vikingų g. remonto darbų. Užbaigtumas, proc. </t>
  </si>
  <si>
    <t>34</t>
  </si>
  <si>
    <t>Dubliuojančios gatvės nuo Šiltnamių g. iki Klaipėdos g. su pėsčiųjų ir dviračių taku ir įvažomis į Liepojos g. įrengimas</t>
  </si>
  <si>
    <t>Atlikta rangos darbų, proc.</t>
  </si>
  <si>
    <t>Papildomos eismo juostos ir pėsčiųjų saugumo salelės Mogiliovo gatvėje įrengimas</t>
  </si>
  <si>
    <t>35</t>
  </si>
  <si>
    <t>36</t>
  </si>
  <si>
    <t xml:space="preserve">Klaipėdos miesto žvyruotų gatvių kapitalinis remontas </t>
  </si>
  <si>
    <t>37</t>
  </si>
  <si>
    <t>Elektra varomų autobusų įsigijimas (prisidėjimas)</t>
  </si>
  <si>
    <t>Parengtas projektas, vnt.</t>
  </si>
  <si>
    <t>Įsigyta autobusų, vnt.</t>
  </si>
  <si>
    <t>Atlikta rekonstravimo darbų. Užbaigtumas (I d.), proc.</t>
  </si>
  <si>
    <t>Statybininkų prospekto tęsinio tiesimas nuo Šilutės pl. per LEZ teritoriją iki 141 kelio (su estakada)</t>
  </si>
  <si>
    <t>Finansinės ataskaitos auditas, vnt.</t>
  </si>
  <si>
    <t xml:space="preserve">* Pagal Klaipėdos miesto savivaldybės tarybos 2020-10-29 sprendimą T2-231
</t>
  </si>
  <si>
    <t>Savanorių g. rekonstravimas</t>
  </si>
  <si>
    <t xml:space="preserve">Transporto (eismo) valdymo sistemos diegimas: </t>
  </si>
  <si>
    <t xml:space="preserve">Parengto projekto šviesoforų montavimo darbai </t>
  </si>
  <si>
    <t xml:space="preserve">Apšvietimo ir kietųjų dangų atstatymo ir įrengimo darbai </t>
  </si>
  <si>
    <t xml:space="preserve">Valdymo sistemos su viešojo transporto prioritetu programinės įrangos diegimas ir priežiūros paslaugos </t>
  </si>
  <si>
    <t>Įdiegta transporto valdymo sistema, proc</t>
  </si>
  <si>
    <t>Vykdomas garantinis aptarnavimas, mėn.</t>
  </si>
  <si>
    <t>1,7</t>
  </si>
  <si>
    <t>0,6</t>
  </si>
  <si>
    <t>0,4</t>
  </si>
  <si>
    <t xml:space="preserve">Uostamiesčiai: darnaus judumo principų integravimas (PORT Cities: Integrating Sustainability, PORTIS) </t>
  </si>
  <si>
    <t xml:space="preserve">Darnaus judumo priemonių diegimas Klaipėdos mieste (senas pavadinimas - Senamiesčio grindinio atnaujinimas ir universalaus dizaino pritaikymas)   </t>
  </si>
  <si>
    <t>Parengtas  kintamos informacijos ženklų ant Mokyklos  g. viaduko techninis projektas</t>
  </si>
  <si>
    <t>Atlikta kelio Taikos pr. 109 atnaujinimo darbų. Užbaigtumas, proc.</t>
  </si>
  <si>
    <t>Atlikta kelio Taikos pr. 101 atnaujinimo darbų. Užbaigtumas, proc.</t>
  </si>
  <si>
    <t xml:space="preserve">2023 m. </t>
  </si>
  <si>
    <t>Įrengimo darbai pagal projektą. Užbaigtumas proc.</t>
  </si>
  <si>
    <t>Atlikta gatvių ir šaligatvių atnaujinimo darbų. Užbaigtumas, proc.</t>
  </si>
  <si>
    <t>38</t>
  </si>
  <si>
    <t>60</t>
  </si>
  <si>
    <t>Atliktas gatvių – Slengių g., Lietaus g., Vaivorykštės g., Griaustinio g. , Arimų g., Vėjo g. (II dalies), Žvaigždžių g. rekonstravimas. Užbaigtumas, proc.</t>
  </si>
  <si>
    <t>Jaunystės g. ir privažiuojamojo kelio sankryžos, Rūko g. kapitalinis remontas</t>
  </si>
  <si>
    <t>Ekologiškų viešojo transporto priemonių (elektrinių autobusų), kuriomis važiuojant patiriami nuostoliai, vnt.</t>
  </si>
  <si>
    <t>SB(ESL)</t>
  </si>
  <si>
    <r>
      <t xml:space="preserve">Europos Sąjungos finansinės paramos lėšos, kurios įtrauktos į Savivaldybės biudžetą </t>
    </r>
    <r>
      <rPr>
        <b/>
        <sz val="10"/>
        <rFont val="Times New Roman"/>
        <family val="1"/>
        <charset val="186"/>
      </rPr>
      <t>SB(ES)</t>
    </r>
  </si>
  <si>
    <r>
      <t xml:space="preserve">Europos Sąjungos finansinės paramos lėšų likučio metų pradžioje lėšos </t>
    </r>
    <r>
      <rPr>
        <b/>
        <sz val="10"/>
        <rFont val="Times New Roman"/>
        <family val="1"/>
        <charset val="186"/>
      </rPr>
      <t>SB(ESL)</t>
    </r>
  </si>
  <si>
    <t>SB(P)</t>
  </si>
  <si>
    <r>
      <t xml:space="preserve">Savivaldybės paskolų lėšos </t>
    </r>
    <r>
      <rPr>
        <b/>
        <sz val="10"/>
        <rFont val="Times New Roman"/>
        <family val="1"/>
        <charset val="186"/>
      </rPr>
      <t>SB(P)</t>
    </r>
    <r>
      <rPr>
        <sz val="10"/>
        <rFont val="Times New Roman"/>
        <family val="1"/>
        <charset val="186"/>
      </rPr>
      <t xml:space="preserve">        
</t>
    </r>
  </si>
  <si>
    <t>SB(SPI)</t>
  </si>
  <si>
    <r>
      <t xml:space="preserve">Pajamų įmokų infrastruktūros plėtrai lėšos </t>
    </r>
    <r>
      <rPr>
        <b/>
        <sz val="10"/>
        <rFont val="Times New Roman"/>
        <family val="1"/>
        <charset val="186"/>
      </rPr>
      <t>SB(SPI)</t>
    </r>
  </si>
  <si>
    <t>SB(K)</t>
  </si>
  <si>
    <r>
      <t>Valstybės biudžeto kompensacija 2020 m. negautoms pajamoms padengti</t>
    </r>
    <r>
      <rPr>
        <b/>
        <sz val="10"/>
        <rFont val="Times New Roman"/>
        <family val="1"/>
        <charset val="186"/>
      </rPr>
      <t xml:space="preserve"> SB(K)</t>
    </r>
  </si>
  <si>
    <t>39</t>
  </si>
  <si>
    <t>Liepų, Jaunystės ir Arimų gatvių sankryžos (įrengiant šviesoforus ir apšvietimą) kapitalinis remontas:</t>
  </si>
  <si>
    <t>Liepų, Jaunystės ir Arimų gatvių sankryžos  kapitalinis remontas</t>
  </si>
  <si>
    <t xml:space="preserve"> Liepų, Jaunystės ir Arimų gatvių sankryžos  šviesoforų ir apšvietimo įrengimas </t>
  </si>
  <si>
    <t xml:space="preserve">2022 m. </t>
  </si>
  <si>
    <t>Karklų g.</t>
  </si>
  <si>
    <t>Kalvos g.</t>
  </si>
  <si>
    <t>Žardininkų g.</t>
  </si>
  <si>
    <t>Laukininkų g.</t>
  </si>
  <si>
    <t>Atlikta šviesoforų įrengimo darbų, proc.</t>
  </si>
  <si>
    <t>Atlikta apšvietimo įrengimo darbų, proc.</t>
  </si>
  <si>
    <t xml:space="preserve">2021–2023 M. KLAIPĖDOS MIESTO SAVIVALDYBĖS        </t>
  </si>
  <si>
    <t>SB'</t>
  </si>
  <si>
    <t>SB(L)'</t>
  </si>
  <si>
    <t>SB(VB)'</t>
  </si>
  <si>
    <t>LRVB'</t>
  </si>
  <si>
    <t>KVJUD'</t>
  </si>
  <si>
    <t>SB(KPP)'</t>
  </si>
  <si>
    <t>SB(ES)'</t>
  </si>
  <si>
    <t>Kt'</t>
  </si>
  <si>
    <t>SB(K)'</t>
  </si>
  <si>
    <t>ES'</t>
  </si>
  <si>
    <t>SB(SPI)'</t>
  </si>
  <si>
    <t>SB(P)'</t>
  </si>
  <si>
    <t>SB(ESL)'</t>
  </si>
  <si>
    <t>SB(VR)'</t>
  </si>
  <si>
    <t>SB(VRL)'</t>
  </si>
  <si>
    <t>SB(ESA)'</t>
  </si>
  <si>
    <t xml:space="preserve">Klaipėdos miesto savivaldybės susisiekimo sistemos  priežiūros ir plėtros programos (Nr. 06) aprašymo       </t>
  </si>
  <si>
    <t>priedas</t>
  </si>
  <si>
    <t>P1  P6</t>
  </si>
  <si>
    <t>P    P2</t>
  </si>
  <si>
    <t xml:space="preserve">Darnaus judumo priemonių diegimas Klaipėdos mieste  </t>
  </si>
  <si>
    <t xml:space="preserve">I     </t>
  </si>
  <si>
    <t xml:space="preserve">P1   P2 </t>
  </si>
  <si>
    <t>Atlikta gatvės (1374 m) rekonstravimo darbų. Užbaigtumas, proc.</t>
  </si>
  <si>
    <t>Šilutės plento ruožo nuo Tilžės g. iki geležinkelio pervažos (iki Kauno g.) rekonstrukcija (SM programa 06.2.1-TID-R-511 pr. Vietinių kelių vystymas)</t>
  </si>
  <si>
    <t>Kiemų ir privažiuojamųjų kelių prie biudžetinių įstaigų dangos remontas</t>
  </si>
  <si>
    <t>vežėjams už lengvatas turinčių keleivių vežimą</t>
  </si>
  <si>
    <t>Maršruto Klaipėdos autobusų stotis–Palangos oro uostas kursavimas</t>
  </si>
  <si>
    <t xml:space="preserve">Maršruto sodų bendrijos „Vaiteliai“–„Rasa“ kursavimas </t>
  </si>
  <si>
    <t>Parengtas kintamos informacijos ženklų ant Mokyklos  g. viaduko techninis projektas</t>
  </si>
  <si>
    <t>Avaringiausių vietų juodųjų dėmių nustatymas ir tobulinimo ar pertvarkymo projektinių schemų parengimas</t>
  </si>
  <si>
    <r>
      <t xml:space="preserve">Įdiegta dviračių saugojimo (angl. </t>
    </r>
    <r>
      <rPr>
        <i/>
        <sz val="10"/>
        <rFont val="Times New Roman"/>
        <family val="1"/>
        <charset val="186"/>
      </rPr>
      <t>bike-storing</t>
    </r>
    <r>
      <rPr>
        <sz val="10"/>
        <rFont val="Times New Roman"/>
        <family val="1"/>
        <charset val="186"/>
      </rPr>
      <t>) sistema, vnt.</t>
    </r>
  </si>
  <si>
    <r>
      <t>Uostamiesčiai: darnaus judumo principų integravimas (</t>
    </r>
    <r>
      <rPr>
        <i/>
        <sz val="10"/>
        <rFont val="Times New Roman"/>
        <family val="1"/>
        <charset val="186"/>
      </rPr>
      <t>PORT Cities: Integrating Sustainability</t>
    </r>
    <r>
      <rPr>
        <sz val="10"/>
        <rFont val="Times New Roman"/>
        <family val="1"/>
        <charset val="186"/>
      </rPr>
      <t xml:space="preserve">, PORTIS) </t>
    </r>
  </si>
  <si>
    <t xml:space="preserve">Apšvietimo ir kietųjų dangų atkūrimo ir įrengimo darbai </t>
  </si>
  <si>
    <r>
      <t xml:space="preserve">Europos Sąjungos finansinės paramos lėšos, kurios įtrauktos į savivaldybės biudžetą </t>
    </r>
    <r>
      <rPr>
        <b/>
        <sz val="10"/>
        <rFont val="Times New Roman"/>
        <family val="1"/>
        <charset val="186"/>
      </rPr>
      <t>SB(ES)</t>
    </r>
  </si>
  <si>
    <t>Aiškinamojo rašto 3 priedas</t>
  </si>
  <si>
    <t>P3</t>
  </si>
  <si>
    <t>P4</t>
  </si>
  <si>
    <t>2021-ųjų metų asignavimų planas</t>
  </si>
  <si>
    <t>2022-ųjų metų asignavimų planas</t>
  </si>
  <si>
    <t>2023-ųjų metų asignavimų planas</t>
  </si>
  <si>
    <t>Produkto kriterijaus</t>
  </si>
  <si>
    <t>planas</t>
  </si>
  <si>
    <t>Siūlomas keisti 2021-ųjų metų asignavimų planas</t>
  </si>
  <si>
    <t>Skirtumas</t>
  </si>
  <si>
    <t>Siūlomas keisti 2022-ųjų metų asignavimų planas</t>
  </si>
  <si>
    <t>Siūlomas keisti 2023-ųjų metų asignavimų planas</t>
  </si>
  <si>
    <t>Siūlomas keisti</t>
  </si>
  <si>
    <t>Keitimo priežastis</t>
  </si>
  <si>
    <t>Lyginamasis variantas</t>
  </si>
  <si>
    <t>Kontrolė</t>
  </si>
  <si>
    <t>50</t>
  </si>
  <si>
    <t>3,9</t>
  </si>
  <si>
    <t xml:space="preserve">Pravažiuojamo kelio tarp Bokštų ir Jūros g. įrengimas </t>
  </si>
  <si>
    <t xml:space="preserve">Liepų, Jaunystės ir Arimų gatvių sankryžos  šviesoforų ir apšvietimo įrengimas </t>
  </si>
  <si>
    <t>Įvažiuojamojo kelio į Debreceno g. 61</t>
  </si>
  <si>
    <t>100,0 tūkst. Eur KPP lėšų siūloma skirti Mogiliovo gyvenamojo rajono Bandužių gatvei remontuoti.</t>
  </si>
  <si>
    <t>4,1</t>
  </si>
  <si>
    <t>1,6</t>
  </si>
  <si>
    <t>1,5</t>
  </si>
  <si>
    <t>Įvažiuojamojo kelio į Jaunystės g. 7 (Nr. LM1242) paprastojo remonto darbai</t>
  </si>
  <si>
    <t>Atlikta įvažiuojamojo kelio Jaunystės g. 7 paprastojo remonto darbų. Užbaigtumas, proc.</t>
  </si>
  <si>
    <t xml:space="preserve">2021-04-07 Lietuvos Respublikos krašto apsaugos ministerijos įsakymu Nr. V-248 skirta lėšų įvažiuojamojo kelio į Jaunystės g. 7 paprastojo remonto darbams finansuoti. </t>
  </si>
  <si>
    <t>Maršruto „Klaipėdos autobusų stotis–Palangos oro uostas“ kursavimas karantino metu buvo sustabdytas. Vasarą bus sprendžiama dėl jo atnaujinimo. Per pirmą pusmetį dėl to bus sutaupyta apie 20,0 tūkst. Eur.</t>
  </si>
  <si>
    <t>Papildomos lėšos reikalingos naujai įrengiamų šviesoforų  elektros įvadų įrengimui.</t>
  </si>
  <si>
    <t>Kadangi 2023 m. planuojama  surinkti apie 300,0 tūkst. daugiau rinkliavos lėšų siūlome sukeisti finansavimo šaltinius.</t>
  </si>
  <si>
    <t xml:space="preserve">P    </t>
  </si>
  <si>
    <t>Danės upės pritaikymas laivybai ir vandens autobuso maršruto įdiegimas</t>
  </si>
  <si>
    <t>Parengtas takų iki pontoninių prieplaukų projektas, vnt.</t>
  </si>
  <si>
    <t>Pritaikyta krantinė  senamiestyje, vnt</t>
  </si>
  <si>
    <t>Įrengti takai, vnt.</t>
  </si>
  <si>
    <t>Įrengtos pontoninės prieplaukos, vnt.</t>
  </si>
  <si>
    <t>Įrengti elektros įvadai, vnt.</t>
  </si>
  <si>
    <t>Subsidijuojamas Danės upės vandens kelio maršrutas, vnt.</t>
  </si>
  <si>
    <t>Atlikta papildomų perėjos įrengimo, dangos, apšvietimo atnaujinimo darbų. Užbaigtumas proc.</t>
  </si>
  <si>
    <t>Perkeliamos lėšos 100,0 tūkst. Eur (SB(L) 35,5+SB(P) 64,5) iš 7 programos projekto "Viešosios erdvės prie buvusio „Vaidilos“ kino teatro konversija" I.Kubilienės siūlymu, rangos darbams senmiesčio gatvėse vykdyti.</t>
  </si>
  <si>
    <t>Grąžinamos lėšos iš Miesto tvarkymo skyriaus.</t>
  </si>
  <si>
    <t>Neskirtos lėšos iš žvyruotų dangų tvarkymo programos (200,0), todėl priemonės vykdymui siūlomos lėšos iš papildomai planuojamų skirti KPPP skaičiuojamųjų lėšų.</t>
  </si>
  <si>
    <t>Atlikta darbų. Užbaigtumas proc.</t>
  </si>
  <si>
    <t>Pastato Pilies g. 2A nugriovimas ir automobilių stovėjimo aikštelės įrengimas (praplėtimas)</t>
  </si>
  <si>
    <t>ES lėšų nebus skirta. Pagal šviesoforų montavimo veiksmų planą 2021 m. reikės 680,8 tūkst. Eur; 2022 m. - 824,7 tūkst. Eur. 150,0 tūkst. Eur atkeliama iš papriemonės "Apšvietimo ir kietųjų dangų atstatymo ir įrengimo darbai". 124,5 tūkst. siūloma skirti iš planuojamų papildomai surinkti SB(VR) lėšų  po Taryboje pakeistų rinkliavos už naudojimąsi mokamomis vietomis automobiliams statyti dydžių.  Prašome PAPILDOMAI skirti 2021 metais - 118,3 tūkst. 2022 metais -349,1 tūks. Eur  SB lėšų .</t>
  </si>
  <si>
    <t>Siūloma atlikti papildomus darbus kompleksiškai sutvarkant transporto mazgo prieigas (techn. projektas,šviesoforinė pėsčiųjų-dviračių perėja ties Komunarų g. su Tilžės g., Tilžės g. kelio danga, pėsčiųjų-dviračių takai nuo Komunarų g. iki Sausio 15-osios g. 5, gatvių apšvietimo atnaujinimas). Papildomų darbų preliminari vertė 345,0 tūkst. Eur, bus panaudoti projekto rezervo lėšos,  papildomai reikalingi 115,6 tūkst. Eur.</t>
  </si>
  <si>
    <t>Ar čia bus tikslinamas techn. projektas? Gal galima aiškiau surašyti planuojamus atlikti darbus?</t>
  </si>
  <si>
    <t>Siūloma koreguoti preliminarias 2022-2023 metų sumas, atsižvelgiant į gautą 2021 m. finansavimą.</t>
  </si>
  <si>
    <t>Reikėtų paaiškinti, kam bus naudojamos iš lėšos, iš kur jos perkeliamos ir kas siūlo, nereikia minėti.</t>
  </si>
  <si>
    <t>Projektas baigiamas, siūloma sumažinti finansavimo apimtį ir  lėšų likutį perkelti kitoms priemonėms įgyvendinti</t>
  </si>
  <si>
    <t>Ar šitą reikia rodyti?</t>
  </si>
  <si>
    <t>Čia kažkaip neaiškiai, juk lėšų poreikį mažiname, tai reikėtų aiškinti, kodėl taip vyksta</t>
  </si>
  <si>
    <t xml:space="preserve">Siūloma įtraukti  naują priemonę, kaip tęstinį teritorijos sutvarkymo  projektą, nes 2016 m. baigtas objektas „Automobilių aikštelės teritorijoje Pilies g. 2A įrengimas“, taip pat 2020 m. užbaigtas projektas  „Naujo įvažiuojamojo kelio (Priešpilio g.) į piliavietę ir kruizinių laivų terminalą tiesimas“,  derinamas Pilies bokšto statybos projektas ir kt.  Remiantis BĮ Klaipėdos sporto bazių valdymo centro raštu (2021-04-19; Nr. 18E), šiai dienai pastatą (sporto salė, administracinės ir pagalbinės patalpos) Pilies 2A eksploatuoti tapo nesaugu, reikalingos investicijos į modernizavimą apsaugant konstrukcijas nuo tolimesnio irimo poveikio, šildymo sistema yra atgyvenusi ir jos suremontuoti negalima, ją reikėtų pilnai keisti. Kadangi teritorijų planavimo dokumentuose minėtą pastatą yra numatyta nugriauti, siūloma šį procesą pradėti - 2021 m. būtų parengtas techninis projektas dėl griovimo darbų ir automobilių stovėjimo aikštelių įrengimo. Prasidėjus šildymo sezonui sportininkų užsiėmimai būtų organizuojami kitose patalpose (savivaldybės, nuomojamose ir pan.). 2022 m. būtų atlikti griovimo darbai ir įrengta automobilių stovėjimo aikštelė.  </t>
  </si>
  <si>
    <t>Papildomas KPP lėšas siūloma skirti nuvažiavimo iš Mokyklos g. į Joniškės g. ir užvažiavimo iš Joniškės g. į Mokyklos g. (rytinė viaduko pusė) asfalto dangos paprastojo remonto darbams.</t>
  </si>
  <si>
    <t xml:space="preserve"> Bus atlikta šiek tiek mažiau darbų nei planuota. </t>
  </si>
  <si>
    <t>Papildomas KPP lėšas siūloma skirti šaligatvių tvarkymui - Sausio 15-osios g. atkarpos tarp Taikos pr. ir Galinio Pylimo g. (šiaurinės pusės) paprastajam remontui, įrengiant 2,5 m pločio raudono asfalto dviračių taką.</t>
  </si>
  <si>
    <t xml:space="preserve">Ar čia tikrai? Nuo kada Krašto apsaugos ministerija skirsto KPP lėšas? Reikia pasitikrinti, kas tame įsakyme rašoma ir ką čia darys savivaldybė. </t>
  </si>
  <si>
    <t>Siūloma numatyti papriemonei vykdyti papildomas KPP lėšas ir atlaisvinti SB lėšas, kurios nukreipiamos kitoms priemonėms vykdyti</t>
  </si>
  <si>
    <t>Pagal VšĮ Klaipėdos keleivinis transportas pateiktą atnaujintą informaciją nuostoliams iki spalio mėnesio reikės 1076,8 tūkst. Eur. 24,2 tūkst. SB(L) atkeliama iš " Liepų, Jaunystės ir Arimų gatvių sankryžos  šviesoforų įrengimas". Prašome PAPILDOMAI skirti 1052,6 tūks. Eur  SB lėšų.</t>
  </si>
  <si>
    <t>Čia reikėtų taisyti, paminėti, kad laukiama dotacijos po valstybės biudžeto pakeitimo, dėl to planuojame mažesnę sumą nei patirti nuostoliai, galima KKT paprašyti, kad pateiktų palyginimui - Klaipėdos, Kauno, Vilniaus patirtus nuostolius, kad neatrodytų, kad mes čia vieni.</t>
  </si>
  <si>
    <r>
      <t xml:space="preserve">Papildomai reikia lėšų daliniam atsiskaitymui pagal 2021-03-23 projektavimo sutartį Nr.J9-919 (Kauno ir Rimkų g. įvažos) už techninės užduoties ir (ar) prisijungimo sąlygoms ir specialiesiems reikalavimams gauti – 0,97 tūkst. Eur, projektinių pasiūlymų rengimo paslaugos – 2,66 tūkst. Eur. Bendrai su PVM trūksta 3,63 tūkst. Eur. </t>
    </r>
    <r>
      <rPr>
        <strike/>
        <sz val="10"/>
        <color rgb="FFFF0000"/>
        <rFont val="Times New Roman"/>
        <family val="1"/>
        <charset val="186"/>
      </rPr>
      <t>Pirkimo terminas buvo paankstintas, preliminariai planuojant, kad reikalingas lėšas daliniam apmokėjimui persikelsime iš baigiamų projektų likučių, keičiant MVP ar SVP</t>
    </r>
    <r>
      <rPr>
        <sz val="10"/>
        <color rgb="FFFF0000"/>
        <rFont val="Times New Roman"/>
        <family val="1"/>
        <charset val="186"/>
      </rPr>
      <t>.</t>
    </r>
  </si>
  <si>
    <t>Kas konkrečiai bus padaryta, t.y. kiek bus tų naujų šviesoforų, ar nesikeičia rodiklis, dabar nurodyta 6? Kodėl anksčiau nesuplanavo lėšų įvadams, ar jie pabrango? Kame priežastis?</t>
  </si>
  <si>
    <t>Pagal pateiktą rangovo darbų grafiką planuojama atlikti daugiau darbų 2021 m. , todėl iš naujai planuojamų KPPP lėšų  planuojami papildomi 230,0 tūkst. eur, perkeliant SB(VR) -150,0 Transporto sk.  šviesoforų montavimo darbams atlikti, kompensuojant neskirtas ES lėšas.</t>
  </si>
  <si>
    <t>Čia visur reikėtų patikslinti, sutvarkyti tekstą pritaikant tarybos nariams. Be to, Saulina sakė, kad mažins pajamas iš VR, nes nebeplanuosime lėšų administravimui. Ir nereikia rašyti, iš kur atkeliame</t>
  </si>
  <si>
    <t>Parengtas veiksmų planas dėl Danės upės pritaikymo laivybai - reikalinga įrengti pontonines prieplaukas, priėjimo takus prie preiplaukų ir kt. darbus. Vandens autobuso maršrutas Danės upe startuotų nuo 2022 m. vasaros. Būtų įrengiama infrastruktūra ir paraleliai skelbiamas konkursas maršruto vykdytojui. Numatomos lėšos maršruto subsidijavimui (preliminariai 2022 m. prireiks 31,9 tūkst. Eur, kitais metais - 54,6 tūkst. Eur)</t>
  </si>
  <si>
    <t>Siūloma didinti priemonės finansinę apimtį, nes po viešųjų pirkimų procedūrų gautas vienintelis pasiūlymas didesnei sumai nei planuota.       Papildoma nauju rodikliu, nes parengti projektą buvo numatyta 2020 m., tačiau užtruko parengto projekto derinimas dėl pavadinimo neatitikimo.</t>
  </si>
  <si>
    <t>SB(ŽPL)'</t>
  </si>
  <si>
    <t xml:space="preserve">Pravažiuojamojo kelio tarp Bokštų ir Jūros g. įrengimas </t>
  </si>
  <si>
    <t>Atlikta įvažiuojamojo kelio į Jaunystės g. 7 paprastojo remonto darbų. Užbaigtumas, proc.</t>
  </si>
  <si>
    <t>J. Zauerveino g.</t>
  </si>
  <si>
    <t>Parko g.</t>
  </si>
  <si>
    <t>Viršutinė g.</t>
  </si>
  <si>
    <t>2,7</t>
  </si>
  <si>
    <t>2,3</t>
  </si>
  <si>
    <t>Statybininkų pr. 36-70 kelio ruožas</t>
  </si>
  <si>
    <t>Bangų g. ruožas nuo viaduko iki akmens grindinio</t>
  </si>
  <si>
    <t xml:space="preserve">Nuvažiavimo ruožas iš Mokyklos g. į Joniškės g. ir užvažiavimo ruožas iš Joniškės g. į Mokyklos g. </t>
  </si>
  <si>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100,0 tūkst. Eur</t>
    </r>
    <r>
      <rPr>
        <sz val="10"/>
        <rFont val="Times New Roman"/>
        <family val="1"/>
        <charset val="186"/>
      </rPr>
      <t xml:space="preserve"> (SB) 2022 m., nes įvažų įrengimo darbai prasidėjo vėliau nei planuota, todėl apmokėjimas planuojamas 2022 m.</t>
    </r>
  </si>
  <si>
    <r>
      <rPr>
        <b/>
        <sz val="10"/>
        <rFont val="Times New Roman"/>
        <family val="1"/>
        <charset val="186"/>
      </rPr>
      <t>Mažinama</t>
    </r>
    <r>
      <rPr>
        <sz val="10"/>
        <rFont val="Times New Roman"/>
        <family val="1"/>
        <charset val="186"/>
      </rPr>
      <t xml:space="preserve"> finansavimo apimtis 2021 m. </t>
    </r>
    <r>
      <rPr>
        <b/>
        <sz val="10"/>
        <rFont val="Times New Roman"/>
        <family val="1"/>
        <charset val="186"/>
      </rPr>
      <t>62,0 tūkst. Eur</t>
    </r>
    <r>
      <rPr>
        <sz val="10"/>
        <rFont val="Times New Roman"/>
        <family val="1"/>
        <charset val="186"/>
      </rPr>
      <t xml:space="preserve"> (Kt), nes šiuo metu dar tik vykdomos Vikingų g. rangos darbų pirkimo procedūros. Atitinkama lėšų suma didinama finansavimo apimtis 2022 m. </t>
    </r>
  </si>
  <si>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187,5 tūkst. Eur</t>
    </r>
    <r>
      <rPr>
        <sz val="10"/>
        <rFont val="Times New Roman"/>
        <family val="1"/>
        <charset val="186"/>
      </rPr>
      <t xml:space="preserve"> (SB), nes šiais metais planuojama atlikti daugiau darbų.</t>
    </r>
  </si>
  <si>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53,8 tūkst. Eur</t>
    </r>
    <r>
      <rPr>
        <sz val="10"/>
        <rFont val="Times New Roman"/>
        <family val="1"/>
        <charset val="186"/>
      </rPr>
      <t xml:space="preserve"> (SB(VR)), nes iki metų galo rinkliavos planuojama surinkti daugiau, todėl atitinkamai  reikės didesnio finansavimo jos administravimui.</t>
    </r>
  </si>
  <si>
    <r>
      <rPr>
        <b/>
        <sz val="10"/>
        <rFont val="Times New Roman"/>
        <family val="1"/>
        <charset val="186"/>
      </rPr>
      <t>Mažinama</t>
    </r>
    <r>
      <rPr>
        <sz val="10"/>
        <rFont val="Times New Roman"/>
        <family val="1"/>
        <charset val="186"/>
      </rPr>
      <t xml:space="preserve"> finansasvimo apimtis 2021 m. </t>
    </r>
    <r>
      <rPr>
        <b/>
        <sz val="10"/>
        <rFont val="Times New Roman"/>
        <family val="1"/>
        <charset val="186"/>
      </rPr>
      <t>103,3 tūkst. Eur</t>
    </r>
    <r>
      <rPr>
        <sz val="10"/>
        <rFont val="Times New Roman"/>
        <family val="1"/>
        <charset val="186"/>
      </rPr>
      <t xml:space="preserve"> (SB), nes rangovas informavo, kad, negavus žemės kasimo darbų leidimo ir dėl poreikio iš naujo derinti projektus su kitomis institucijomis, nespės atlikti suplanuotos sankryžos šviesoforų atnaujinimo darbų. 2022 m. darbus planuojama vykdyti tik iš SB(VR) lėšų (keičiami finansavimo šaltiniai).</t>
    </r>
  </si>
  <si>
    <r>
      <t xml:space="preserve">2021 m. koreguojamas rodiklis, nes  už suplanuotas lėšas šiais metais nupirkti tik 7 auditai. </t>
    </r>
    <r>
      <rPr>
        <b/>
        <sz val="10"/>
        <rFont val="Times New Roman"/>
        <family val="1"/>
        <charset val="186"/>
      </rPr>
      <t>2022 m. ir 2023 m. didinama</t>
    </r>
    <r>
      <rPr>
        <sz val="10"/>
        <rFont val="Times New Roman"/>
        <family val="1"/>
        <charset val="186"/>
      </rPr>
      <t xml:space="preserve"> finansavimo apimtis, nes taip pat planuojama nupirkti po 7 auditus, kurių vertė - po 20,0 tūkst. Eur.</t>
    </r>
  </si>
  <si>
    <t xml:space="preserve">Koreguojamas rodiklis, kadangi rangovas darbus pradėjo vėliau nei planuota pagal pateiktą darbų grafiką. Taip pat atsižvelgiant į tai, kad vienu metu visose gatvėse darbų vykdyti negalima, nes rekonstrukcijos darbai vyks kartu su archeologiniais tiriamaisiais darbais bei į tai, kad Teatro g. esančioms lauko kavinėms leidimai veiklai vykdyti išduoti iki š. m. spalio 31 d., šiais metais nutarta darbus vykdyti tik Sukilėlių g. </t>
  </si>
  <si>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150,0 tūkst. Eur</t>
    </r>
    <r>
      <rPr>
        <sz val="10"/>
        <rFont val="Times New Roman"/>
        <family val="1"/>
        <charset val="186"/>
      </rPr>
      <t xml:space="preserve"> (SB(KPP)) rangos darbams apmokėti pagal 2020-06-04 sutartį Nr. J9-1572 su  UAB „Kauno tiltai“. </t>
    </r>
    <r>
      <rPr>
        <b/>
        <sz val="10"/>
        <rFont val="Times New Roman"/>
        <family val="1"/>
        <charset val="186"/>
      </rPr>
      <t>Mažinama</t>
    </r>
    <r>
      <rPr>
        <sz val="10"/>
        <rFont val="Times New Roman"/>
        <family val="1"/>
        <charset val="186"/>
      </rPr>
      <t xml:space="preserve"> finansavimo apimtis 2023 m.</t>
    </r>
    <r>
      <rPr>
        <b/>
        <sz val="10"/>
        <rFont val="Times New Roman"/>
        <family val="1"/>
        <charset val="186"/>
      </rPr>
      <t xml:space="preserve"> 590,0 tūkst. Eur</t>
    </r>
    <r>
      <rPr>
        <sz val="10"/>
        <rFont val="Times New Roman"/>
        <family val="1"/>
        <charset val="186"/>
      </rPr>
      <t xml:space="preserve"> (SB(KPP)) dėl projekto vertės tikslinimo.</t>
    </r>
  </si>
  <si>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361,0 tūkst. Eur</t>
    </r>
    <r>
      <rPr>
        <sz val="10"/>
        <rFont val="Times New Roman"/>
        <family val="1"/>
        <charset val="186"/>
      </rPr>
      <t xml:space="preserve"> (SB), nes ieškant galimybių dengti nuostolius priemonėje „Nuostolių kompensacijų mokėjimas: patirtų vykdant keleivinio kelių transporto viešųjų paslaugų vežant keleivius vietinio (miesto) reguliaraus susisiekimo autobusų maršrutais“ iš priemonės „Transporto kompensacijų mokėjimas“  per kelis kartus buvo perkelta 1285,2 tūkst. Eur. Įvertinus faktiškai pateiktas sąskaitas kompensacijoms ir galimą kompensacijų poreikį iki metų pabaigos priemonėje trūksta 361,0 tūkst. Eur.</t>
    </r>
  </si>
  <si>
    <r>
      <rPr>
        <b/>
        <sz val="10"/>
        <rFont val="Times New Roman"/>
        <family val="1"/>
        <charset val="186"/>
      </rPr>
      <t xml:space="preserve">Didinama </t>
    </r>
    <r>
      <rPr>
        <sz val="10"/>
        <rFont val="Times New Roman"/>
        <family val="1"/>
        <charset val="186"/>
      </rPr>
      <t xml:space="preserve">finansavimo apimtis </t>
    </r>
    <r>
      <rPr>
        <b/>
        <sz val="10"/>
        <rFont val="Times New Roman"/>
        <family val="1"/>
        <charset val="186"/>
      </rPr>
      <t>323,7 tūkst. Eur (SB)</t>
    </r>
    <r>
      <rPr>
        <sz val="10"/>
        <rFont val="Times New Roman"/>
        <family val="1"/>
        <charset val="186"/>
      </rPr>
      <t xml:space="preserve"> ir </t>
    </r>
    <r>
      <rPr>
        <b/>
        <sz val="10"/>
        <rFont val="Times New Roman"/>
        <family val="1"/>
        <charset val="186"/>
      </rPr>
      <t>211,5 tūkst Eur SB(L)</t>
    </r>
    <r>
      <rPr>
        <sz val="10"/>
        <rFont val="Times New Roman"/>
        <family val="1"/>
        <charset val="186"/>
      </rPr>
      <t xml:space="preserve">  nuostolių kompensacijų mokėjimui, patirtų vykdant keleivinio kelių transporto viešųjų paslaugų vežant keleivius vietinio (miesto) reguliaraus susisiekimo autobusų maršrutais dėl COVID-19 plitimo metu sumažėjusių keleivių srautų. Finansų ministerija žadėjo skirti dotaciją nuostolių dengimui, tačiau iki šiol jos neskyrė, todėl iki metų pabaigos viešojo transporto tinklo nuostoliams papildomai reikia 535,2 tūkst. Eur.</t>
    </r>
  </si>
  <si>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106,6 tūkst. Eur</t>
    </r>
    <r>
      <rPr>
        <sz val="10"/>
        <rFont val="Times New Roman"/>
        <family val="1"/>
        <charset val="186"/>
      </rPr>
      <t xml:space="preserve"> (SB) dėl suskystintų gamtinių dujų kainos augimo, vyriausybės planuojamo minimalaus darbo užmokesčio didinimo nuo 2022 m.  Taip pat anksčiau nebuvo įvertinta vežėjo rentabilumo suma.</t>
    </r>
  </si>
  <si>
    <r>
      <rPr>
        <b/>
        <sz val="10"/>
        <rFont val="Times New Roman"/>
        <family val="1"/>
        <charset val="186"/>
      </rPr>
      <t>Mažinama</t>
    </r>
    <r>
      <rPr>
        <sz val="10"/>
        <rFont val="Times New Roman"/>
        <family val="1"/>
        <charset val="186"/>
      </rPr>
      <t xml:space="preserve"> finansasvimo apimtis 2021 m. </t>
    </r>
    <r>
      <rPr>
        <b/>
        <sz val="10"/>
        <rFont val="Times New Roman"/>
        <family val="1"/>
        <charset val="186"/>
      </rPr>
      <t>150,0 tūkst. Eur</t>
    </r>
    <r>
      <rPr>
        <sz val="10"/>
        <rFont val="Times New Roman"/>
        <family val="1"/>
        <charset val="186"/>
      </rPr>
      <t xml:space="preserve"> (SB(KPP)) ir tokia pat lėšų suma didinama finansavimo apimtis 2022 m., nes priemonės įgyvendinimas ir lėšų panaudojimas priklausė nuo  priemonės „Transporto (eismo) valdymo sistemos diegimas: parengto projekto šviesoforų montavimo darbai“ darbų atlikimo. UAB „Gatvių apšvietimas“ vykdė konkursą ir pasirašė tiekimo sutartį dėl šviesoforų gaminių-elementų pagaminimo. Nepradėjus vykdyti šviesoforų gaminių montavimo darbų, vėluoja ir suplanuoti vykdyti Minijos g. sankryžų apšvietimo įrengimo bei  kietųjų dangų atstatomieji darbai.</t>
    </r>
  </si>
  <si>
    <r>
      <rPr>
        <b/>
        <sz val="10"/>
        <rFont val="Times New Roman"/>
        <family val="1"/>
        <charset val="186"/>
      </rPr>
      <t>Didinama</t>
    </r>
    <r>
      <rPr>
        <sz val="10"/>
        <rFont val="Times New Roman"/>
        <family val="1"/>
        <charset val="186"/>
      </rPr>
      <t xml:space="preserve"> finansavimo apimtis 2022 m.</t>
    </r>
    <r>
      <rPr>
        <b/>
        <sz val="10"/>
        <rFont val="Times New Roman"/>
        <family val="1"/>
        <charset val="186"/>
      </rPr>
      <t xml:space="preserve"> 5,0 tūkst. Eur</t>
    </r>
    <r>
      <rPr>
        <sz val="10"/>
        <rFont val="Times New Roman"/>
        <family val="1"/>
        <charset val="186"/>
      </rPr>
      <t xml:space="preserve"> (SB), nes šiuo metu dar tik rengiamos konkurso salygos projektavimo paslaugų pirkimui vykdyti, todėl atsiskaitymas planuojamas 2022 m. Likusios lėšos 2021 m. bus panaudotos kitiems objektams keičiant 2021 m. veiklos planą.</t>
    </r>
  </si>
  <si>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30,0 tūkst. Eur</t>
    </r>
    <r>
      <rPr>
        <sz val="10"/>
        <rFont val="Times New Roman"/>
        <family val="1"/>
        <charset val="186"/>
      </rPr>
      <t xml:space="preserve"> (SB) 2022 m., nes šiuo metu tik rengiama statinio projektavimo užduotis, pirkimo paraiška projektavimo paslaugų pirkimui, todėl apmokėjimas planuojamas 2022 m. Likusios lėšos 2021 m. bus panaudotos kitiems objektams keičiant 2021 m. veiklos planą.</t>
    </r>
  </si>
  <si>
    <r>
      <rPr>
        <b/>
        <sz val="10"/>
        <rFont val="Times New Roman"/>
        <family val="1"/>
        <charset val="186"/>
      </rPr>
      <t>Didinama</t>
    </r>
    <r>
      <rPr>
        <sz val="10"/>
        <rFont val="Times New Roman"/>
        <family val="1"/>
      </rPr>
      <t xml:space="preserve"> finansavimo apimtis </t>
    </r>
    <r>
      <rPr>
        <b/>
        <sz val="10"/>
        <rFont val="Times New Roman"/>
        <family val="1"/>
        <charset val="186"/>
      </rPr>
      <t xml:space="preserve">2022 m. 190,0 tūkst. Eur (SB) </t>
    </r>
    <r>
      <rPr>
        <sz val="10"/>
        <rFont val="Times New Roman"/>
        <family val="1"/>
        <charset val="186"/>
      </rPr>
      <t>ir</t>
    </r>
    <r>
      <rPr>
        <b/>
        <sz val="10"/>
        <rFont val="Times New Roman"/>
        <family val="1"/>
        <charset val="186"/>
      </rPr>
      <t xml:space="preserve"> 76,6 tūkst. Eur (SB(KPP)) </t>
    </r>
    <r>
      <rPr>
        <sz val="10"/>
        <rFont val="Times New Roman"/>
        <family val="1"/>
        <charset val="186"/>
      </rPr>
      <t xml:space="preserve">dėl </t>
    </r>
    <r>
      <rPr>
        <sz val="10"/>
        <rFont val="Times New Roman"/>
        <family val="1"/>
      </rPr>
      <t>Dianos g. darbų sustabdymo, nes gautas AB „Klaipėdos vanduo“ raštas, kad per kitus metus planuoja šioje gatvėje įrengti  vandentiekio ir nuotekų tinklus; dėl Baltijos 1-osios g. statybos darbų pristabdymo, nes derinami šalia esančių į pagrindinę gatvę įsijungiamų kvartalinių gatvių projektų rengimo sprendiniai (lietaus tinklų sprendiniai, keičiami priimti Baltijos 1-osios g. sprendiniai). Likusios lėšos 2021 m. bus panaudotos kitiems objektams keičiant 2021 m. veiklos planą.</t>
    </r>
  </si>
  <si>
    <r>
      <rPr>
        <b/>
        <sz val="10"/>
        <rFont val="Times New Roman"/>
        <family val="1"/>
        <charset val="186"/>
      </rPr>
      <t xml:space="preserve">Mažinama </t>
    </r>
    <r>
      <rPr>
        <sz val="10"/>
        <rFont val="Times New Roman"/>
        <family val="1"/>
        <charset val="186"/>
      </rPr>
      <t xml:space="preserve">finansavimo apimtis 53,8 tūkst. Eur (SB(VR)) – priemonei suplanuotos lėšos šiemet nebus panaudotos, nes sutartis Nr. J9-2120 dėl infrastruktūros, reikalingos greitųjų autobusų eismo sistemai (BRT) funkcionuoti, techninio darbo projekto parengimo ir projekto vykdymo priežiūros paslaugų pasirašyta 2021-08-18, sutarties įvykdymo terminas – 7 mėnesiai, todėl bus įvykdyta 2022 m. II ketvirtį. 2022 m. mažinama finansavimo apimtis, o 2023 m. – didinama, kadangi darbų pirkimas planuojamas iki 2022 m. pabaigos.  </t>
    </r>
  </si>
  <si>
    <t xml:space="preserve">Koreguojama rodiklio reikšmė, nes techninis projektas rengiamas bendras visoms 4 įvažoms (Rimkai 2 vnt., Kauno g. 2 vnt. įrengimas).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</si>
</sst>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
    <numFmt numFmtId="166" formatCode="[$-409]General"/>
    <numFmt numFmtId="167" formatCode="0.0"/>
  </numFmts>
  <fonts count="36" x14ac:knownFonts="1">
    <font>
      <sz val="10"/>
      <name val="Arial"/>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sz val="10"/>
      <name val="Arial"/>
      <family val="2"/>
      <charset val="186"/>
    </font>
    <font>
      <b/>
      <sz val="9"/>
      <name val="Times New Roman"/>
      <family val="1"/>
      <charset val="186"/>
    </font>
    <font>
      <sz val="8"/>
      <name val="Arial"/>
      <family val="2"/>
      <charset val="186"/>
    </font>
    <font>
      <i/>
      <sz val="10"/>
      <name val="Times New Roman"/>
      <family val="1"/>
      <charset val="186"/>
    </font>
    <font>
      <sz val="11"/>
      <name val="Times New Roman"/>
      <family val="1"/>
      <charset val="186"/>
    </font>
    <font>
      <b/>
      <i/>
      <sz val="10"/>
      <name val="Times New Roman"/>
      <family val="1"/>
      <charset val="186"/>
    </font>
    <font>
      <sz val="10"/>
      <name val="Times New Roman"/>
      <family val="1"/>
    </font>
    <font>
      <b/>
      <sz val="10"/>
      <name val="Arial"/>
      <family val="2"/>
      <charset val="186"/>
    </font>
    <font>
      <sz val="11"/>
      <color rgb="FF000000"/>
      <name val="Calibri"/>
      <family val="2"/>
      <charset val="186"/>
    </font>
    <font>
      <b/>
      <sz val="7"/>
      <name val="Arial"/>
      <family val="2"/>
      <charset val="186"/>
    </font>
    <font>
      <sz val="12"/>
      <name val="Times New Roman"/>
      <family val="1"/>
      <charset val="186"/>
    </font>
    <font>
      <b/>
      <sz val="12"/>
      <name val="Times New Roman"/>
      <family val="1"/>
      <charset val="186"/>
    </font>
    <font>
      <sz val="10"/>
      <name val="Arial"/>
      <family val="2"/>
    </font>
    <font>
      <b/>
      <sz val="9"/>
      <color indexed="81"/>
      <name val="Tahoma"/>
      <family val="2"/>
      <charset val="186"/>
    </font>
    <font>
      <sz val="9"/>
      <color indexed="81"/>
      <name val="Tahoma"/>
      <family val="2"/>
      <charset val="186"/>
    </font>
    <font>
      <sz val="10"/>
      <name val="Times"/>
      <family val="1"/>
    </font>
    <font>
      <strike/>
      <sz val="10"/>
      <name val="Times New Roman"/>
      <family val="1"/>
      <charset val="186"/>
    </font>
    <font>
      <u/>
      <sz val="10"/>
      <name val="Times New Roman"/>
      <family val="1"/>
      <charset val="186"/>
    </font>
    <font>
      <sz val="9"/>
      <name val="Arial"/>
      <family val="2"/>
      <charset val="186"/>
    </font>
    <font>
      <b/>
      <sz val="11"/>
      <name val="Times New Roman"/>
      <family val="1"/>
      <charset val="186"/>
    </font>
    <font>
      <sz val="10"/>
      <color rgb="FFFF0000"/>
      <name val="Times New Roman"/>
      <family val="1"/>
      <charset val="186"/>
    </font>
    <font>
      <sz val="10"/>
      <color theme="0"/>
      <name val="Times New Roman"/>
      <family val="1"/>
      <charset val="186"/>
    </font>
    <font>
      <sz val="10"/>
      <color theme="0"/>
      <name val="Arial"/>
      <family val="2"/>
      <charset val="186"/>
    </font>
    <font>
      <b/>
      <sz val="10"/>
      <color theme="0"/>
      <name val="Times New Roman"/>
      <family val="1"/>
      <charset val="186"/>
    </font>
    <font>
      <sz val="10"/>
      <color rgb="FF0070C0"/>
      <name val="Times New Roman"/>
      <family val="1"/>
      <charset val="186"/>
    </font>
    <font>
      <sz val="9"/>
      <color rgb="FF0070C0"/>
      <name val="Times New Roman"/>
      <family val="1"/>
      <charset val="186"/>
    </font>
    <font>
      <b/>
      <sz val="10"/>
      <color rgb="FF0070C0"/>
      <name val="Times New Roman"/>
      <family val="1"/>
      <charset val="186"/>
    </font>
    <font>
      <sz val="10"/>
      <color rgb="FFFF0000"/>
      <name val="Times New Roman"/>
      <family val="1"/>
    </font>
    <font>
      <sz val="10"/>
      <color rgb="FFFF0000"/>
      <name val="Arial"/>
      <family val="2"/>
      <charset val="186"/>
    </font>
    <font>
      <strike/>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s>
  <cellStyleXfs count="4">
    <xf numFmtId="0" fontId="0" fillId="0" borderId="0"/>
    <xf numFmtId="164" fontId="6" fillId="0" borderId="0" applyFont="0" applyFill="0" applyBorder="0" applyAlignment="0" applyProtection="0"/>
    <xf numFmtId="0" fontId="6" fillId="0" borderId="0"/>
    <xf numFmtId="166" fontId="14" fillId="0" borderId="0" applyBorder="0" applyProtection="0"/>
  </cellStyleXfs>
  <cellXfs count="2202">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6" fillId="0" borderId="0" xfId="0" applyFont="1"/>
    <xf numFmtId="0" fontId="2" fillId="0" borderId="0" xfId="0" applyNumberFormat="1" applyFont="1" applyAlignment="1">
      <alignment vertical="top"/>
    </xf>
    <xf numFmtId="49" fontId="2" fillId="2" borderId="33" xfId="0" applyNumberFormat="1" applyFont="1" applyFill="1" applyBorder="1" applyAlignment="1">
      <alignment horizontal="center" vertical="top"/>
    </xf>
    <xf numFmtId="165" fontId="1" fillId="0" borderId="0" xfId="0" applyNumberFormat="1" applyFont="1" applyAlignment="1">
      <alignment vertical="top"/>
    </xf>
    <xf numFmtId="0" fontId="1" fillId="0" borderId="30" xfId="0" applyFont="1" applyBorder="1" applyAlignment="1">
      <alignment vertical="top"/>
    </xf>
    <xf numFmtId="0" fontId="2" fillId="0" borderId="30" xfId="0" applyNumberFormat="1" applyFont="1" applyBorder="1" applyAlignment="1">
      <alignment vertical="top"/>
    </xf>
    <xf numFmtId="49" fontId="2" fillId="9" borderId="15" xfId="0" applyNumberFormat="1" applyFont="1" applyFill="1" applyBorder="1" applyAlignment="1">
      <alignment horizontal="center" vertical="top" wrapText="1"/>
    </xf>
    <xf numFmtId="3" fontId="1" fillId="0" borderId="0" xfId="0" applyNumberFormat="1" applyFont="1" applyBorder="1" applyAlignment="1">
      <alignment vertical="top"/>
    </xf>
    <xf numFmtId="0" fontId="1" fillId="7" borderId="55" xfId="0" applyFont="1" applyFill="1" applyBorder="1" applyAlignment="1">
      <alignment horizontal="center" vertical="top"/>
    </xf>
    <xf numFmtId="165" fontId="1" fillId="0" borderId="0" xfId="0" applyNumberFormat="1" applyFont="1" applyBorder="1" applyAlignment="1">
      <alignment vertical="top"/>
    </xf>
    <xf numFmtId="165" fontId="1" fillId="0" borderId="22" xfId="0" applyNumberFormat="1" applyFont="1" applyBorder="1" applyAlignment="1">
      <alignment horizontal="center" vertical="top"/>
    </xf>
    <xf numFmtId="165" fontId="1" fillId="0" borderId="5"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1" fillId="7" borderId="5" xfId="0" applyNumberFormat="1" applyFont="1" applyFill="1" applyBorder="1" applyAlignment="1">
      <alignment horizontal="center" vertical="top"/>
    </xf>
    <xf numFmtId="165" fontId="2" fillId="9" borderId="62" xfId="0" applyNumberFormat="1" applyFont="1" applyFill="1" applyBorder="1" applyAlignment="1">
      <alignment horizontal="center" vertical="top"/>
    </xf>
    <xf numFmtId="165" fontId="1" fillId="3" borderId="22" xfId="0" applyNumberFormat="1" applyFont="1" applyFill="1" applyBorder="1" applyAlignment="1">
      <alignment horizontal="center" vertical="top"/>
    </xf>
    <xf numFmtId="165" fontId="1" fillId="7" borderId="85" xfId="0" applyNumberFormat="1" applyFont="1" applyFill="1" applyBorder="1" applyAlignment="1">
      <alignment horizontal="center" vertical="top"/>
    </xf>
    <xf numFmtId="165" fontId="2" fillId="9" borderId="48" xfId="0" applyNumberFormat="1" applyFont="1" applyFill="1" applyBorder="1" applyAlignment="1">
      <alignment horizontal="center" vertical="top"/>
    </xf>
    <xf numFmtId="165" fontId="2" fillId="2" borderId="3" xfId="0" applyNumberFormat="1" applyFont="1" applyFill="1" applyBorder="1" applyAlignment="1">
      <alignment horizontal="center" vertical="top"/>
    </xf>
    <xf numFmtId="165" fontId="1" fillId="7" borderId="58" xfId="0" applyNumberFormat="1" applyFont="1" applyFill="1" applyBorder="1" applyAlignment="1">
      <alignment horizontal="center" vertical="top"/>
    </xf>
    <xf numFmtId="165" fontId="1" fillId="7" borderId="32" xfId="0" applyNumberFormat="1" applyFont="1" applyFill="1" applyBorder="1" applyAlignment="1">
      <alignment horizontal="center" vertical="top"/>
    </xf>
    <xf numFmtId="165" fontId="1" fillId="7" borderId="55" xfId="0" applyNumberFormat="1" applyFont="1" applyFill="1" applyBorder="1" applyAlignment="1">
      <alignment horizontal="center" vertical="top"/>
    </xf>
    <xf numFmtId="165" fontId="1" fillId="7" borderId="45" xfId="0" applyNumberFormat="1" applyFont="1" applyFill="1" applyBorder="1" applyAlignment="1">
      <alignment horizontal="center" vertical="top"/>
    </xf>
    <xf numFmtId="165" fontId="2" fillId="9" borderId="49" xfId="0" applyNumberFormat="1" applyFont="1" applyFill="1" applyBorder="1" applyAlignment="1">
      <alignment horizontal="center" vertical="top"/>
    </xf>
    <xf numFmtId="165" fontId="1" fillId="7" borderId="9" xfId="0" applyNumberFormat="1" applyFont="1" applyFill="1" applyBorder="1" applyAlignment="1">
      <alignment horizontal="center" vertical="top"/>
    </xf>
    <xf numFmtId="165" fontId="1" fillId="7" borderId="0" xfId="0" applyNumberFormat="1" applyFont="1" applyFill="1" applyBorder="1" applyAlignment="1">
      <alignment horizontal="center" vertical="top"/>
    </xf>
    <xf numFmtId="165" fontId="2" fillId="5" borderId="48"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13" xfId="0" applyNumberFormat="1" applyFont="1" applyFill="1" applyBorder="1" applyAlignment="1">
      <alignment vertical="top" wrapText="1"/>
    </xf>
    <xf numFmtId="165" fontId="1" fillId="7" borderId="55" xfId="0" applyNumberFormat="1" applyFont="1" applyFill="1" applyBorder="1" applyAlignment="1">
      <alignment horizontal="center" vertical="top" wrapText="1"/>
    </xf>
    <xf numFmtId="165" fontId="1" fillId="7" borderId="34" xfId="0" applyNumberFormat="1" applyFont="1" applyFill="1" applyBorder="1" applyAlignment="1">
      <alignment horizontal="center" vertical="top"/>
    </xf>
    <xf numFmtId="165" fontId="1" fillId="7" borderId="27" xfId="0" applyNumberFormat="1" applyFont="1" applyFill="1" applyBorder="1" applyAlignment="1">
      <alignment horizontal="center" vertical="top"/>
    </xf>
    <xf numFmtId="165" fontId="1" fillId="7" borderId="11" xfId="0" applyNumberFormat="1" applyFont="1" applyFill="1" applyBorder="1" applyAlignment="1">
      <alignment horizontal="center" vertical="top"/>
    </xf>
    <xf numFmtId="165" fontId="1" fillId="7" borderId="81" xfId="0" applyNumberFormat="1" applyFont="1" applyFill="1" applyBorder="1" applyAlignment="1">
      <alignment horizontal="center" vertical="top"/>
    </xf>
    <xf numFmtId="165" fontId="2" fillId="8" borderId="56" xfId="0" applyNumberFormat="1" applyFont="1" applyFill="1" applyBorder="1" applyAlignment="1">
      <alignment horizontal="center" vertical="top"/>
    </xf>
    <xf numFmtId="165" fontId="1" fillId="7" borderId="82" xfId="0" applyNumberFormat="1" applyFont="1" applyFill="1" applyBorder="1" applyAlignment="1">
      <alignment horizontal="center" vertical="top"/>
    </xf>
    <xf numFmtId="165" fontId="1" fillId="7" borderId="65" xfId="0" applyNumberFormat="1" applyFont="1" applyFill="1" applyBorder="1" applyAlignment="1">
      <alignment horizontal="center" vertical="top"/>
    </xf>
    <xf numFmtId="165" fontId="1" fillId="7" borderId="47" xfId="0" applyNumberFormat="1" applyFont="1" applyFill="1" applyBorder="1" applyAlignment="1">
      <alignment horizontal="center" vertical="top"/>
    </xf>
    <xf numFmtId="165" fontId="2" fillId="8" borderId="30" xfId="0" applyNumberFormat="1" applyFont="1" applyFill="1" applyBorder="1" applyAlignment="1">
      <alignment horizontal="center" vertical="top"/>
    </xf>
    <xf numFmtId="49" fontId="1" fillId="7" borderId="70" xfId="0" applyNumberFormat="1" applyFont="1" applyFill="1" applyBorder="1" applyAlignment="1">
      <alignment horizontal="center" vertical="top"/>
    </xf>
    <xf numFmtId="49" fontId="1" fillId="7" borderId="44" xfId="0" applyNumberFormat="1" applyFont="1" applyFill="1" applyBorder="1" applyAlignment="1">
      <alignment horizontal="center" vertical="top"/>
    </xf>
    <xf numFmtId="165" fontId="2" fillId="2" borderId="8" xfId="0" applyNumberFormat="1" applyFont="1" applyFill="1" applyBorder="1" applyAlignment="1">
      <alignment horizontal="center" vertical="top"/>
    </xf>
    <xf numFmtId="165" fontId="2" fillId="7" borderId="38" xfId="0" applyNumberFormat="1" applyFont="1" applyFill="1" applyBorder="1" applyAlignment="1">
      <alignment vertical="top" wrapText="1"/>
    </xf>
    <xf numFmtId="165" fontId="1" fillId="0" borderId="14" xfId="0" applyNumberFormat="1" applyFont="1" applyBorder="1" applyAlignment="1">
      <alignment horizontal="center" vertical="top" wrapText="1"/>
    </xf>
    <xf numFmtId="165" fontId="1" fillId="7" borderId="70" xfId="0" applyNumberFormat="1" applyFont="1" applyFill="1" applyBorder="1" applyAlignment="1">
      <alignment vertical="top" wrapText="1"/>
    </xf>
    <xf numFmtId="49" fontId="2" fillId="9" borderId="15" xfId="0" applyNumberFormat="1" applyFont="1" applyFill="1" applyBorder="1" applyAlignment="1">
      <alignment horizontal="center" vertical="top"/>
    </xf>
    <xf numFmtId="0" fontId="1" fillId="0" borderId="30" xfId="0" applyFont="1" applyBorder="1" applyAlignment="1">
      <alignment horizontal="center" vertical="top"/>
    </xf>
    <xf numFmtId="165" fontId="2" fillId="2" borderId="50" xfId="0" applyNumberFormat="1" applyFont="1" applyFill="1" applyBorder="1" applyAlignment="1">
      <alignment horizontal="center" vertical="top"/>
    </xf>
    <xf numFmtId="165" fontId="2" fillId="2" borderId="38" xfId="0" applyNumberFormat="1" applyFont="1" applyFill="1" applyBorder="1" applyAlignment="1">
      <alignment horizontal="center" vertical="top"/>
    </xf>
    <xf numFmtId="165" fontId="2" fillId="2" borderId="64" xfId="0" applyNumberFormat="1" applyFont="1" applyFill="1" applyBorder="1" applyAlignment="1">
      <alignment horizontal="center" vertical="top"/>
    </xf>
    <xf numFmtId="165" fontId="1" fillId="8" borderId="22" xfId="0" applyNumberFormat="1" applyFont="1" applyFill="1" applyBorder="1" applyAlignment="1">
      <alignment horizontal="center" vertical="top"/>
    </xf>
    <xf numFmtId="165" fontId="2" fillId="5" borderId="22" xfId="0" applyNumberFormat="1" applyFont="1" applyFill="1" applyBorder="1" applyAlignment="1">
      <alignment horizontal="center" vertical="top"/>
    </xf>
    <xf numFmtId="165" fontId="2" fillId="4" borderId="56" xfId="0" applyNumberFormat="1" applyFont="1" applyFill="1" applyBorder="1" applyAlignment="1">
      <alignment horizontal="center" vertical="top"/>
    </xf>
    <xf numFmtId="165" fontId="1" fillId="7" borderId="79" xfId="0" applyNumberFormat="1" applyFont="1" applyFill="1" applyBorder="1" applyAlignment="1">
      <alignment horizontal="left" vertical="top" wrapText="1"/>
    </xf>
    <xf numFmtId="165" fontId="6" fillId="7" borderId="25" xfId="0" applyNumberFormat="1" applyFont="1" applyFill="1" applyBorder="1" applyAlignment="1">
      <alignment horizontal="center" vertical="center" wrapText="1"/>
    </xf>
    <xf numFmtId="165" fontId="6" fillId="7" borderId="17" xfId="0" applyNumberFormat="1" applyFont="1" applyFill="1" applyBorder="1" applyAlignment="1">
      <alignment horizontal="center" wrapText="1"/>
    </xf>
    <xf numFmtId="0" fontId="1" fillId="7" borderId="45" xfId="0" applyFont="1" applyFill="1" applyBorder="1" applyAlignment="1">
      <alignment horizontal="center" vertical="top"/>
    </xf>
    <xf numFmtId="165" fontId="1" fillId="7" borderId="72" xfId="0" applyNumberFormat="1" applyFont="1" applyFill="1" applyBorder="1" applyAlignment="1">
      <alignment horizontal="center" vertical="top"/>
    </xf>
    <xf numFmtId="49" fontId="2" fillId="9" borderId="32" xfId="0" applyNumberFormat="1" applyFont="1" applyFill="1" applyBorder="1" applyAlignment="1">
      <alignment horizontal="center" vertical="top"/>
    </xf>
    <xf numFmtId="165" fontId="1" fillId="7" borderId="32" xfId="0" applyNumberFormat="1" applyFont="1" applyFill="1" applyBorder="1" applyAlignment="1">
      <alignment horizontal="center" vertical="top" wrapText="1"/>
    </xf>
    <xf numFmtId="165" fontId="2" fillId="8" borderId="50" xfId="0" applyNumberFormat="1" applyFont="1" applyFill="1" applyBorder="1" applyAlignment="1">
      <alignment horizontal="center" vertical="top"/>
    </xf>
    <xf numFmtId="165" fontId="6" fillId="8" borderId="51" xfId="0" applyNumberFormat="1" applyFont="1" applyFill="1" applyBorder="1" applyAlignment="1">
      <alignment vertical="top" wrapText="1"/>
    </xf>
    <xf numFmtId="165" fontId="2" fillId="8" borderId="23" xfId="0" applyNumberFormat="1" applyFont="1" applyFill="1" applyBorder="1" applyAlignment="1">
      <alignment horizontal="center" vertical="top"/>
    </xf>
    <xf numFmtId="3" fontId="5" fillId="8" borderId="53" xfId="0" applyNumberFormat="1" applyFont="1" applyFill="1" applyBorder="1" applyAlignment="1">
      <alignment horizontal="center" vertical="top" wrapText="1"/>
    </xf>
    <xf numFmtId="165" fontId="2" fillId="8" borderId="10" xfId="0" applyNumberFormat="1" applyFont="1" applyFill="1" applyBorder="1" applyAlignment="1">
      <alignment vertical="top"/>
    </xf>
    <xf numFmtId="165" fontId="2" fillId="8" borderId="44" xfId="0" applyNumberFormat="1" applyFont="1" applyFill="1" applyBorder="1" applyAlignment="1">
      <alignment vertical="top"/>
    </xf>
    <xf numFmtId="49" fontId="2" fillId="8" borderId="30" xfId="0" applyNumberFormat="1" applyFont="1" applyFill="1" applyBorder="1" applyAlignment="1">
      <alignment horizontal="center" vertical="top"/>
    </xf>
    <xf numFmtId="165" fontId="6" fillId="8" borderId="62" xfId="0" applyNumberFormat="1" applyFont="1" applyFill="1" applyBorder="1" applyAlignment="1">
      <alignment vertical="top" wrapText="1"/>
    </xf>
    <xf numFmtId="165" fontId="2" fillId="8" borderId="44" xfId="0" applyNumberFormat="1" applyFont="1" applyFill="1" applyBorder="1" applyAlignment="1">
      <alignment horizontal="center" vertical="top"/>
    </xf>
    <xf numFmtId="165" fontId="1" fillId="7" borderId="14" xfId="0" applyNumberFormat="1" applyFont="1" applyFill="1" applyBorder="1" applyAlignment="1">
      <alignment horizontal="center" vertical="top" wrapText="1"/>
    </xf>
    <xf numFmtId="165" fontId="1" fillId="7" borderId="70" xfId="0" applyNumberFormat="1" applyFont="1" applyFill="1" applyBorder="1" applyAlignment="1">
      <alignment horizontal="left" vertical="top" wrapText="1"/>
    </xf>
    <xf numFmtId="165" fontId="2" fillId="7" borderId="22" xfId="0" applyNumberFormat="1" applyFont="1" applyFill="1" applyBorder="1" applyAlignment="1">
      <alignment horizontal="center" vertical="top"/>
    </xf>
    <xf numFmtId="165" fontId="2" fillId="7" borderId="37" xfId="0" applyNumberFormat="1" applyFont="1" applyFill="1" applyBorder="1" applyAlignment="1">
      <alignment horizontal="center" vertical="top"/>
    </xf>
    <xf numFmtId="49" fontId="2" fillId="8" borderId="23" xfId="0" applyNumberFormat="1" applyFont="1" applyFill="1" applyBorder="1" applyAlignment="1">
      <alignment horizontal="center" vertical="top"/>
    </xf>
    <xf numFmtId="0" fontId="1" fillId="0" borderId="0" xfId="0" applyFont="1" applyFill="1" applyAlignment="1">
      <alignment horizontal="center" vertical="top"/>
    </xf>
    <xf numFmtId="3" fontId="1" fillId="0" borderId="0" xfId="0" applyNumberFormat="1" applyFont="1" applyFill="1" applyAlignment="1">
      <alignment vertical="top"/>
    </xf>
    <xf numFmtId="165" fontId="1" fillId="0" borderId="63" xfId="0" applyNumberFormat="1" applyFont="1" applyBorder="1" applyAlignment="1">
      <alignment vertical="top"/>
    </xf>
    <xf numFmtId="165" fontId="1" fillId="7" borderId="89" xfId="0" applyNumberFormat="1" applyFont="1" applyFill="1" applyBorder="1" applyAlignment="1">
      <alignment horizontal="center" vertical="top"/>
    </xf>
    <xf numFmtId="165" fontId="1" fillId="7" borderId="22" xfId="0" applyNumberFormat="1" applyFont="1" applyFill="1" applyBorder="1" applyAlignment="1">
      <alignment horizontal="center" vertical="center"/>
    </xf>
    <xf numFmtId="165" fontId="3" fillId="7" borderId="26" xfId="0" applyNumberFormat="1" applyFont="1" applyFill="1" applyBorder="1" applyAlignment="1">
      <alignment horizontal="center" vertical="top" wrapText="1"/>
    </xf>
    <xf numFmtId="165" fontId="1" fillId="7" borderId="0" xfId="0" applyNumberFormat="1" applyFont="1" applyFill="1" applyBorder="1" applyAlignment="1">
      <alignment vertical="top" wrapText="1"/>
    </xf>
    <xf numFmtId="49" fontId="1" fillId="7" borderId="17" xfId="0" applyNumberFormat="1" applyFont="1" applyFill="1" applyBorder="1" applyAlignment="1">
      <alignment horizontal="center" vertical="center" wrapText="1"/>
    </xf>
    <xf numFmtId="165" fontId="1" fillId="7" borderId="85" xfId="0" applyNumberFormat="1" applyFont="1" applyFill="1" applyBorder="1" applyAlignment="1">
      <alignment horizontal="center" vertical="top" wrapText="1"/>
    </xf>
    <xf numFmtId="165" fontId="1" fillId="7" borderId="86" xfId="0" applyNumberFormat="1" applyFont="1" applyFill="1" applyBorder="1" applyAlignment="1">
      <alignment horizontal="center" vertical="top"/>
    </xf>
    <xf numFmtId="0" fontId="1" fillId="7" borderId="70" xfId="0" applyFont="1" applyFill="1" applyBorder="1" applyAlignment="1">
      <alignment horizontal="left" vertical="top" wrapText="1"/>
    </xf>
    <xf numFmtId="165" fontId="2" fillId="7" borderId="52" xfId="0" applyNumberFormat="1" applyFont="1" applyFill="1" applyBorder="1" applyAlignment="1">
      <alignment horizontal="center" vertical="top" wrapText="1"/>
    </xf>
    <xf numFmtId="165" fontId="2" fillId="8" borderId="21" xfId="0" applyNumberFormat="1" applyFont="1" applyFill="1" applyBorder="1" applyAlignment="1">
      <alignment horizontal="center" vertical="top" wrapText="1"/>
    </xf>
    <xf numFmtId="165" fontId="2" fillId="5" borderId="9" xfId="0" applyNumberFormat="1" applyFont="1" applyFill="1" applyBorder="1" applyAlignment="1">
      <alignment horizontal="center" vertical="top" wrapText="1"/>
    </xf>
    <xf numFmtId="165" fontId="1" fillId="7" borderId="7" xfId="0" applyNumberFormat="1" applyFont="1" applyFill="1" applyBorder="1" applyAlignment="1">
      <alignment horizontal="center" vertical="top" wrapText="1"/>
    </xf>
    <xf numFmtId="165" fontId="1" fillId="7" borderId="22" xfId="0" applyNumberFormat="1" applyFont="1" applyFill="1" applyBorder="1" applyAlignment="1">
      <alignment horizontal="center" vertical="top" wrapText="1"/>
    </xf>
    <xf numFmtId="0" fontId="1" fillId="7" borderId="7" xfId="0" applyFont="1" applyFill="1" applyBorder="1" applyAlignment="1">
      <alignment horizontal="center" vertical="top"/>
    </xf>
    <xf numFmtId="0" fontId="1" fillId="7" borderId="22" xfId="0" applyFont="1" applyFill="1" applyBorder="1" applyAlignment="1">
      <alignment horizontal="center" vertical="top"/>
    </xf>
    <xf numFmtId="0" fontId="1" fillId="7" borderId="70" xfId="0" applyFont="1" applyFill="1" applyBorder="1" applyAlignment="1">
      <alignment vertical="top" wrapText="1"/>
    </xf>
    <xf numFmtId="49" fontId="2" fillId="8" borderId="51" xfId="0" applyNumberFormat="1" applyFont="1" applyFill="1" applyBorder="1" applyAlignment="1">
      <alignment horizontal="center" vertical="top"/>
    </xf>
    <xf numFmtId="165" fontId="1" fillId="7" borderId="74" xfId="0" applyNumberFormat="1" applyFont="1" applyFill="1" applyBorder="1" applyAlignment="1">
      <alignment vertical="top" wrapText="1"/>
    </xf>
    <xf numFmtId="165" fontId="1" fillId="8" borderId="31" xfId="0" applyNumberFormat="1" applyFont="1" applyFill="1" applyBorder="1" applyAlignment="1">
      <alignment horizontal="center" vertical="top"/>
    </xf>
    <xf numFmtId="165" fontId="2" fillId="9" borderId="8"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6" fillId="7" borderId="17" xfId="0" applyNumberFormat="1" applyFont="1" applyFill="1" applyBorder="1" applyAlignment="1">
      <alignment vertical="top" wrapText="1"/>
    </xf>
    <xf numFmtId="49" fontId="2" fillId="8" borderId="44" xfId="0" applyNumberFormat="1" applyFont="1" applyFill="1" applyBorder="1" applyAlignment="1">
      <alignment horizontal="center" vertical="top"/>
    </xf>
    <xf numFmtId="165" fontId="1" fillId="7" borderId="80" xfId="0" applyNumberFormat="1" applyFont="1" applyFill="1" applyBorder="1" applyAlignment="1">
      <alignment horizontal="center" vertical="top" wrapText="1"/>
    </xf>
    <xf numFmtId="0" fontId="1" fillId="7" borderId="17" xfId="0" applyFont="1" applyFill="1" applyBorder="1" applyAlignment="1">
      <alignment horizontal="center" vertical="top"/>
    </xf>
    <xf numFmtId="0" fontId="3" fillId="7" borderId="19" xfId="0" applyFont="1" applyFill="1" applyBorder="1" applyAlignment="1">
      <alignment horizontal="center" vertical="top" wrapText="1"/>
    </xf>
    <xf numFmtId="165" fontId="1" fillId="8" borderId="16" xfId="0" applyNumberFormat="1" applyFont="1" applyFill="1" applyBorder="1" applyAlignment="1">
      <alignment horizontal="center" vertical="top" wrapText="1"/>
    </xf>
    <xf numFmtId="165" fontId="1" fillId="8" borderId="21" xfId="0" applyNumberFormat="1" applyFont="1" applyFill="1" applyBorder="1" applyAlignment="1">
      <alignment horizontal="center" vertical="top"/>
    </xf>
    <xf numFmtId="49" fontId="2" fillId="0" borderId="30" xfId="0" applyNumberFormat="1" applyFont="1" applyBorder="1" applyAlignment="1">
      <alignment horizontal="center" vertical="top"/>
    </xf>
    <xf numFmtId="49" fontId="2" fillId="7" borderId="12" xfId="0" applyNumberFormat="1" applyFont="1" applyFill="1" applyBorder="1" applyAlignment="1">
      <alignment horizontal="center" vertical="top"/>
    </xf>
    <xf numFmtId="49" fontId="2" fillId="0" borderId="0" xfId="0" applyNumberFormat="1" applyFont="1" applyAlignment="1">
      <alignment horizontal="center" vertical="top"/>
    </xf>
    <xf numFmtId="165" fontId="1" fillId="8" borderId="10" xfId="0" applyNumberFormat="1" applyFont="1" applyFill="1" applyBorder="1" applyAlignment="1">
      <alignment vertical="center" textRotation="90" wrapText="1"/>
    </xf>
    <xf numFmtId="165" fontId="2" fillId="7" borderId="17" xfId="0" applyNumberFormat="1" applyFont="1" applyFill="1" applyBorder="1" applyAlignment="1">
      <alignment horizontal="center" vertical="top"/>
    </xf>
    <xf numFmtId="165" fontId="2" fillId="7" borderId="44" xfId="0" applyNumberFormat="1" applyFont="1" applyFill="1" applyBorder="1" applyAlignment="1">
      <alignment horizontal="center" vertical="center" wrapText="1"/>
    </xf>
    <xf numFmtId="165" fontId="2" fillId="7" borderId="84" xfId="0" applyNumberFormat="1" applyFont="1" applyFill="1" applyBorder="1" applyAlignment="1">
      <alignment horizontal="center" vertical="top" wrapText="1"/>
    </xf>
    <xf numFmtId="165" fontId="1" fillId="7" borderId="21" xfId="0" applyNumberFormat="1" applyFont="1" applyFill="1" applyBorder="1" applyAlignment="1">
      <alignment horizontal="center" vertical="top"/>
    </xf>
    <xf numFmtId="49" fontId="2" fillId="2" borderId="23" xfId="0" applyNumberFormat="1" applyFont="1" applyFill="1" applyBorder="1" applyAlignment="1">
      <alignment horizontal="center" vertical="top"/>
    </xf>
    <xf numFmtId="165" fontId="2" fillId="9" borderId="4" xfId="0" applyNumberFormat="1" applyFont="1" applyFill="1" applyBorder="1" applyAlignment="1">
      <alignment horizontal="center" vertical="top"/>
    </xf>
    <xf numFmtId="0" fontId="6" fillId="7" borderId="33" xfId="0" applyFont="1" applyFill="1" applyBorder="1" applyAlignment="1">
      <alignment vertical="top" wrapText="1"/>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2" fillId="7" borderId="10" xfId="0" applyNumberFormat="1" applyFont="1" applyFill="1" applyBorder="1" applyAlignment="1">
      <alignment horizontal="center" vertical="top"/>
    </xf>
    <xf numFmtId="49" fontId="2" fillId="7" borderId="23" xfId="0" applyNumberFormat="1" applyFont="1" applyFill="1" applyBorder="1" applyAlignment="1">
      <alignment horizontal="center" vertical="top"/>
    </xf>
    <xf numFmtId="49" fontId="2" fillId="2" borderId="44" xfId="0" applyNumberFormat="1" applyFont="1" applyFill="1" applyBorder="1" applyAlignment="1">
      <alignment horizontal="center" vertical="top"/>
    </xf>
    <xf numFmtId="49" fontId="2" fillId="9" borderId="4" xfId="0" applyNumberFormat="1" applyFont="1" applyFill="1" applyBorder="1" applyAlignment="1">
      <alignment horizontal="center" vertical="top"/>
    </xf>
    <xf numFmtId="49" fontId="2" fillId="7" borderId="44" xfId="0" applyNumberFormat="1" applyFont="1" applyFill="1" applyBorder="1" applyAlignment="1">
      <alignment horizontal="center" vertical="top"/>
    </xf>
    <xf numFmtId="165" fontId="6" fillId="7" borderId="17" xfId="0" applyNumberFormat="1" applyFont="1" applyFill="1" applyBorder="1" applyAlignment="1">
      <alignment horizontal="center" vertical="center" wrapText="1"/>
    </xf>
    <xf numFmtId="165" fontId="1" fillId="0" borderId="17" xfId="0" applyNumberFormat="1" applyFont="1" applyBorder="1" applyAlignment="1">
      <alignment horizontal="center" vertical="top" wrapText="1"/>
    </xf>
    <xf numFmtId="0" fontId="1" fillId="0" borderId="0" xfId="0" applyNumberFormat="1" applyFont="1" applyAlignment="1">
      <alignment vertical="top"/>
    </xf>
    <xf numFmtId="3" fontId="1" fillId="3" borderId="36" xfId="0" applyNumberFormat="1" applyFont="1" applyFill="1" applyBorder="1" applyAlignment="1">
      <alignment horizontal="center" vertical="top" wrapText="1"/>
    </xf>
    <xf numFmtId="3" fontId="1" fillId="3" borderId="40" xfId="0" applyNumberFormat="1" applyFont="1" applyFill="1" applyBorder="1" applyAlignment="1">
      <alignment horizontal="center" vertical="top" wrapText="1"/>
    </xf>
    <xf numFmtId="3" fontId="1" fillId="7" borderId="47" xfId="0" applyNumberFormat="1" applyFont="1" applyFill="1" applyBorder="1" applyAlignment="1">
      <alignment horizontal="center" vertical="top" wrapText="1"/>
    </xf>
    <xf numFmtId="49" fontId="1" fillId="7" borderId="93" xfId="0" applyNumberFormat="1" applyFont="1" applyFill="1" applyBorder="1" applyAlignment="1">
      <alignment horizontal="center" vertical="top"/>
    </xf>
    <xf numFmtId="3" fontId="1" fillId="7" borderId="36"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wrapText="1"/>
    </xf>
    <xf numFmtId="3" fontId="1" fillId="7" borderId="90" xfId="0" applyNumberFormat="1" applyFont="1" applyFill="1" applyBorder="1" applyAlignment="1">
      <alignment horizontal="center" vertical="top" wrapText="1"/>
    </xf>
    <xf numFmtId="3" fontId="1" fillId="7" borderId="36"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91" xfId="0" applyNumberFormat="1" applyFont="1" applyFill="1" applyBorder="1" applyAlignment="1">
      <alignment horizontal="center" vertical="top"/>
    </xf>
    <xf numFmtId="3" fontId="1" fillId="7" borderId="93" xfId="0" applyNumberFormat="1" applyFont="1" applyFill="1" applyBorder="1" applyAlignment="1">
      <alignment horizontal="center" vertical="top"/>
    </xf>
    <xf numFmtId="3" fontId="1" fillId="7" borderId="47" xfId="1" applyNumberFormat="1" applyFont="1" applyFill="1" applyBorder="1" applyAlignment="1">
      <alignment horizontal="center" vertical="top" wrapText="1"/>
    </xf>
    <xf numFmtId="165" fontId="1" fillId="8" borderId="39" xfId="0" applyNumberFormat="1" applyFont="1" applyFill="1" applyBorder="1" applyAlignment="1">
      <alignment horizontal="center" vertical="top"/>
    </xf>
    <xf numFmtId="49" fontId="1" fillId="7" borderId="36" xfId="0" applyNumberFormat="1" applyFont="1" applyFill="1" applyBorder="1" applyAlignment="1">
      <alignment horizontal="center" vertical="top"/>
    </xf>
    <xf numFmtId="49" fontId="1" fillId="7" borderId="47" xfId="0" applyNumberFormat="1" applyFont="1" applyFill="1" applyBorder="1" applyAlignment="1">
      <alignment horizontal="center" vertical="top"/>
    </xf>
    <xf numFmtId="165" fontId="1" fillId="2" borderId="31" xfId="0" applyNumberFormat="1" applyFont="1" applyFill="1" applyBorder="1" applyAlignment="1">
      <alignment horizontal="center" vertical="top" wrapText="1"/>
    </xf>
    <xf numFmtId="165" fontId="1" fillId="0" borderId="59" xfId="0" applyNumberFormat="1" applyFont="1" applyBorder="1" applyAlignment="1">
      <alignment vertical="top"/>
    </xf>
    <xf numFmtId="165" fontId="1" fillId="7" borderId="91" xfId="0" applyNumberFormat="1" applyFont="1" applyFill="1" applyBorder="1" applyAlignment="1">
      <alignment vertical="top"/>
    </xf>
    <xf numFmtId="0" fontId="1" fillId="7" borderId="97"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3" fontId="5" fillId="7" borderId="47" xfId="0" applyNumberFormat="1" applyFont="1" applyFill="1" applyBorder="1" applyAlignment="1">
      <alignment horizontal="center" vertical="top" wrapText="1"/>
    </xf>
    <xf numFmtId="165" fontId="1" fillId="7" borderId="98" xfId="0" applyNumberFormat="1" applyFont="1" applyFill="1" applyBorder="1" applyAlignment="1">
      <alignment horizontal="center" vertical="top"/>
    </xf>
    <xf numFmtId="0" fontId="6" fillId="7" borderId="10" xfId="0" applyFont="1" applyFill="1" applyBorder="1" applyAlignment="1">
      <alignment horizontal="left" vertical="top" wrapText="1"/>
    </xf>
    <xf numFmtId="165" fontId="2" fillId="7" borderId="70" xfId="0" applyNumberFormat="1" applyFont="1" applyFill="1" applyBorder="1" applyAlignment="1">
      <alignment horizontal="center" vertical="top" wrapText="1"/>
    </xf>
    <xf numFmtId="0" fontId="6" fillId="7" borderId="25" xfId="0" applyFont="1" applyFill="1" applyBorder="1" applyAlignment="1">
      <alignment horizontal="center" vertical="top" wrapText="1"/>
    </xf>
    <xf numFmtId="165" fontId="2" fillId="7" borderId="1" xfId="0" applyNumberFormat="1" applyFont="1" applyFill="1" applyBorder="1" applyAlignment="1">
      <alignment horizontal="center" vertical="top" wrapText="1"/>
    </xf>
    <xf numFmtId="165" fontId="1" fillId="7" borderId="55" xfId="1" applyNumberFormat="1" applyFont="1" applyFill="1" applyBorder="1" applyAlignment="1">
      <alignment horizontal="center" vertical="top" wrapText="1"/>
    </xf>
    <xf numFmtId="0" fontId="1" fillId="7" borderId="82" xfId="0" applyFont="1" applyFill="1" applyBorder="1" applyAlignment="1">
      <alignment horizontal="center" vertical="top"/>
    </xf>
    <xf numFmtId="165" fontId="1" fillId="7" borderId="45" xfId="0" applyNumberFormat="1" applyFont="1" applyFill="1" applyBorder="1" applyAlignment="1">
      <alignment horizontal="center" vertical="top" wrapText="1"/>
    </xf>
    <xf numFmtId="165" fontId="7" fillId="7" borderId="18"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xf>
    <xf numFmtId="0" fontId="6" fillId="7" borderId="17" xfId="0" applyFont="1" applyFill="1" applyBorder="1" applyAlignment="1">
      <alignment vertical="top" wrapText="1"/>
    </xf>
    <xf numFmtId="165" fontId="15" fillId="7" borderId="10" xfId="0" applyNumberFormat="1" applyFont="1" applyFill="1" applyBorder="1" applyAlignment="1">
      <alignment horizontal="center" vertical="center" wrapText="1"/>
    </xf>
    <xf numFmtId="165" fontId="15" fillId="7" borderId="26" xfId="0" applyNumberFormat="1" applyFont="1" applyFill="1" applyBorder="1" applyAlignment="1">
      <alignment horizontal="center" vertical="center" wrapText="1"/>
    </xf>
    <xf numFmtId="165" fontId="2" fillId="7" borderId="65" xfId="0" applyNumberFormat="1" applyFont="1" applyFill="1" applyBorder="1" applyAlignment="1">
      <alignment horizontal="center" vertical="top" wrapText="1"/>
    </xf>
    <xf numFmtId="165" fontId="1" fillId="8" borderId="1" xfId="0" applyNumberFormat="1" applyFont="1" applyFill="1" applyBorder="1" applyAlignment="1">
      <alignment vertical="top" wrapText="1"/>
    </xf>
    <xf numFmtId="165" fontId="1" fillId="7" borderId="76" xfId="0" applyNumberFormat="1" applyFont="1" applyFill="1" applyBorder="1" applyAlignment="1">
      <alignment vertical="top" wrapText="1"/>
    </xf>
    <xf numFmtId="165" fontId="1" fillId="3" borderId="45" xfId="0" applyNumberFormat="1" applyFont="1" applyFill="1" applyBorder="1" applyAlignment="1">
      <alignment horizontal="center" vertical="top"/>
    </xf>
    <xf numFmtId="165" fontId="1" fillId="3" borderId="32" xfId="0" applyNumberFormat="1" applyFont="1" applyFill="1" applyBorder="1" applyAlignment="1">
      <alignment horizontal="center" vertical="top"/>
    </xf>
    <xf numFmtId="165" fontId="1" fillId="3" borderId="55" xfId="0" applyNumberFormat="1" applyFont="1" applyFill="1" applyBorder="1" applyAlignment="1">
      <alignment horizontal="center" vertical="top"/>
    </xf>
    <xf numFmtId="0" fontId="2" fillId="0" borderId="0" xfId="0" applyFont="1" applyAlignment="1">
      <alignment vertical="center"/>
    </xf>
    <xf numFmtId="0" fontId="2" fillId="0" borderId="30" xfId="0" applyFont="1" applyBorder="1" applyAlignment="1">
      <alignment horizontal="center" vertical="center"/>
    </xf>
    <xf numFmtId="165" fontId="13" fillId="7" borderId="10" xfId="0" applyNumberFormat="1" applyFont="1" applyFill="1" applyBorder="1" applyAlignment="1">
      <alignment horizontal="center" vertical="center" textRotation="90" wrapText="1"/>
    </xf>
    <xf numFmtId="165" fontId="13" fillId="7" borderId="26" xfId="0" applyNumberFormat="1" applyFont="1" applyFill="1" applyBorder="1" applyAlignment="1">
      <alignment horizontal="center" vertical="center" textRotation="90" wrapText="1"/>
    </xf>
    <xf numFmtId="165" fontId="13" fillId="7" borderId="43" xfId="0" applyNumberFormat="1" applyFont="1" applyFill="1" applyBorder="1" applyAlignment="1">
      <alignment horizontal="center" vertical="center" textRotation="90" wrapText="1"/>
    </xf>
    <xf numFmtId="165" fontId="11" fillId="7" borderId="41" xfId="0" applyNumberFormat="1" applyFont="1" applyFill="1" applyBorder="1" applyAlignment="1">
      <alignment horizontal="center" vertical="center" textRotation="90" wrapText="1"/>
    </xf>
    <xf numFmtId="165" fontId="11" fillId="7" borderId="18" xfId="0" applyNumberFormat="1" applyFont="1" applyFill="1" applyBorder="1" applyAlignment="1">
      <alignment horizontal="center" vertical="center" textRotation="90" wrapText="1"/>
    </xf>
    <xf numFmtId="0" fontId="13" fillId="8" borderId="30" xfId="0" applyFont="1" applyFill="1" applyBorder="1" applyAlignment="1">
      <alignment horizontal="center" textRotation="90" wrapText="1"/>
    </xf>
    <xf numFmtId="0" fontId="2" fillId="0" borderId="0" xfId="0" applyFont="1" applyAlignment="1">
      <alignment horizontal="center" vertical="center"/>
    </xf>
    <xf numFmtId="165" fontId="1" fillId="7" borderId="25" xfId="0" applyNumberFormat="1" applyFont="1" applyFill="1" applyBorder="1" applyAlignment="1">
      <alignment wrapText="1"/>
    </xf>
    <xf numFmtId="49" fontId="1" fillId="7" borderId="101" xfId="0" applyNumberFormat="1" applyFont="1" applyFill="1" applyBorder="1" applyAlignment="1">
      <alignment horizontal="center" vertical="top"/>
    </xf>
    <xf numFmtId="165" fontId="6" fillId="7" borderId="25" xfId="0" applyNumberFormat="1" applyFont="1" applyFill="1" applyBorder="1" applyAlignment="1">
      <alignment vertical="top" wrapText="1"/>
    </xf>
    <xf numFmtId="165" fontId="1" fillId="7" borderId="17" xfId="0" applyNumberFormat="1" applyFont="1" applyFill="1" applyBorder="1" applyAlignment="1">
      <alignment vertical="top" wrapText="1"/>
    </xf>
    <xf numFmtId="165" fontId="1" fillId="7" borderId="25" xfId="0" applyNumberFormat="1" applyFont="1" applyFill="1" applyBorder="1" applyAlignment="1">
      <alignment vertical="top" wrapText="1"/>
    </xf>
    <xf numFmtId="49" fontId="1" fillId="0" borderId="10" xfId="0" applyNumberFormat="1" applyFont="1" applyFill="1" applyBorder="1" applyAlignment="1">
      <alignment horizontal="left" vertical="top" wrapText="1"/>
    </xf>
    <xf numFmtId="0" fontId="1" fillId="0" borderId="70" xfId="0" applyNumberFormat="1" applyFont="1" applyFill="1" applyBorder="1" applyAlignment="1">
      <alignment horizontal="left" vertical="top" wrapText="1"/>
    </xf>
    <xf numFmtId="49" fontId="1" fillId="7" borderId="19" xfId="0" applyNumberFormat="1" applyFont="1" applyFill="1" applyBorder="1" applyAlignment="1">
      <alignment horizontal="center" vertical="top"/>
    </xf>
    <xf numFmtId="165" fontId="6" fillId="7" borderId="17" xfId="0" applyNumberFormat="1" applyFont="1" applyFill="1" applyBorder="1" applyAlignment="1">
      <alignment horizontal="center" vertical="top" wrapText="1"/>
    </xf>
    <xf numFmtId="49" fontId="1" fillId="7" borderId="33" xfId="0" applyNumberFormat="1" applyFont="1" applyFill="1" applyBorder="1" applyAlignment="1">
      <alignment horizontal="center" vertical="top"/>
    </xf>
    <xf numFmtId="49" fontId="1" fillId="7" borderId="10" xfId="0" applyNumberFormat="1" applyFont="1" applyFill="1" applyBorder="1" applyAlignment="1">
      <alignment horizontal="center" vertical="top"/>
    </xf>
    <xf numFmtId="49" fontId="1" fillId="7" borderId="26" xfId="0" applyNumberFormat="1" applyFont="1" applyFill="1" applyBorder="1" applyAlignment="1">
      <alignment horizontal="center" vertical="top"/>
    </xf>
    <xf numFmtId="49" fontId="1" fillId="7" borderId="40" xfId="0" applyNumberFormat="1" applyFont="1" applyFill="1" applyBorder="1" applyAlignment="1">
      <alignment horizontal="center" vertical="top"/>
    </xf>
    <xf numFmtId="3" fontId="1" fillId="7" borderId="86" xfId="0" applyNumberFormat="1" applyFont="1" applyFill="1" applyBorder="1" applyAlignment="1">
      <alignment horizontal="center" vertical="top"/>
    </xf>
    <xf numFmtId="3" fontId="1" fillId="7" borderId="65" xfId="0" applyNumberFormat="1" applyFont="1" applyFill="1" applyBorder="1" applyAlignment="1">
      <alignment horizontal="center" vertical="top"/>
    </xf>
    <xf numFmtId="3" fontId="1" fillId="7" borderId="90" xfId="0" applyNumberFormat="1" applyFont="1" applyFill="1" applyBorder="1" applyAlignment="1">
      <alignment horizontal="center" vertical="top"/>
    </xf>
    <xf numFmtId="0" fontId="1" fillId="7" borderId="20" xfId="0"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3" fontId="1" fillId="7" borderId="74" xfId="0" applyNumberFormat="1" applyFont="1" applyFill="1" applyBorder="1" applyAlignment="1">
      <alignment horizontal="center" vertical="top"/>
    </xf>
    <xf numFmtId="3" fontId="1" fillId="7" borderId="1"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3" fontId="1" fillId="7" borderId="26" xfId="0" applyNumberFormat="1" applyFont="1" applyFill="1" applyBorder="1" applyAlignment="1">
      <alignment horizontal="center" vertical="top"/>
    </xf>
    <xf numFmtId="3" fontId="1" fillId="7" borderId="104"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2" fillId="7" borderId="44" xfId="0" applyNumberFormat="1" applyFont="1" applyFill="1" applyBorder="1" applyAlignment="1">
      <alignment vertical="center" textRotation="90" wrapText="1"/>
    </xf>
    <xf numFmtId="3" fontId="1" fillId="7" borderId="52" xfId="0" applyNumberFormat="1" applyFont="1" applyFill="1" applyBorder="1" applyAlignment="1">
      <alignment horizontal="center" vertical="top"/>
    </xf>
    <xf numFmtId="49" fontId="2" fillId="7" borderId="1" xfId="0" applyNumberFormat="1" applyFont="1" applyFill="1" applyBorder="1" applyAlignment="1">
      <alignment horizontal="center" vertical="top"/>
    </xf>
    <xf numFmtId="165" fontId="1" fillId="7" borderId="19" xfId="0" applyNumberFormat="1" applyFont="1" applyFill="1" applyBorder="1" applyAlignment="1">
      <alignment horizontal="center" vertical="top"/>
    </xf>
    <xf numFmtId="165" fontId="1" fillId="7" borderId="26" xfId="0" applyNumberFormat="1" applyFont="1" applyFill="1" applyBorder="1" applyAlignment="1">
      <alignment horizontal="center" vertical="top"/>
    </xf>
    <xf numFmtId="165" fontId="1" fillId="7" borderId="36" xfId="0" applyNumberFormat="1" applyFont="1" applyFill="1" applyBorder="1" applyAlignment="1">
      <alignment horizontal="center" vertical="top"/>
    </xf>
    <xf numFmtId="165" fontId="1" fillId="7" borderId="101" xfId="0" applyNumberFormat="1" applyFont="1" applyFill="1" applyBorder="1" applyAlignment="1">
      <alignment horizontal="center" vertical="top"/>
    </xf>
    <xf numFmtId="165" fontId="1" fillId="7" borderId="90"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165" fontId="1" fillId="7" borderId="40" xfId="0" applyNumberFormat="1" applyFont="1" applyFill="1" applyBorder="1" applyAlignment="1">
      <alignment horizontal="center" vertical="top" wrapText="1"/>
    </xf>
    <xf numFmtId="165" fontId="1" fillId="7" borderId="36" xfId="0" applyNumberFormat="1" applyFont="1" applyFill="1" applyBorder="1" applyAlignment="1">
      <alignment horizontal="center" vertical="top" wrapText="1"/>
    </xf>
    <xf numFmtId="165" fontId="1" fillId="7" borderId="47" xfId="0" applyNumberFormat="1" applyFont="1" applyFill="1" applyBorder="1" applyAlignment="1">
      <alignment vertical="top"/>
    </xf>
    <xf numFmtId="165" fontId="1" fillId="7" borderId="47" xfId="1" applyNumberFormat="1" applyFont="1" applyFill="1" applyBorder="1" applyAlignment="1">
      <alignment horizontal="center" vertical="top"/>
    </xf>
    <xf numFmtId="165" fontId="1" fillId="7" borderId="47" xfId="0" applyNumberFormat="1" applyFont="1" applyFill="1" applyBorder="1" applyAlignment="1">
      <alignment horizontal="center" vertical="center"/>
    </xf>
    <xf numFmtId="165" fontId="1" fillId="7" borderId="41" xfId="0" applyNumberFormat="1" applyFont="1" applyFill="1" applyBorder="1" applyAlignment="1">
      <alignment horizontal="center" vertical="top"/>
    </xf>
    <xf numFmtId="165" fontId="2" fillId="2" borderId="61" xfId="0" applyNumberFormat="1" applyFont="1" applyFill="1" applyBorder="1" applyAlignment="1">
      <alignment horizontal="center" vertical="top"/>
    </xf>
    <xf numFmtId="165" fontId="1" fillId="7" borderId="52" xfId="0" applyNumberFormat="1" applyFont="1" applyFill="1" applyBorder="1" applyAlignment="1">
      <alignment horizontal="center" vertical="top"/>
    </xf>
    <xf numFmtId="165" fontId="1" fillId="7" borderId="106" xfId="0" applyNumberFormat="1" applyFont="1" applyFill="1" applyBorder="1" applyAlignment="1">
      <alignment horizontal="center" vertical="top"/>
    </xf>
    <xf numFmtId="165" fontId="1" fillId="7" borderId="103" xfId="0" applyNumberFormat="1" applyFont="1" applyFill="1" applyBorder="1" applyAlignment="1">
      <alignment horizontal="center" vertical="top"/>
    </xf>
    <xf numFmtId="165" fontId="1" fillId="7" borderId="54" xfId="0" applyNumberFormat="1" applyFont="1" applyFill="1" applyBorder="1" applyAlignment="1">
      <alignment horizontal="center" vertical="top"/>
    </xf>
    <xf numFmtId="165" fontId="1" fillId="7" borderId="0" xfId="0" applyNumberFormat="1" applyFont="1" applyFill="1" applyBorder="1" applyAlignment="1">
      <alignment horizontal="center" vertical="top" wrapText="1"/>
    </xf>
    <xf numFmtId="165" fontId="1" fillId="7" borderId="52" xfId="0" applyNumberFormat="1" applyFont="1" applyFill="1" applyBorder="1" applyAlignment="1">
      <alignment horizontal="center" vertical="top" wrapText="1"/>
    </xf>
    <xf numFmtId="165" fontId="1" fillId="7" borderId="65" xfId="0" applyNumberFormat="1" applyFont="1" applyFill="1" applyBorder="1" applyAlignment="1">
      <alignment vertical="top"/>
    </xf>
    <xf numFmtId="165" fontId="1" fillId="7" borderId="65" xfId="1" applyNumberFormat="1" applyFont="1" applyFill="1" applyBorder="1" applyAlignment="1">
      <alignment horizontal="center" vertical="top"/>
    </xf>
    <xf numFmtId="165" fontId="1" fillId="8" borderId="54" xfId="0" applyNumberFormat="1" applyFont="1" applyFill="1" applyBorder="1" applyAlignment="1">
      <alignment horizontal="center" vertical="top"/>
    </xf>
    <xf numFmtId="165" fontId="1" fillId="7" borderId="65" xfId="0" applyNumberFormat="1" applyFont="1" applyFill="1" applyBorder="1" applyAlignment="1">
      <alignment horizontal="center" vertical="center"/>
    </xf>
    <xf numFmtId="165" fontId="1" fillId="7" borderId="84" xfId="0" applyNumberFormat="1" applyFont="1" applyFill="1" applyBorder="1" applyAlignment="1">
      <alignment horizontal="center" vertical="top"/>
    </xf>
    <xf numFmtId="165" fontId="1" fillId="7" borderId="70" xfId="0" applyNumberFormat="1" applyFont="1" applyFill="1" applyBorder="1" applyAlignment="1">
      <alignment horizontal="center" vertical="top"/>
    </xf>
    <xf numFmtId="165" fontId="1" fillId="7" borderId="1" xfId="0" applyNumberFormat="1" applyFont="1" applyFill="1" applyBorder="1" applyAlignment="1">
      <alignment horizontal="center" vertical="top"/>
    </xf>
    <xf numFmtId="165" fontId="1" fillId="7" borderId="19" xfId="0" applyNumberFormat="1" applyFont="1" applyFill="1" applyBorder="1" applyAlignment="1">
      <alignment horizontal="center" vertical="top" wrapText="1"/>
    </xf>
    <xf numFmtId="165" fontId="1" fillId="7" borderId="26" xfId="0" applyNumberFormat="1" applyFont="1" applyFill="1" applyBorder="1" applyAlignment="1">
      <alignment vertical="top"/>
    </xf>
    <xf numFmtId="165" fontId="1" fillId="7" borderId="26" xfId="1" applyNumberFormat="1" applyFont="1" applyFill="1" applyBorder="1" applyAlignment="1">
      <alignment horizontal="center" vertical="top"/>
    </xf>
    <xf numFmtId="165" fontId="1" fillId="8" borderId="1" xfId="0" applyNumberFormat="1" applyFont="1" applyFill="1" applyBorder="1" applyAlignment="1">
      <alignment horizontal="center" vertical="top"/>
    </xf>
    <xf numFmtId="165" fontId="1" fillId="7" borderId="26" xfId="0" applyNumberFormat="1" applyFont="1" applyFill="1" applyBorder="1" applyAlignment="1">
      <alignment horizontal="center" vertical="center"/>
    </xf>
    <xf numFmtId="165" fontId="2" fillId="8" borderId="28" xfId="0" applyNumberFormat="1" applyFont="1" applyFill="1" applyBorder="1" applyAlignment="1">
      <alignment horizontal="center" vertical="top"/>
    </xf>
    <xf numFmtId="165" fontId="1" fillId="7" borderId="59" xfId="0" applyNumberFormat="1" applyFont="1" applyFill="1" applyBorder="1" applyAlignment="1">
      <alignment vertical="top"/>
    </xf>
    <xf numFmtId="165" fontId="1" fillId="7" borderId="40" xfId="0" applyNumberFormat="1" applyFont="1" applyFill="1" applyBorder="1" applyAlignment="1">
      <alignment horizontal="center" vertical="center"/>
    </xf>
    <xf numFmtId="165" fontId="1" fillId="7" borderId="36" xfId="0" applyNumberFormat="1" applyFont="1" applyFill="1" applyBorder="1" applyAlignment="1">
      <alignment horizontal="center" vertical="center"/>
    </xf>
    <xf numFmtId="165" fontId="1" fillId="7" borderId="97" xfId="0" applyNumberFormat="1" applyFont="1" applyFill="1" applyBorder="1" applyAlignment="1">
      <alignment horizontal="center" vertical="top"/>
    </xf>
    <xf numFmtId="165" fontId="1" fillId="7" borderId="12" xfId="0" applyNumberFormat="1" applyFont="1" applyFill="1" applyBorder="1" applyAlignment="1">
      <alignment vertical="top"/>
    </xf>
    <xf numFmtId="165" fontId="1" fillId="7" borderId="104" xfId="0" applyNumberFormat="1" applyFont="1" applyFill="1" applyBorder="1" applyAlignment="1">
      <alignment vertical="top"/>
    </xf>
    <xf numFmtId="165" fontId="1" fillId="7" borderId="10" xfId="0" applyNumberFormat="1" applyFont="1" applyFill="1" applyBorder="1" applyAlignment="1">
      <alignment horizontal="center" vertical="center"/>
    </xf>
    <xf numFmtId="165" fontId="1" fillId="7" borderId="19" xfId="0" applyNumberFormat="1" applyFont="1" applyFill="1" applyBorder="1" applyAlignment="1">
      <alignment horizontal="center" vertical="center"/>
    </xf>
    <xf numFmtId="165" fontId="1" fillId="7" borderId="74" xfId="0" applyNumberFormat="1" applyFont="1" applyFill="1" applyBorder="1" applyAlignment="1">
      <alignment horizontal="center" vertical="top"/>
    </xf>
    <xf numFmtId="165" fontId="1" fillId="7" borderId="108" xfId="0" applyNumberFormat="1" applyFont="1" applyFill="1" applyBorder="1" applyAlignment="1">
      <alignment horizontal="center" vertical="top"/>
    </xf>
    <xf numFmtId="165" fontId="1" fillId="0" borderId="65" xfId="0" applyNumberFormat="1" applyFont="1" applyBorder="1" applyAlignment="1">
      <alignment horizontal="center" vertical="top"/>
    </xf>
    <xf numFmtId="165" fontId="2" fillId="7" borderId="46" xfId="0" applyNumberFormat="1" applyFont="1" applyFill="1" applyBorder="1" applyAlignment="1">
      <alignment horizontal="center" vertical="top"/>
    </xf>
    <xf numFmtId="165" fontId="2" fillId="7" borderId="65" xfId="0" applyNumberFormat="1" applyFont="1" applyFill="1" applyBorder="1" applyAlignment="1">
      <alignment horizontal="center" vertical="top"/>
    </xf>
    <xf numFmtId="165" fontId="2" fillId="2" borderId="109" xfId="0" applyNumberFormat="1" applyFont="1" applyFill="1" applyBorder="1" applyAlignment="1">
      <alignment horizontal="center" vertical="top"/>
    </xf>
    <xf numFmtId="165" fontId="2" fillId="9" borderId="31" xfId="0" applyNumberFormat="1" applyFont="1" applyFill="1" applyBorder="1" applyAlignment="1">
      <alignment horizontal="center" vertical="top"/>
    </xf>
    <xf numFmtId="165" fontId="2" fillId="5" borderId="61" xfId="0" applyNumberFormat="1" applyFont="1" applyFill="1" applyBorder="1" applyAlignment="1">
      <alignment horizontal="center" vertical="top"/>
    </xf>
    <xf numFmtId="165" fontId="1" fillId="7" borderId="12" xfId="0" applyNumberFormat="1" applyFont="1" applyFill="1" applyBorder="1" applyAlignment="1">
      <alignment horizontal="center" vertical="top"/>
    </xf>
    <xf numFmtId="165" fontId="1" fillId="0" borderId="26" xfId="0" applyNumberFormat="1" applyFont="1" applyBorder="1" applyAlignment="1">
      <alignment horizontal="center" vertical="top"/>
    </xf>
    <xf numFmtId="165" fontId="2" fillId="7" borderId="23" xfId="0" applyNumberFormat="1" applyFont="1" applyFill="1" applyBorder="1" applyAlignment="1">
      <alignment horizontal="center" vertical="top"/>
    </xf>
    <xf numFmtId="165" fontId="2" fillId="7" borderId="26"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5" borderId="3" xfId="0" applyNumberFormat="1" applyFont="1" applyFill="1" applyBorder="1" applyAlignment="1">
      <alignment horizontal="center" vertical="top"/>
    </xf>
    <xf numFmtId="165" fontId="2" fillId="8" borderId="39" xfId="0" applyNumberFormat="1" applyFont="1" applyFill="1" applyBorder="1" applyAlignment="1">
      <alignment horizontal="center" vertical="top" wrapText="1"/>
    </xf>
    <xf numFmtId="165" fontId="1" fillId="0" borderId="47" xfId="0" applyNumberFormat="1" applyFont="1" applyBorder="1" applyAlignment="1">
      <alignment horizontal="center" vertical="top"/>
    </xf>
    <xf numFmtId="165" fontId="1" fillId="8" borderId="47" xfId="0" applyNumberFormat="1" applyFont="1" applyFill="1" applyBorder="1" applyAlignment="1">
      <alignment horizontal="center" vertical="top"/>
    </xf>
    <xf numFmtId="165" fontId="2" fillId="5" borderId="47" xfId="0" applyNumberFormat="1" applyFont="1" applyFill="1" applyBorder="1" applyAlignment="1">
      <alignment horizontal="center" vertical="top"/>
    </xf>
    <xf numFmtId="165" fontId="2" fillId="4" borderId="31" xfId="0" applyNumberFormat="1" applyFont="1" applyFill="1" applyBorder="1" applyAlignment="1">
      <alignment horizontal="center" vertical="top"/>
    </xf>
    <xf numFmtId="165" fontId="1" fillId="7" borderId="59"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3" fontId="1" fillId="7" borderId="70" xfId="0" applyNumberFormat="1" applyFont="1" applyFill="1" applyBorder="1" applyAlignment="1">
      <alignment horizontal="center" vertical="top"/>
    </xf>
    <xf numFmtId="3" fontId="1" fillId="7" borderId="84" xfId="0" applyNumberFormat="1" applyFont="1" applyFill="1" applyBorder="1" applyAlignment="1">
      <alignment horizontal="center" vertical="top"/>
    </xf>
    <xf numFmtId="3" fontId="5" fillId="7" borderId="26" xfId="0" applyNumberFormat="1" applyFont="1" applyFill="1" applyBorder="1" applyAlignment="1">
      <alignment horizontal="center" vertical="top" wrapText="1"/>
    </xf>
    <xf numFmtId="3" fontId="1" fillId="7" borderId="19" xfId="0" applyNumberFormat="1" applyFont="1" applyFill="1" applyBorder="1" applyAlignment="1">
      <alignment horizontal="center" vertical="top" wrapText="1"/>
    </xf>
    <xf numFmtId="3" fontId="1" fillId="7" borderId="26"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xf>
    <xf numFmtId="3" fontId="1" fillId="0" borderId="26" xfId="0" applyNumberFormat="1" applyFont="1" applyFill="1" applyBorder="1" applyAlignment="1">
      <alignment horizontal="center" vertical="top"/>
    </xf>
    <xf numFmtId="165" fontId="1" fillId="8" borderId="30" xfId="0" applyNumberFormat="1" applyFont="1" applyFill="1" applyBorder="1" applyAlignment="1">
      <alignment horizontal="center" vertical="top"/>
    </xf>
    <xf numFmtId="165" fontId="1" fillId="7" borderId="46"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8" borderId="51" xfId="0" applyNumberFormat="1" applyFont="1" applyFill="1" applyBorder="1" applyAlignment="1">
      <alignment horizontal="center" vertical="top"/>
    </xf>
    <xf numFmtId="165" fontId="1" fillId="8" borderId="53"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165" fontId="1" fillId="7" borderId="110" xfId="0" applyNumberFormat="1" applyFont="1" applyFill="1" applyBorder="1" applyAlignment="1">
      <alignment vertical="top"/>
    </xf>
    <xf numFmtId="3" fontId="5" fillId="8" borderId="51" xfId="0" applyNumberFormat="1" applyFont="1" applyFill="1" applyBorder="1" applyAlignment="1">
      <alignment horizontal="center" vertical="top" wrapText="1"/>
    </xf>
    <xf numFmtId="165" fontId="1" fillId="7" borderId="36" xfId="0" applyNumberFormat="1" applyFont="1" applyFill="1" applyBorder="1" applyAlignment="1">
      <alignment vertical="top"/>
    </xf>
    <xf numFmtId="3" fontId="1" fillId="7" borderId="101" xfId="0" applyNumberFormat="1" applyFont="1" applyFill="1" applyBorder="1" applyAlignment="1">
      <alignment horizontal="center" vertical="top"/>
    </xf>
    <xf numFmtId="0" fontId="1" fillId="7" borderId="40" xfId="0" applyNumberFormat="1" applyFont="1" applyFill="1" applyBorder="1" applyAlignment="1">
      <alignment horizontal="center" vertical="top" wrapText="1"/>
    </xf>
    <xf numFmtId="0" fontId="1" fillId="7" borderId="40" xfId="0" applyFont="1" applyFill="1" applyBorder="1" applyAlignment="1">
      <alignment horizontal="center" vertical="top"/>
    </xf>
    <xf numFmtId="0" fontId="1" fillId="7" borderId="47" xfId="0" applyFont="1" applyFill="1" applyBorder="1" applyAlignment="1">
      <alignment horizontal="center" vertical="top"/>
    </xf>
    <xf numFmtId="0" fontId="1" fillId="7" borderId="40" xfId="0" applyNumberFormat="1" applyFont="1" applyFill="1" applyBorder="1" applyAlignment="1">
      <alignment horizontal="center" vertical="top"/>
    </xf>
    <xf numFmtId="49" fontId="1" fillId="7" borderId="97" xfId="0" applyNumberFormat="1" applyFont="1" applyFill="1" applyBorder="1" applyAlignment="1">
      <alignment horizontal="center" vertical="top"/>
    </xf>
    <xf numFmtId="165" fontId="1" fillId="0" borderId="12" xfId="0" applyNumberFormat="1" applyFont="1" applyBorder="1" applyAlignment="1">
      <alignment vertical="top"/>
    </xf>
    <xf numFmtId="165" fontId="1" fillId="0" borderId="10" xfId="0" applyNumberFormat="1" applyFont="1" applyFill="1" applyBorder="1" applyAlignment="1">
      <alignment horizontal="center" vertical="top"/>
    </xf>
    <xf numFmtId="165" fontId="1" fillId="0" borderId="67" xfId="0" applyNumberFormat="1" applyFont="1" applyFill="1" applyBorder="1" applyAlignment="1">
      <alignment horizontal="center" vertical="top"/>
    </xf>
    <xf numFmtId="165" fontId="1" fillId="7" borderId="19" xfId="0" applyNumberFormat="1" applyFont="1" applyFill="1" applyBorder="1" applyAlignment="1">
      <alignment vertical="top"/>
    </xf>
    <xf numFmtId="3" fontId="1" fillId="7" borderId="67" xfId="0" applyNumberFormat="1" applyFont="1" applyFill="1" applyBorder="1" applyAlignment="1">
      <alignment horizontal="center" vertical="top"/>
    </xf>
    <xf numFmtId="0" fontId="1" fillId="7" borderId="10" xfId="0" applyNumberFormat="1" applyFont="1" applyFill="1" applyBorder="1" applyAlignment="1">
      <alignment horizontal="center" vertical="top" wrapText="1"/>
    </xf>
    <xf numFmtId="3" fontId="1" fillId="0" borderId="70" xfId="0" applyNumberFormat="1" applyFont="1" applyFill="1" applyBorder="1" applyAlignment="1">
      <alignment horizontal="center" vertical="top"/>
    </xf>
    <xf numFmtId="0" fontId="1" fillId="7" borderId="10" xfId="0" applyFont="1" applyFill="1" applyBorder="1" applyAlignment="1">
      <alignment horizontal="center" vertical="top"/>
    </xf>
    <xf numFmtId="0" fontId="1" fillId="7" borderId="26" xfId="0" applyFont="1" applyFill="1" applyBorder="1" applyAlignment="1">
      <alignment horizontal="center" vertical="top"/>
    </xf>
    <xf numFmtId="0" fontId="1" fillId="7" borderId="10" xfId="0" applyNumberFormat="1" applyFont="1" applyFill="1" applyBorder="1" applyAlignment="1">
      <alignment horizontal="center" vertical="top"/>
    </xf>
    <xf numFmtId="0" fontId="1" fillId="7" borderId="74" xfId="0" applyNumberFormat="1" applyFont="1" applyFill="1" applyBorder="1" applyAlignment="1">
      <alignment horizontal="center" vertical="top"/>
    </xf>
    <xf numFmtId="49" fontId="1" fillId="7" borderId="84" xfId="0" applyNumberFormat="1" applyFont="1" applyFill="1" applyBorder="1" applyAlignment="1">
      <alignment horizontal="center" vertical="top"/>
    </xf>
    <xf numFmtId="49" fontId="1" fillId="7" borderId="67" xfId="0" applyNumberFormat="1" applyFont="1" applyFill="1" applyBorder="1" applyAlignment="1">
      <alignment horizontal="center" vertical="top"/>
    </xf>
    <xf numFmtId="49" fontId="1" fillId="7" borderId="74" xfId="0" applyNumberFormat="1" applyFont="1" applyFill="1" applyBorder="1" applyAlignment="1">
      <alignment horizontal="center" vertical="top"/>
    </xf>
    <xf numFmtId="3" fontId="5" fillId="8" borderId="107" xfId="0" applyNumberFormat="1" applyFont="1" applyFill="1" applyBorder="1" applyAlignment="1">
      <alignment horizontal="center" vertical="top" wrapText="1"/>
    </xf>
    <xf numFmtId="49" fontId="1" fillId="7" borderId="106" xfId="0" applyNumberFormat="1" applyFont="1" applyFill="1" applyBorder="1" applyAlignment="1">
      <alignment horizontal="center" vertical="top"/>
    </xf>
    <xf numFmtId="3" fontId="1" fillId="7" borderId="110" xfId="0" applyNumberFormat="1" applyFont="1" applyFill="1" applyBorder="1" applyAlignment="1">
      <alignment horizontal="center" vertical="top"/>
    </xf>
    <xf numFmtId="3" fontId="1" fillId="3" borderId="0" xfId="0" applyNumberFormat="1" applyFont="1" applyFill="1" applyBorder="1" applyAlignment="1">
      <alignment horizontal="center" vertical="top" wrapText="1"/>
    </xf>
    <xf numFmtId="3" fontId="1" fillId="7" borderId="65" xfId="0" applyNumberFormat="1" applyFont="1" applyFill="1" applyBorder="1" applyAlignment="1">
      <alignment horizontal="center" vertical="top" wrapText="1"/>
    </xf>
    <xf numFmtId="49" fontId="1" fillId="7" borderId="103" xfId="0" applyNumberFormat="1" applyFont="1" applyFill="1" applyBorder="1" applyAlignment="1">
      <alignment horizontal="center" vertical="top"/>
    </xf>
    <xf numFmtId="3" fontId="1" fillId="7" borderId="86"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65" xfId="1" applyNumberFormat="1" applyFont="1" applyFill="1" applyBorder="1" applyAlignment="1">
      <alignment horizontal="center" vertical="top" wrapText="1"/>
    </xf>
    <xf numFmtId="49" fontId="1" fillId="7" borderId="52" xfId="0" applyNumberFormat="1" applyFont="1" applyFill="1" applyBorder="1" applyAlignment="1">
      <alignment horizontal="center" vertical="top"/>
    </xf>
    <xf numFmtId="165" fontId="1" fillId="2" borderId="30" xfId="0" applyNumberFormat="1" applyFont="1" applyFill="1" applyBorder="1" applyAlignment="1">
      <alignment horizontal="center" vertical="top" wrapText="1"/>
    </xf>
    <xf numFmtId="0" fontId="1" fillId="7" borderId="36" xfId="0" applyFont="1" applyFill="1" applyBorder="1" applyAlignment="1">
      <alignment vertical="top"/>
    </xf>
    <xf numFmtId="0" fontId="1" fillId="7" borderId="47" xfId="0" applyFont="1" applyFill="1" applyBorder="1" applyAlignment="1">
      <alignment vertical="top"/>
    </xf>
    <xf numFmtId="3" fontId="1" fillId="7" borderId="36" xfId="0" applyNumberFormat="1" applyFont="1" applyFill="1" applyBorder="1" applyAlignment="1">
      <alignment horizontal="center" vertical="center"/>
    </xf>
    <xf numFmtId="0" fontId="1" fillId="7" borderId="19" xfId="0" applyFont="1" applyFill="1" applyBorder="1" applyAlignment="1">
      <alignment vertical="top"/>
    </xf>
    <xf numFmtId="0" fontId="1" fillId="7" borderId="26" xfId="0" applyFont="1" applyFill="1" applyBorder="1" applyAlignment="1">
      <alignment vertical="top"/>
    </xf>
    <xf numFmtId="3" fontId="1" fillId="3" borderId="19" xfId="0" applyNumberFormat="1" applyFont="1" applyFill="1" applyBorder="1" applyAlignment="1">
      <alignment horizontal="center" vertical="top" wrapText="1"/>
    </xf>
    <xf numFmtId="3" fontId="1" fillId="3" borderId="10" xfId="0" applyNumberFormat="1" applyFont="1" applyFill="1" applyBorder="1" applyAlignment="1">
      <alignment horizontal="center" vertical="top" wrapText="1"/>
    </xf>
    <xf numFmtId="3" fontId="1" fillId="7" borderId="10" xfId="0" applyNumberFormat="1" applyFont="1" applyFill="1" applyBorder="1" applyAlignment="1">
      <alignment horizontal="center" vertical="top" wrapText="1"/>
    </xf>
    <xf numFmtId="3" fontId="1" fillId="7" borderId="84" xfId="0" applyNumberFormat="1" applyFont="1" applyFill="1" applyBorder="1" applyAlignment="1">
      <alignment horizontal="center" vertical="top" wrapText="1"/>
    </xf>
    <xf numFmtId="3" fontId="1" fillId="7" borderId="74" xfId="0" applyNumberFormat="1" applyFont="1" applyFill="1" applyBorder="1" applyAlignment="1">
      <alignment horizontal="center" vertical="top" wrapText="1"/>
    </xf>
    <xf numFmtId="3" fontId="1" fillId="7" borderId="26" xfId="1" applyNumberFormat="1" applyFont="1" applyFill="1" applyBorder="1" applyAlignment="1">
      <alignment horizontal="center" vertical="top" wrapText="1"/>
    </xf>
    <xf numFmtId="49" fontId="1" fillId="0" borderId="19" xfId="0" applyNumberFormat="1" applyFont="1" applyFill="1" applyBorder="1" applyAlignment="1">
      <alignment horizontal="center" vertical="top"/>
    </xf>
    <xf numFmtId="49" fontId="1" fillId="0" borderId="70" xfId="0" applyNumberFormat="1" applyFont="1" applyFill="1" applyBorder="1" applyAlignment="1">
      <alignment horizontal="center" vertical="top"/>
    </xf>
    <xf numFmtId="3" fontId="1" fillId="7" borderId="19" xfId="0" applyNumberFormat="1" applyFont="1" applyFill="1" applyBorder="1" applyAlignment="1">
      <alignment horizontal="center" vertical="center"/>
    </xf>
    <xf numFmtId="165" fontId="1" fillId="2" borderId="28" xfId="0" applyNumberFormat="1" applyFont="1" applyFill="1" applyBorder="1" applyAlignment="1">
      <alignment horizontal="center" vertical="top" wrapText="1"/>
    </xf>
    <xf numFmtId="3" fontId="1" fillId="7" borderId="52" xfId="0" applyNumberFormat="1" applyFont="1" applyFill="1" applyBorder="1" applyAlignment="1">
      <alignment horizontal="center" vertical="top" wrapText="1"/>
    </xf>
    <xf numFmtId="165" fontId="2" fillId="8" borderId="107"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69" xfId="0" applyNumberFormat="1" applyFont="1" applyFill="1" applyBorder="1" applyAlignment="1">
      <alignment horizontal="center" vertical="top"/>
    </xf>
    <xf numFmtId="0" fontId="1" fillId="7" borderId="65" xfId="0" applyFont="1" applyFill="1" applyBorder="1" applyAlignment="1">
      <alignment vertical="top"/>
    </xf>
    <xf numFmtId="3" fontId="1" fillId="7" borderId="106" xfId="0" applyNumberFormat="1" applyFont="1" applyFill="1" applyBorder="1" applyAlignment="1">
      <alignment horizontal="center" vertical="top"/>
    </xf>
    <xf numFmtId="3" fontId="1" fillId="7" borderId="103" xfId="0" applyNumberFormat="1" applyFont="1" applyFill="1" applyBorder="1" applyAlignment="1">
      <alignment horizontal="center" vertical="top"/>
    </xf>
    <xf numFmtId="165" fontId="1" fillId="7" borderId="15" xfId="0" applyNumberFormat="1" applyFont="1" applyFill="1" applyBorder="1" applyAlignment="1">
      <alignment horizontal="center" vertical="top"/>
    </xf>
    <xf numFmtId="3" fontId="1" fillId="3" borderId="43"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wrapText="1"/>
    </xf>
    <xf numFmtId="49"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wrapText="1"/>
    </xf>
    <xf numFmtId="3" fontId="1" fillId="7" borderId="43"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99" xfId="0" applyNumberFormat="1" applyFont="1" applyFill="1" applyBorder="1" applyAlignment="1">
      <alignment horizontal="center" vertical="top"/>
    </xf>
    <xf numFmtId="165" fontId="1" fillId="7" borderId="27" xfId="0" applyNumberFormat="1" applyFont="1" applyFill="1" applyBorder="1" applyAlignment="1">
      <alignment vertical="top"/>
    </xf>
    <xf numFmtId="165" fontId="1" fillId="7" borderId="27" xfId="1" applyNumberFormat="1" applyFont="1" applyFill="1" applyBorder="1" applyAlignment="1">
      <alignment horizontal="center" vertical="top"/>
    </xf>
    <xf numFmtId="165" fontId="1" fillId="8" borderId="15" xfId="0" applyNumberFormat="1" applyFont="1" applyFill="1" applyBorder="1" applyAlignment="1">
      <alignment horizontal="center" vertical="top"/>
    </xf>
    <xf numFmtId="165" fontId="1" fillId="7" borderId="27" xfId="0" applyNumberFormat="1" applyFont="1" applyFill="1" applyBorder="1" applyAlignment="1">
      <alignment horizontal="center" vertical="center"/>
    </xf>
    <xf numFmtId="3" fontId="1" fillId="7" borderId="52" xfId="0" applyNumberFormat="1" applyFont="1" applyFill="1" applyBorder="1" applyAlignment="1">
      <alignment horizontal="center" vertical="center"/>
    </xf>
    <xf numFmtId="165" fontId="1" fillId="8" borderId="99"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3" fontId="1" fillId="7" borderId="41" xfId="0" applyNumberFormat="1" applyFont="1" applyFill="1" applyBorder="1" applyAlignment="1">
      <alignment horizontal="center" vertical="top"/>
    </xf>
    <xf numFmtId="3" fontId="5" fillId="8" borderId="112" xfId="0" applyNumberFormat="1" applyFont="1" applyFill="1" applyBorder="1" applyAlignment="1">
      <alignment horizontal="center" vertical="top" wrapText="1"/>
    </xf>
    <xf numFmtId="165" fontId="2" fillId="8" borderId="8"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1" fillId="2" borderId="3" xfId="0" applyNumberFormat="1" applyFont="1" applyFill="1" applyBorder="1" applyAlignment="1">
      <alignment horizontal="center" vertical="top" wrapText="1"/>
    </xf>
    <xf numFmtId="165" fontId="1" fillId="7" borderId="63" xfId="0" applyNumberFormat="1" applyFont="1" applyFill="1" applyBorder="1" applyAlignment="1">
      <alignment vertical="top"/>
    </xf>
    <xf numFmtId="165" fontId="1" fillId="7" borderId="0" xfId="0" applyNumberFormat="1" applyFont="1" applyFill="1" applyBorder="1" applyAlignment="1">
      <alignment horizontal="center" vertical="center"/>
    </xf>
    <xf numFmtId="165" fontId="1" fillId="7" borderId="52" xfId="0" applyNumberFormat="1" applyFont="1" applyFill="1" applyBorder="1" applyAlignment="1">
      <alignment horizontal="center" vertical="center"/>
    </xf>
    <xf numFmtId="165" fontId="1" fillId="7" borderId="11" xfId="0" applyNumberFormat="1" applyFont="1" applyFill="1" applyBorder="1" applyAlignment="1">
      <alignment vertical="top"/>
    </xf>
    <xf numFmtId="165" fontId="1" fillId="7" borderId="66" xfId="0" applyNumberFormat="1" applyFont="1" applyFill="1" applyBorder="1" applyAlignment="1">
      <alignment vertical="top"/>
    </xf>
    <xf numFmtId="165" fontId="1" fillId="7" borderId="6" xfId="0" applyNumberFormat="1" applyFont="1" applyFill="1" applyBorder="1" applyAlignment="1">
      <alignment horizontal="center" vertical="center"/>
    </xf>
    <xf numFmtId="165" fontId="1" fillId="7" borderId="34" xfId="0" applyNumberFormat="1" applyFont="1" applyFill="1" applyBorder="1" applyAlignment="1">
      <alignment horizontal="center" vertical="center"/>
    </xf>
    <xf numFmtId="0" fontId="1" fillId="7" borderId="0" xfId="0" applyFont="1" applyFill="1" applyBorder="1" applyAlignment="1">
      <alignment horizontal="center" vertical="top"/>
    </xf>
    <xf numFmtId="0" fontId="1" fillId="7" borderId="65" xfId="0" applyFont="1" applyFill="1" applyBorder="1" applyAlignment="1">
      <alignment horizontal="center" vertical="top"/>
    </xf>
    <xf numFmtId="165" fontId="1" fillId="7" borderId="52" xfId="0" applyNumberFormat="1" applyFont="1" applyFill="1" applyBorder="1" applyAlignment="1">
      <alignment vertical="top"/>
    </xf>
    <xf numFmtId="0" fontId="1" fillId="7" borderId="0" xfId="0" applyNumberFormat="1" applyFont="1" applyFill="1" applyBorder="1" applyAlignment="1">
      <alignment horizontal="center" vertical="top" wrapText="1"/>
    </xf>
    <xf numFmtId="3" fontId="1" fillId="7" borderId="95" xfId="0" applyNumberFormat="1" applyFont="1" applyFill="1" applyBorder="1" applyAlignment="1">
      <alignment horizontal="center" vertical="top"/>
    </xf>
    <xf numFmtId="165" fontId="1" fillId="0" borderId="108" xfId="0" applyNumberFormat="1" applyFont="1" applyBorder="1" applyAlignment="1">
      <alignment vertical="top"/>
    </xf>
    <xf numFmtId="165" fontId="2" fillId="2" borderId="60" xfId="0" applyNumberFormat="1" applyFont="1" applyFill="1" applyBorder="1" applyAlignment="1">
      <alignment horizontal="center" vertical="top"/>
    </xf>
    <xf numFmtId="165" fontId="1" fillId="7" borderId="73" xfId="0" applyNumberFormat="1" applyFont="1" applyFill="1" applyBorder="1" applyAlignment="1">
      <alignment horizontal="center" vertical="top"/>
    </xf>
    <xf numFmtId="49" fontId="1" fillId="7" borderId="111" xfId="0" applyNumberFormat="1" applyFont="1" applyFill="1" applyBorder="1" applyAlignment="1">
      <alignment horizontal="center" vertical="top"/>
    </xf>
    <xf numFmtId="165" fontId="1" fillId="7" borderId="63" xfId="0" applyNumberFormat="1" applyFont="1" applyFill="1" applyBorder="1" applyAlignment="1">
      <alignment horizontal="center" vertical="top"/>
    </xf>
    <xf numFmtId="3" fontId="5" fillId="7" borderId="65" xfId="0" applyNumberFormat="1" applyFont="1" applyFill="1" applyBorder="1" applyAlignment="1">
      <alignment horizontal="center" vertical="top" wrapText="1"/>
    </xf>
    <xf numFmtId="165" fontId="2" fillId="2" borderId="30" xfId="0" applyNumberFormat="1" applyFont="1" applyFill="1" applyBorder="1" applyAlignment="1">
      <alignment horizontal="center" vertical="top"/>
    </xf>
    <xf numFmtId="165" fontId="2" fillId="9" borderId="30" xfId="0" applyNumberFormat="1" applyFont="1" applyFill="1" applyBorder="1" applyAlignment="1">
      <alignment horizontal="center" vertical="top"/>
    </xf>
    <xf numFmtId="165" fontId="2" fillId="5" borderId="60" xfId="0" applyNumberFormat="1" applyFont="1" applyFill="1" applyBorder="1" applyAlignment="1">
      <alignment horizontal="center" vertical="top"/>
    </xf>
    <xf numFmtId="165" fontId="2" fillId="7" borderId="4" xfId="0" applyNumberFormat="1" applyFont="1" applyFill="1" applyBorder="1" applyAlignment="1">
      <alignment horizontal="center" vertical="top"/>
    </xf>
    <xf numFmtId="165" fontId="2" fillId="7" borderId="27" xfId="0" applyNumberFormat="1" applyFont="1" applyFill="1" applyBorder="1" applyAlignment="1">
      <alignment horizontal="center" vertical="top"/>
    </xf>
    <xf numFmtId="3" fontId="1" fillId="0" borderId="65" xfId="0" applyNumberFormat="1" applyFont="1" applyFill="1" applyBorder="1" applyAlignment="1">
      <alignment horizontal="center" vertical="top"/>
    </xf>
    <xf numFmtId="0" fontId="1" fillId="0" borderId="107" xfId="0" applyFont="1" applyBorder="1" applyAlignment="1">
      <alignment horizontal="center" vertical="center" textRotation="90"/>
    </xf>
    <xf numFmtId="0" fontId="1" fillId="0" borderId="2" xfId="0" applyFont="1" applyBorder="1" applyAlignment="1">
      <alignment horizontal="center" vertical="center" textRotation="90"/>
    </xf>
    <xf numFmtId="0" fontId="1" fillId="0" borderId="112" xfId="0" applyFont="1" applyBorder="1" applyAlignment="1">
      <alignment horizontal="center" vertical="center" textRotation="90"/>
    </xf>
    <xf numFmtId="3" fontId="1" fillId="7" borderId="92" xfId="0" applyNumberFormat="1" applyFont="1" applyFill="1" applyBorder="1" applyAlignment="1">
      <alignment horizontal="center" vertical="top"/>
    </xf>
    <xf numFmtId="49" fontId="1" fillId="7" borderId="43" xfId="0" applyNumberFormat="1" applyFont="1" applyFill="1" applyBorder="1" applyAlignment="1">
      <alignment horizontal="center" vertical="top"/>
    </xf>
    <xf numFmtId="3" fontId="1" fillId="7" borderId="18" xfId="1" applyNumberFormat="1" applyFont="1" applyFill="1" applyBorder="1" applyAlignment="1">
      <alignment horizontal="center" vertical="top" wrapText="1"/>
    </xf>
    <xf numFmtId="3" fontId="1" fillId="7" borderId="77" xfId="0" applyNumberFormat="1" applyFont="1" applyFill="1" applyBorder="1" applyAlignment="1">
      <alignment horizontal="center" vertical="top"/>
    </xf>
    <xf numFmtId="3" fontId="1" fillId="7" borderId="94" xfId="0" applyNumberFormat="1" applyFont="1" applyFill="1" applyBorder="1" applyAlignment="1">
      <alignment horizontal="center" vertical="top"/>
    </xf>
    <xf numFmtId="0" fontId="1" fillId="7" borderId="52" xfId="0" applyFont="1" applyFill="1" applyBorder="1" applyAlignment="1">
      <alignment vertical="top"/>
    </xf>
    <xf numFmtId="0" fontId="1" fillId="7" borderId="18" xfId="0" applyFont="1" applyFill="1" applyBorder="1" applyAlignment="1">
      <alignment vertical="top"/>
    </xf>
    <xf numFmtId="0" fontId="12" fillId="7" borderId="5" xfId="0" applyFont="1" applyFill="1" applyBorder="1" applyAlignment="1">
      <alignment vertical="top" wrapText="1"/>
    </xf>
    <xf numFmtId="0" fontId="1" fillId="7" borderId="22" xfId="0" applyFont="1" applyFill="1" applyBorder="1" applyAlignment="1">
      <alignment vertical="top" wrapText="1"/>
    </xf>
    <xf numFmtId="0" fontId="1" fillId="7" borderId="87" xfId="0" applyFont="1" applyFill="1" applyBorder="1" applyAlignment="1">
      <alignment vertical="top" wrapText="1"/>
    </xf>
    <xf numFmtId="0" fontId="1" fillId="7" borderId="85" xfId="0" applyFont="1" applyFill="1" applyBorder="1" applyAlignment="1">
      <alignment vertical="top" wrapText="1"/>
    </xf>
    <xf numFmtId="0" fontId="12" fillId="7" borderId="7" xfId="0" applyFont="1" applyFill="1" applyBorder="1" applyAlignment="1">
      <alignment vertical="top" wrapText="1"/>
    </xf>
    <xf numFmtId="165" fontId="1" fillId="7" borderId="85" xfId="0" applyNumberFormat="1" applyFont="1" applyFill="1" applyBorder="1" applyAlignment="1">
      <alignment horizontal="left" vertical="top" wrapText="1"/>
    </xf>
    <xf numFmtId="165" fontId="9" fillId="7" borderId="22" xfId="0" applyNumberFormat="1" applyFont="1" applyFill="1" applyBorder="1" applyAlignment="1">
      <alignment horizontal="left" vertical="top" wrapText="1"/>
    </xf>
    <xf numFmtId="165" fontId="1" fillId="8" borderId="21" xfId="0" applyNumberFormat="1" applyFont="1" applyFill="1" applyBorder="1" applyAlignment="1">
      <alignment horizontal="left" vertical="top" wrapText="1"/>
    </xf>
    <xf numFmtId="165" fontId="1" fillId="7" borderId="75" xfId="0" applyNumberFormat="1" applyFont="1" applyFill="1" applyBorder="1" applyAlignment="1">
      <alignment horizontal="left" vertical="top" wrapText="1"/>
    </xf>
    <xf numFmtId="165" fontId="1" fillId="7" borderId="22" xfId="0" applyNumberFormat="1" applyFont="1" applyFill="1" applyBorder="1" applyAlignment="1">
      <alignment vertical="top" wrapText="1"/>
    </xf>
    <xf numFmtId="0" fontId="1" fillId="7" borderId="5" xfId="0" applyFont="1" applyFill="1" applyBorder="1" applyAlignment="1">
      <alignment vertical="top" wrapText="1"/>
    </xf>
    <xf numFmtId="165" fontId="1" fillId="7" borderId="87" xfId="0" applyNumberFormat="1" applyFont="1" applyFill="1" applyBorder="1" applyAlignment="1">
      <alignment horizontal="left" vertical="top" wrapText="1"/>
    </xf>
    <xf numFmtId="165" fontId="1" fillId="7" borderId="88" xfId="0" applyNumberFormat="1" applyFont="1" applyFill="1" applyBorder="1" applyAlignment="1">
      <alignment vertical="top" wrapText="1"/>
    </xf>
    <xf numFmtId="165" fontId="9" fillId="7" borderId="22" xfId="0" applyNumberFormat="1" applyFont="1" applyFill="1" applyBorder="1" applyAlignment="1">
      <alignment vertical="top" wrapText="1"/>
    </xf>
    <xf numFmtId="165" fontId="1" fillId="7" borderId="7" xfId="0" applyNumberFormat="1" applyFont="1" applyFill="1" applyBorder="1" applyAlignment="1">
      <alignment vertical="top" wrapText="1"/>
    </xf>
    <xf numFmtId="0" fontId="1" fillId="7" borderId="78" xfId="0" applyFont="1" applyFill="1" applyBorder="1" applyAlignment="1">
      <alignment vertical="top" wrapText="1"/>
    </xf>
    <xf numFmtId="0" fontId="1" fillId="7" borderId="5" xfId="0" applyFont="1" applyFill="1" applyBorder="1" applyAlignment="1">
      <alignment vertical="top"/>
    </xf>
    <xf numFmtId="0" fontId="1" fillId="7" borderId="22" xfId="0" applyFont="1" applyFill="1" applyBorder="1" applyAlignment="1">
      <alignment vertical="top"/>
    </xf>
    <xf numFmtId="165" fontId="1" fillId="7" borderId="41" xfId="0" applyNumberFormat="1" applyFont="1" applyFill="1" applyBorder="1" applyAlignment="1">
      <alignment vertical="top"/>
    </xf>
    <xf numFmtId="165" fontId="1" fillId="7" borderId="87" xfId="0" applyNumberFormat="1" applyFont="1" applyFill="1" applyBorder="1" applyAlignment="1">
      <alignment vertical="top" wrapText="1"/>
    </xf>
    <xf numFmtId="165" fontId="1" fillId="7" borderId="88" xfId="0" applyNumberFormat="1" applyFont="1" applyFill="1" applyBorder="1" applyAlignment="1">
      <alignment horizontal="left" vertical="top" wrapText="1"/>
    </xf>
    <xf numFmtId="0" fontId="1" fillId="7" borderId="78" xfId="0" applyFont="1" applyFill="1" applyBorder="1" applyAlignment="1">
      <alignment horizontal="left" vertical="top" wrapText="1"/>
    </xf>
    <xf numFmtId="165" fontId="1" fillId="0" borderId="9" xfId="0" applyNumberFormat="1" applyFont="1" applyBorder="1" applyAlignment="1">
      <alignment vertical="top"/>
    </xf>
    <xf numFmtId="165" fontId="1" fillId="7" borderId="78" xfId="0" applyNumberFormat="1" applyFont="1" applyFill="1" applyBorder="1" applyAlignment="1">
      <alignment horizontal="left" vertical="top" wrapText="1"/>
    </xf>
    <xf numFmtId="0" fontId="1" fillId="7" borderId="96" xfId="0" applyNumberFormat="1" applyFont="1" applyFill="1" applyBorder="1" applyAlignment="1">
      <alignment horizontal="center" vertical="top"/>
    </xf>
    <xf numFmtId="165" fontId="1" fillId="7" borderId="9" xfId="0" applyNumberFormat="1" applyFont="1" applyFill="1" applyBorder="1" applyAlignment="1">
      <alignment horizontal="left" vertical="top" wrapText="1"/>
    </xf>
    <xf numFmtId="165" fontId="1" fillId="7" borderId="75" xfId="0" applyNumberFormat="1" applyFont="1" applyFill="1" applyBorder="1" applyAlignment="1">
      <alignment vertical="top" wrapText="1"/>
    </xf>
    <xf numFmtId="3" fontId="1" fillId="0" borderId="18" xfId="0" applyNumberFormat="1" applyFont="1" applyFill="1" applyBorder="1" applyAlignment="1">
      <alignment horizontal="center" vertical="top"/>
    </xf>
    <xf numFmtId="3" fontId="1" fillId="0" borderId="43" xfId="0" applyNumberFormat="1" applyFont="1" applyFill="1" applyBorder="1" applyAlignment="1">
      <alignment horizontal="center" vertical="top"/>
    </xf>
    <xf numFmtId="165" fontId="1" fillId="7" borderId="113" xfId="0" applyNumberFormat="1" applyFont="1" applyFill="1" applyBorder="1" applyAlignment="1">
      <alignment horizontal="center" vertical="top"/>
    </xf>
    <xf numFmtId="165" fontId="1" fillId="7" borderId="21" xfId="0" applyNumberFormat="1" applyFont="1" applyFill="1" applyBorder="1" applyAlignment="1">
      <alignment vertical="top" wrapText="1"/>
    </xf>
    <xf numFmtId="165" fontId="6" fillId="8" borderId="56" xfId="0" applyNumberFormat="1" applyFont="1" applyFill="1" applyBorder="1" applyAlignment="1">
      <alignment vertical="top" wrapText="1"/>
    </xf>
    <xf numFmtId="165" fontId="6" fillId="7" borderId="37" xfId="0" applyNumberFormat="1" applyFont="1" applyFill="1" applyBorder="1" applyAlignment="1">
      <alignment vertical="top" wrapText="1"/>
    </xf>
    <xf numFmtId="0" fontId="1" fillId="7" borderId="93" xfId="0" applyFont="1" applyFill="1" applyBorder="1" applyAlignment="1">
      <alignment vertical="top" wrapText="1"/>
    </xf>
    <xf numFmtId="165" fontId="1" fillId="7" borderId="17" xfId="0" applyNumberFormat="1" applyFont="1" applyFill="1" applyBorder="1" applyAlignment="1">
      <alignment horizontal="center" vertical="top"/>
    </xf>
    <xf numFmtId="165" fontId="1" fillId="7" borderId="114" xfId="0" applyNumberFormat="1" applyFont="1" applyFill="1" applyBorder="1" applyAlignment="1">
      <alignment horizontal="center" vertical="top"/>
    </xf>
    <xf numFmtId="0" fontId="1" fillId="0" borderId="32" xfId="0" applyFont="1" applyBorder="1" applyAlignment="1">
      <alignment vertical="top"/>
    </xf>
    <xf numFmtId="0" fontId="2" fillId="7" borderId="19" xfId="0" applyFont="1" applyFill="1" applyBorder="1" applyAlignment="1">
      <alignment horizontal="center" vertical="top" wrapText="1"/>
    </xf>
    <xf numFmtId="0" fontId="2" fillId="7" borderId="10" xfId="0" applyFont="1" applyFill="1" applyBorder="1" applyAlignment="1">
      <alignment horizontal="center" vertical="top" wrapText="1"/>
    </xf>
    <xf numFmtId="49" fontId="2" fillId="7" borderId="19" xfId="0" applyNumberFormat="1" applyFont="1" applyFill="1" applyBorder="1" applyAlignment="1">
      <alignment horizontal="center" vertical="top" wrapText="1"/>
    </xf>
    <xf numFmtId="165" fontId="1" fillId="7" borderId="80" xfId="0" applyNumberFormat="1" applyFont="1" applyFill="1" applyBorder="1" applyAlignment="1">
      <alignment horizontal="center" vertical="top"/>
    </xf>
    <xf numFmtId="165" fontId="2" fillId="7" borderId="43" xfId="0" applyNumberFormat="1" applyFont="1" applyFill="1" applyBorder="1" applyAlignment="1">
      <alignment horizontal="center" vertical="center" textRotation="90" wrapText="1"/>
    </xf>
    <xf numFmtId="3" fontId="1" fillId="7" borderId="68" xfId="0" applyNumberFormat="1" applyFont="1" applyFill="1" applyBorder="1" applyAlignment="1">
      <alignment horizontal="center" vertical="top" wrapText="1"/>
    </xf>
    <xf numFmtId="3" fontId="12" fillId="7" borderId="110" xfId="0" applyNumberFormat="1" applyFont="1" applyFill="1" applyBorder="1" applyAlignment="1">
      <alignment horizontal="center" vertical="top"/>
    </xf>
    <xf numFmtId="3" fontId="12" fillId="7" borderId="104" xfId="0" applyNumberFormat="1" applyFont="1" applyFill="1" applyBorder="1" applyAlignment="1">
      <alignment horizontal="center" vertical="top"/>
    </xf>
    <xf numFmtId="3" fontId="12" fillId="7" borderId="91" xfId="0" applyNumberFormat="1" applyFont="1" applyFill="1" applyBorder="1" applyAlignment="1">
      <alignment horizontal="center" vertical="top"/>
    </xf>
    <xf numFmtId="3" fontId="1" fillId="7" borderId="73" xfId="0" applyNumberFormat="1" applyFont="1" applyFill="1" applyBorder="1" applyAlignment="1">
      <alignment horizontal="center" vertical="top"/>
    </xf>
    <xf numFmtId="3" fontId="1" fillId="7" borderId="80" xfId="0" applyNumberFormat="1" applyFont="1" applyFill="1" applyBorder="1" applyAlignment="1">
      <alignment horizontal="center" vertical="top"/>
    </xf>
    <xf numFmtId="49" fontId="1" fillId="7" borderId="22" xfId="0" applyNumberFormat="1" applyFont="1" applyFill="1" applyBorder="1" applyAlignment="1">
      <alignment vertical="top" wrapText="1"/>
    </xf>
    <xf numFmtId="165" fontId="1" fillId="7" borderId="34" xfId="0" applyNumberFormat="1" applyFont="1" applyFill="1" applyBorder="1" applyAlignment="1">
      <alignment vertical="top"/>
    </xf>
    <xf numFmtId="165" fontId="2" fillId="7" borderId="10" xfId="0" applyNumberFormat="1" applyFont="1" applyFill="1" applyBorder="1" applyAlignment="1">
      <alignment vertical="top" wrapText="1"/>
    </xf>
    <xf numFmtId="165" fontId="2" fillId="7" borderId="26" xfId="0" applyNumberFormat="1" applyFont="1" applyFill="1" applyBorder="1" applyAlignment="1">
      <alignment vertical="top" wrapText="1"/>
    </xf>
    <xf numFmtId="49" fontId="2" fillId="7" borderId="19" xfId="0" applyNumberFormat="1" applyFont="1" applyFill="1" applyBorder="1" applyAlignment="1">
      <alignment vertical="top"/>
    </xf>
    <xf numFmtId="49" fontId="2" fillId="7" borderId="10" xfId="0" applyNumberFormat="1" applyFont="1" applyFill="1" applyBorder="1" applyAlignment="1">
      <alignment vertical="top"/>
    </xf>
    <xf numFmtId="49" fontId="2" fillId="7" borderId="26" xfId="0" applyNumberFormat="1" applyFont="1" applyFill="1" applyBorder="1" applyAlignment="1">
      <alignment vertical="top"/>
    </xf>
    <xf numFmtId="49" fontId="1" fillId="7" borderId="7" xfId="0" applyNumberFormat="1" applyFont="1" applyFill="1" applyBorder="1" applyAlignment="1">
      <alignment vertical="top" wrapText="1"/>
    </xf>
    <xf numFmtId="49" fontId="2" fillId="8" borderId="1" xfId="0" applyNumberFormat="1" applyFont="1" applyFill="1" applyBorder="1" applyAlignment="1">
      <alignment horizontal="center" vertical="top"/>
    </xf>
    <xf numFmtId="49" fontId="1" fillId="8" borderId="44" xfId="0" applyNumberFormat="1" applyFont="1" applyFill="1" applyBorder="1" applyAlignment="1">
      <alignment horizontal="center" vertical="center" textRotation="90"/>
    </xf>
    <xf numFmtId="165" fontId="1" fillId="7" borderId="25" xfId="0" applyNumberFormat="1" applyFont="1" applyFill="1" applyBorder="1" applyAlignment="1">
      <alignment horizontal="center" vertical="top"/>
    </xf>
    <xf numFmtId="0" fontId="1" fillId="0" borderId="55" xfId="0" applyFont="1" applyBorder="1" applyAlignment="1">
      <alignment vertical="top"/>
    </xf>
    <xf numFmtId="49" fontId="1" fillId="7" borderId="114"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49" fontId="1" fillId="7" borderId="25" xfId="0" applyNumberFormat="1" applyFont="1" applyFill="1" applyBorder="1" applyAlignment="1">
      <alignment horizontal="center" vertical="top"/>
    </xf>
    <xf numFmtId="0" fontId="1" fillId="7" borderId="88" xfId="0" applyFont="1" applyFill="1" applyBorder="1" applyAlignment="1">
      <alignment vertical="top" wrapText="1"/>
    </xf>
    <xf numFmtId="3" fontId="1" fillId="7" borderId="80" xfId="0" applyNumberFormat="1" applyFont="1" applyFill="1" applyBorder="1" applyAlignment="1">
      <alignment horizontal="center" vertical="top" wrapText="1"/>
    </xf>
    <xf numFmtId="3" fontId="1" fillId="7" borderId="67" xfId="0" applyNumberFormat="1" applyFont="1" applyFill="1" applyBorder="1" applyAlignment="1">
      <alignment horizontal="center" vertical="top" wrapText="1"/>
    </xf>
    <xf numFmtId="0" fontId="1" fillId="0" borderId="87" xfId="0" applyFont="1" applyBorder="1" applyAlignment="1">
      <alignment vertical="top"/>
    </xf>
    <xf numFmtId="3" fontId="1" fillId="7" borderId="115" xfId="0" applyNumberFormat="1" applyFont="1" applyFill="1" applyBorder="1" applyAlignment="1">
      <alignment horizontal="center" vertical="top"/>
    </xf>
    <xf numFmtId="3" fontId="1" fillId="0" borderId="80" xfId="0" applyNumberFormat="1" applyFont="1" applyFill="1" applyBorder="1" applyAlignment="1">
      <alignment horizontal="center" vertical="top"/>
    </xf>
    <xf numFmtId="3" fontId="1" fillId="0" borderId="114" xfId="0" applyNumberFormat="1" applyFont="1" applyFill="1" applyBorder="1" applyAlignment="1">
      <alignment horizontal="center" vertical="top"/>
    </xf>
    <xf numFmtId="49" fontId="1" fillId="8" borderId="10" xfId="0" applyNumberFormat="1" applyFont="1" applyFill="1" applyBorder="1" applyAlignment="1">
      <alignment horizontal="center" vertical="top"/>
    </xf>
    <xf numFmtId="3" fontId="1" fillId="7" borderId="71" xfId="0" applyNumberFormat="1" applyFont="1" applyFill="1" applyBorder="1" applyAlignment="1">
      <alignment horizontal="center" vertical="top"/>
    </xf>
    <xf numFmtId="165" fontId="1" fillId="7" borderId="47" xfId="0" applyNumberFormat="1" applyFont="1" applyFill="1" applyBorder="1" applyAlignment="1">
      <alignment vertical="top" wrapText="1"/>
    </xf>
    <xf numFmtId="165" fontId="1" fillId="7" borderId="16" xfId="0" applyNumberFormat="1" applyFont="1" applyFill="1" applyBorder="1" applyAlignment="1">
      <alignment horizontal="center" vertical="top"/>
    </xf>
    <xf numFmtId="165" fontId="1" fillId="7" borderId="1" xfId="0" applyNumberFormat="1" applyFont="1" applyFill="1" applyBorder="1" applyAlignment="1">
      <alignment vertical="top" wrapText="1"/>
    </xf>
    <xf numFmtId="3" fontId="9" fillId="7" borderId="106" xfId="0" applyNumberFormat="1" applyFont="1" applyFill="1" applyBorder="1" applyAlignment="1">
      <alignment horizontal="center" vertical="top"/>
    </xf>
    <xf numFmtId="3" fontId="9" fillId="7" borderId="67" xfId="0" applyNumberFormat="1" applyFont="1" applyFill="1" applyBorder="1" applyAlignment="1">
      <alignment horizontal="center" vertical="top"/>
    </xf>
    <xf numFmtId="3" fontId="9" fillId="7" borderId="101" xfId="0" applyNumberFormat="1" applyFont="1" applyFill="1" applyBorder="1" applyAlignment="1">
      <alignment horizontal="center" vertical="top"/>
    </xf>
    <xf numFmtId="3" fontId="1" fillId="7" borderId="114" xfId="0" applyNumberFormat="1" applyFont="1" applyFill="1" applyBorder="1" applyAlignment="1">
      <alignment horizontal="center" vertical="top"/>
    </xf>
    <xf numFmtId="0" fontId="7" fillId="0" borderId="9" xfId="0" applyFont="1" applyBorder="1" applyAlignment="1">
      <alignment horizontal="center" vertical="center" wrapText="1"/>
    </xf>
    <xf numFmtId="165" fontId="1" fillId="0" borderId="0" xfId="0" applyNumberFormat="1" applyFont="1" applyFill="1" applyBorder="1" applyAlignment="1">
      <alignment horizontal="left" vertical="top"/>
    </xf>
    <xf numFmtId="49" fontId="1" fillId="8" borderId="10" xfId="0" applyNumberFormat="1" applyFont="1" applyFill="1" applyBorder="1" applyAlignment="1">
      <alignment horizontal="center" vertical="center" textRotation="90"/>
    </xf>
    <xf numFmtId="165" fontId="1" fillId="8" borderId="5" xfId="0" applyNumberFormat="1" applyFont="1" applyFill="1" applyBorder="1" applyAlignment="1">
      <alignment horizontal="center" vertical="top"/>
    </xf>
    <xf numFmtId="165" fontId="1" fillId="8" borderId="34" xfId="0" applyNumberFormat="1" applyFont="1" applyFill="1" applyBorder="1" applyAlignment="1">
      <alignment horizontal="center" vertical="top"/>
    </xf>
    <xf numFmtId="165" fontId="1" fillId="8" borderId="0" xfId="0" applyNumberFormat="1" applyFont="1" applyFill="1" applyBorder="1" applyAlignment="1">
      <alignment horizontal="center" vertical="top"/>
    </xf>
    <xf numFmtId="165" fontId="1" fillId="8" borderId="10" xfId="0" applyNumberFormat="1" applyFont="1" applyFill="1" applyBorder="1" applyAlignment="1">
      <alignment horizontal="center" vertical="top"/>
    </xf>
    <xf numFmtId="165" fontId="1" fillId="8" borderId="5" xfId="0" applyNumberFormat="1" applyFont="1" applyFill="1" applyBorder="1" applyAlignment="1">
      <alignment horizontal="left" vertical="top" wrapText="1"/>
    </xf>
    <xf numFmtId="165" fontId="1" fillId="8" borderId="43" xfId="0" applyNumberFormat="1" applyFont="1" applyFill="1" applyBorder="1" applyAlignment="1">
      <alignment horizontal="center" vertical="top"/>
    </xf>
    <xf numFmtId="165" fontId="2" fillId="7" borderId="84" xfId="0" applyNumberFormat="1" applyFont="1" applyFill="1" applyBorder="1" applyAlignment="1">
      <alignment horizontal="center" vertical="center" textRotation="90" wrapText="1"/>
    </xf>
    <xf numFmtId="165" fontId="1" fillId="8" borderId="115" xfId="0" applyNumberFormat="1" applyFont="1" applyFill="1" applyBorder="1" applyAlignment="1">
      <alignment horizontal="center" vertical="top" wrapText="1"/>
    </xf>
    <xf numFmtId="165" fontId="1" fillId="8" borderId="115" xfId="0" applyNumberFormat="1" applyFont="1" applyFill="1" applyBorder="1" applyAlignment="1">
      <alignment horizontal="center" vertical="top"/>
    </xf>
    <xf numFmtId="165" fontId="1" fillId="8" borderId="104" xfId="0" applyNumberFormat="1" applyFont="1" applyFill="1" applyBorder="1" applyAlignment="1">
      <alignment horizontal="center" vertical="top"/>
    </xf>
    <xf numFmtId="165" fontId="1" fillId="7" borderId="83" xfId="0" applyNumberFormat="1" applyFont="1" applyFill="1" applyBorder="1" applyAlignment="1">
      <alignment horizontal="center" vertical="top"/>
    </xf>
    <xf numFmtId="165" fontId="2" fillId="8" borderId="10" xfId="0" applyNumberFormat="1" applyFont="1" applyFill="1" applyBorder="1" applyAlignment="1">
      <alignment vertical="top" wrapText="1"/>
    </xf>
    <xf numFmtId="165" fontId="2" fillId="7" borderId="70" xfId="0" applyNumberFormat="1" applyFont="1" applyFill="1" applyBorder="1" applyAlignment="1">
      <alignment vertical="top" wrapText="1"/>
    </xf>
    <xf numFmtId="0" fontId="1" fillId="0" borderId="6" xfId="0" applyFont="1" applyBorder="1" applyAlignment="1">
      <alignment vertical="top"/>
    </xf>
    <xf numFmtId="0" fontId="1" fillId="7" borderId="84" xfId="0" applyFont="1" applyFill="1" applyBorder="1" applyAlignment="1">
      <alignment vertical="top" wrapText="1"/>
    </xf>
    <xf numFmtId="165" fontId="1" fillId="7" borderId="68" xfId="0" applyNumberFormat="1" applyFont="1" applyFill="1" applyBorder="1" applyAlignment="1">
      <alignment horizontal="center" vertical="top"/>
    </xf>
    <xf numFmtId="49" fontId="1" fillId="7" borderId="41" xfId="0" applyNumberFormat="1" applyFont="1" applyFill="1" applyBorder="1" applyAlignment="1">
      <alignment horizontal="center" vertical="top"/>
    </xf>
    <xf numFmtId="49" fontId="1" fillId="7" borderId="94" xfId="0" applyNumberFormat="1" applyFont="1" applyFill="1" applyBorder="1" applyAlignment="1">
      <alignment horizontal="center" vertical="top"/>
    </xf>
    <xf numFmtId="49" fontId="1" fillId="7" borderId="69" xfId="0" applyNumberFormat="1" applyFont="1" applyFill="1" applyBorder="1" applyAlignment="1">
      <alignment horizontal="center" vertical="top"/>
    </xf>
    <xf numFmtId="0" fontId="1" fillId="7" borderId="32" xfId="0" applyFont="1" applyFill="1" applyBorder="1" applyAlignment="1">
      <alignment vertical="top"/>
    </xf>
    <xf numFmtId="0" fontId="1" fillId="7" borderId="84" xfId="0" applyFont="1" applyFill="1" applyBorder="1" applyAlignment="1">
      <alignment vertical="top"/>
    </xf>
    <xf numFmtId="3" fontId="1" fillId="7" borderId="66" xfId="0" applyNumberFormat="1" applyFont="1" applyFill="1" applyBorder="1" applyAlignment="1">
      <alignment horizontal="center" vertical="top"/>
    </xf>
    <xf numFmtId="165" fontId="1" fillId="7" borderId="104" xfId="0" applyNumberFormat="1" applyFont="1" applyFill="1" applyBorder="1" applyAlignment="1">
      <alignment horizontal="center" vertical="top"/>
    </xf>
    <xf numFmtId="3" fontId="1" fillId="7" borderId="41" xfId="0" applyNumberFormat="1" applyFont="1" applyFill="1" applyBorder="1" applyAlignment="1">
      <alignment horizontal="center" vertical="center"/>
    </xf>
    <xf numFmtId="165" fontId="1" fillId="7" borderId="94" xfId="0" applyNumberFormat="1" applyFont="1" applyFill="1" applyBorder="1" applyAlignment="1">
      <alignment horizontal="center" vertical="top"/>
    </xf>
    <xf numFmtId="165" fontId="1" fillId="7" borderId="92" xfId="0" applyNumberFormat="1" applyFont="1" applyFill="1" applyBorder="1" applyAlignment="1">
      <alignment horizontal="center" vertical="top"/>
    </xf>
    <xf numFmtId="165" fontId="1" fillId="0" borderId="92" xfId="0" applyNumberFormat="1" applyFont="1" applyFill="1" applyBorder="1" applyAlignment="1">
      <alignment horizontal="center" vertical="top"/>
    </xf>
    <xf numFmtId="49" fontId="1" fillId="0" borderId="94" xfId="0" applyNumberFormat="1" applyFont="1" applyFill="1" applyBorder="1" applyAlignment="1">
      <alignment horizontal="center" vertical="top"/>
    </xf>
    <xf numFmtId="0" fontId="1" fillId="0" borderId="116" xfId="0" applyFont="1" applyBorder="1" applyAlignment="1">
      <alignment vertical="top"/>
    </xf>
    <xf numFmtId="165" fontId="1" fillId="7" borderId="115" xfId="0" applyNumberFormat="1" applyFont="1" applyFill="1" applyBorder="1" applyAlignment="1">
      <alignment vertical="top"/>
    </xf>
    <xf numFmtId="49" fontId="1" fillId="7" borderId="77" xfId="0" applyNumberFormat="1" applyFont="1" applyFill="1" applyBorder="1" applyAlignment="1">
      <alignment horizontal="center" vertical="top"/>
    </xf>
    <xf numFmtId="0" fontId="1" fillId="7" borderId="43" xfId="0" applyNumberFormat="1" applyFont="1" applyFill="1" applyBorder="1" applyAlignment="1">
      <alignment horizontal="center" vertical="top" wrapText="1"/>
    </xf>
    <xf numFmtId="0" fontId="1" fillId="7" borderId="43" xfId="0" applyFont="1" applyFill="1" applyBorder="1" applyAlignment="1">
      <alignment horizontal="center" vertical="top"/>
    </xf>
    <xf numFmtId="0" fontId="1" fillId="7" borderId="43" xfId="0" applyNumberFormat="1" applyFont="1" applyFill="1" applyBorder="1" applyAlignment="1">
      <alignment horizontal="center" vertical="top"/>
    </xf>
    <xf numFmtId="165" fontId="7" fillId="8" borderId="51" xfId="0" applyNumberFormat="1" applyFont="1" applyFill="1" applyBorder="1" applyAlignment="1">
      <alignment horizontal="center" vertical="center" textRotation="90" wrapText="1"/>
    </xf>
    <xf numFmtId="165" fontId="2" fillId="8" borderId="117" xfId="0" applyNumberFormat="1" applyFont="1" applyFill="1" applyBorder="1" applyAlignment="1">
      <alignment horizontal="center" vertical="top"/>
    </xf>
    <xf numFmtId="0" fontId="1" fillId="7" borderId="26" xfId="0" applyNumberFormat="1" applyFont="1" applyFill="1" applyBorder="1" applyAlignment="1">
      <alignment horizontal="center" vertical="top"/>
    </xf>
    <xf numFmtId="0" fontId="1" fillId="7" borderId="25" xfId="0" applyNumberFormat="1" applyFont="1" applyFill="1" applyBorder="1" applyAlignment="1">
      <alignment horizontal="center" vertical="top"/>
    </xf>
    <xf numFmtId="165" fontId="2" fillId="8" borderId="118" xfId="0" applyNumberFormat="1" applyFont="1" applyFill="1" applyBorder="1" applyAlignment="1">
      <alignment horizontal="center" vertical="top"/>
    </xf>
    <xf numFmtId="0" fontId="1" fillId="7" borderId="104" xfId="0" applyNumberFormat="1" applyFont="1" applyFill="1" applyBorder="1" applyAlignment="1">
      <alignment horizontal="center" vertical="top"/>
    </xf>
    <xf numFmtId="0" fontId="1" fillId="7" borderId="110" xfId="0" applyNumberFormat="1" applyFont="1" applyFill="1" applyBorder="1" applyAlignment="1">
      <alignment horizontal="center" vertical="top"/>
    </xf>
    <xf numFmtId="0" fontId="1" fillId="7" borderId="115"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2" fillId="8" borderId="2" xfId="0" applyNumberFormat="1" applyFont="1" applyFill="1" applyBorder="1" applyAlignment="1">
      <alignment horizontal="center" vertical="top"/>
    </xf>
    <xf numFmtId="165" fontId="1" fillId="7" borderId="71" xfId="0" applyNumberFormat="1" applyFont="1" applyFill="1" applyBorder="1" applyAlignment="1">
      <alignment horizontal="center" vertical="top"/>
    </xf>
    <xf numFmtId="3" fontId="1" fillId="7" borderId="69" xfId="0" applyNumberFormat="1" applyFont="1" applyFill="1" applyBorder="1" applyAlignment="1">
      <alignment horizontal="center" vertical="top"/>
    </xf>
    <xf numFmtId="3" fontId="1" fillId="7" borderId="100" xfId="0" applyNumberFormat="1" applyFont="1" applyFill="1" applyBorder="1" applyAlignment="1">
      <alignment horizontal="center" vertical="top"/>
    </xf>
    <xf numFmtId="3" fontId="1" fillId="7" borderId="34" xfId="0" applyNumberFormat="1" applyFont="1" applyFill="1" applyBorder="1" applyAlignment="1">
      <alignment horizontal="center" vertical="top"/>
    </xf>
    <xf numFmtId="165" fontId="1" fillId="7" borderId="87" xfId="0" applyNumberFormat="1" applyFont="1" applyFill="1" applyBorder="1" applyAlignment="1">
      <alignment horizontal="center" vertical="top"/>
    </xf>
    <xf numFmtId="165" fontId="1" fillId="7" borderId="66" xfId="0" applyNumberFormat="1" applyFont="1" applyFill="1" applyBorder="1" applyAlignment="1">
      <alignment horizontal="center" vertical="top"/>
    </xf>
    <xf numFmtId="165" fontId="1" fillId="7" borderId="115" xfId="0" applyNumberFormat="1" applyFont="1" applyFill="1" applyBorder="1" applyAlignment="1">
      <alignment horizontal="center" vertical="top"/>
    </xf>
    <xf numFmtId="0" fontId="1" fillId="0" borderId="44" xfId="0" applyFont="1" applyBorder="1" applyAlignment="1">
      <alignment vertical="top"/>
    </xf>
    <xf numFmtId="0" fontId="1" fillId="0" borderId="17" xfId="0" applyFont="1" applyBorder="1" applyAlignment="1">
      <alignment vertical="top"/>
    </xf>
    <xf numFmtId="3" fontId="1" fillId="7" borderId="41" xfId="0" applyNumberFormat="1" applyFont="1" applyFill="1" applyBorder="1" applyAlignment="1">
      <alignment horizontal="center" vertical="top" wrapText="1"/>
    </xf>
    <xf numFmtId="0" fontId="1" fillId="7" borderId="5" xfId="0" applyFont="1" applyFill="1" applyBorder="1" applyAlignment="1">
      <alignment horizontal="center" vertical="top"/>
    </xf>
    <xf numFmtId="165" fontId="2" fillId="8" borderId="53" xfId="0" applyNumberFormat="1" applyFont="1" applyFill="1" applyBorder="1" applyAlignment="1">
      <alignment horizontal="center" vertical="top"/>
    </xf>
    <xf numFmtId="165" fontId="9" fillId="8" borderId="118" xfId="0" applyNumberFormat="1" applyFont="1" applyFill="1" applyBorder="1" applyAlignment="1">
      <alignment horizontal="left" vertical="top" wrapText="1"/>
    </xf>
    <xf numFmtId="3" fontId="1" fillId="7" borderId="100" xfId="0" applyNumberFormat="1" applyFont="1" applyFill="1" applyBorder="1" applyAlignment="1">
      <alignment horizontal="center" vertical="top" wrapText="1"/>
    </xf>
    <xf numFmtId="3" fontId="1" fillId="7" borderId="79" xfId="0" applyNumberFormat="1" applyFont="1" applyFill="1" applyBorder="1" applyAlignment="1">
      <alignment horizontal="center" vertical="top" wrapText="1"/>
    </xf>
    <xf numFmtId="3" fontId="1" fillId="7" borderId="92" xfId="0" applyNumberFormat="1" applyFont="1" applyFill="1" applyBorder="1" applyAlignment="1">
      <alignment horizontal="center" vertical="top" wrapText="1"/>
    </xf>
    <xf numFmtId="49" fontId="1" fillId="7" borderId="96" xfId="0" applyNumberFormat="1" applyFont="1" applyFill="1" applyBorder="1" applyAlignment="1">
      <alignment horizontal="center" vertical="top"/>
    </xf>
    <xf numFmtId="3" fontId="12" fillId="7" borderId="95"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49" fontId="1" fillId="7" borderId="27" xfId="3" applyNumberFormat="1" applyFont="1" applyFill="1" applyBorder="1" applyAlignment="1">
      <alignment horizontal="center" vertical="top"/>
    </xf>
    <xf numFmtId="49" fontId="1" fillId="7" borderId="26" xfId="3"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0" fontId="2" fillId="0" borderId="26" xfId="0" applyFont="1" applyBorder="1" applyAlignment="1">
      <alignment horizontal="center" vertical="center"/>
    </xf>
    <xf numFmtId="3" fontId="9" fillId="7" borderId="100" xfId="0" applyNumberFormat="1" applyFont="1" applyFill="1" applyBorder="1" applyAlignment="1">
      <alignment horizontal="center" vertical="top"/>
    </xf>
    <xf numFmtId="165" fontId="1" fillId="7" borderId="78" xfId="0" applyNumberFormat="1" applyFont="1" applyFill="1" applyBorder="1" applyAlignment="1">
      <alignment horizontal="center" vertical="top"/>
    </xf>
    <xf numFmtId="0" fontId="1" fillId="0" borderId="22" xfId="0" applyFont="1" applyBorder="1" applyAlignment="1">
      <alignment horizontal="center" vertical="top"/>
    </xf>
    <xf numFmtId="0" fontId="1" fillId="0" borderId="26" xfId="0" applyFont="1" applyBorder="1" applyAlignment="1">
      <alignment vertical="top"/>
    </xf>
    <xf numFmtId="165" fontId="1" fillId="7" borderId="5" xfId="0" applyNumberFormat="1" applyFont="1" applyFill="1" applyBorder="1" applyAlignment="1">
      <alignment horizontal="center" vertical="top" wrapText="1"/>
    </xf>
    <xf numFmtId="165" fontId="1" fillId="7" borderId="34" xfId="0" applyNumberFormat="1" applyFont="1" applyFill="1" applyBorder="1" applyAlignment="1">
      <alignment horizontal="center" vertical="top" wrapText="1"/>
    </xf>
    <xf numFmtId="3" fontId="12" fillId="7" borderId="66" xfId="0" applyNumberFormat="1" applyFont="1" applyFill="1" applyBorder="1" applyAlignment="1">
      <alignment horizontal="center" vertical="top"/>
    </xf>
    <xf numFmtId="165" fontId="2" fillId="7" borderId="0" xfId="0" applyNumberFormat="1" applyFont="1" applyFill="1" applyBorder="1" applyAlignment="1">
      <alignment horizontal="center" vertical="top" wrapText="1"/>
    </xf>
    <xf numFmtId="0" fontId="12" fillId="7" borderId="85" xfId="0" applyFont="1" applyFill="1" applyBorder="1" applyAlignment="1">
      <alignment vertical="top" wrapText="1"/>
    </xf>
    <xf numFmtId="0" fontId="1" fillId="7" borderId="80" xfId="0" applyNumberFormat="1" applyFont="1" applyFill="1" applyBorder="1" applyAlignment="1">
      <alignment horizontal="center" vertical="top"/>
    </xf>
    <xf numFmtId="165" fontId="1" fillId="7" borderId="43" xfId="0" applyNumberFormat="1" applyFont="1" applyFill="1" applyBorder="1" applyAlignment="1">
      <alignment horizontal="left" vertical="top" wrapText="1"/>
    </xf>
    <xf numFmtId="0" fontId="1" fillId="7" borderId="19" xfId="0" applyNumberFormat="1" applyFont="1" applyFill="1" applyBorder="1" applyAlignment="1">
      <alignment horizontal="center" vertical="top"/>
    </xf>
    <xf numFmtId="3" fontId="12" fillId="7" borderId="43" xfId="0" applyNumberFormat="1" applyFont="1" applyFill="1" applyBorder="1" applyAlignment="1">
      <alignment horizontal="center" vertical="top"/>
    </xf>
    <xf numFmtId="49" fontId="1" fillId="7" borderId="92" xfId="0" applyNumberFormat="1" applyFont="1" applyFill="1" applyBorder="1" applyAlignment="1">
      <alignment horizontal="center" vertical="top"/>
    </xf>
    <xf numFmtId="3" fontId="1" fillId="7" borderId="114" xfId="0" applyNumberFormat="1" applyFont="1" applyFill="1" applyBorder="1" applyAlignment="1">
      <alignment horizontal="center" vertical="top" wrapText="1"/>
    </xf>
    <xf numFmtId="0" fontId="1" fillId="7" borderId="75" xfId="0" applyFont="1" applyFill="1" applyBorder="1" applyAlignment="1">
      <alignment vertical="top" wrapText="1"/>
    </xf>
    <xf numFmtId="3" fontId="1" fillId="7" borderId="20"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0" fontId="1" fillId="7" borderId="32" xfId="0" applyFont="1" applyFill="1" applyBorder="1" applyAlignment="1">
      <alignment horizontal="center" vertical="top"/>
    </xf>
    <xf numFmtId="3" fontId="1" fillId="7" borderId="96" xfId="0" applyNumberFormat="1" applyFont="1" applyFill="1" applyBorder="1" applyAlignment="1">
      <alignment horizontal="center" vertical="top"/>
    </xf>
    <xf numFmtId="3" fontId="1" fillId="7" borderId="111" xfId="0" applyNumberFormat="1" applyFont="1" applyFill="1" applyBorder="1" applyAlignment="1">
      <alignment horizontal="center" vertical="top"/>
    </xf>
    <xf numFmtId="3" fontId="1" fillId="7" borderId="97" xfId="0" applyNumberFormat="1" applyFont="1" applyFill="1" applyBorder="1" applyAlignment="1">
      <alignment horizontal="center" vertical="top"/>
    </xf>
    <xf numFmtId="3" fontId="1" fillId="7" borderId="54" xfId="0" applyNumberFormat="1" applyFont="1" applyFill="1" applyBorder="1" applyAlignment="1">
      <alignment horizontal="center" vertical="top" wrapText="1"/>
    </xf>
    <xf numFmtId="3" fontId="1" fillId="7" borderId="1"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wrapText="1"/>
    </xf>
    <xf numFmtId="0" fontId="12" fillId="7" borderId="21" xfId="0" applyFont="1" applyFill="1" applyBorder="1" applyAlignment="1">
      <alignment vertical="top" wrapText="1"/>
    </xf>
    <xf numFmtId="3" fontId="1" fillId="7" borderId="15" xfId="0" applyNumberFormat="1" applyFont="1" applyFill="1" applyBorder="1" applyAlignment="1">
      <alignment horizontal="center" vertical="top" wrapText="1"/>
    </xf>
    <xf numFmtId="165" fontId="1" fillId="7" borderId="20" xfId="0" applyNumberFormat="1" applyFont="1" applyFill="1" applyBorder="1" applyAlignment="1">
      <alignment vertical="top" wrapText="1"/>
    </xf>
    <xf numFmtId="0" fontId="21" fillId="7" borderId="19" xfId="0" applyFont="1" applyFill="1" applyBorder="1" applyAlignment="1">
      <alignment vertical="top" wrapText="1"/>
    </xf>
    <xf numFmtId="0" fontId="21" fillId="7" borderId="1" xfId="0" applyFont="1" applyFill="1" applyBorder="1" applyAlignment="1">
      <alignment vertical="top" wrapText="1"/>
    </xf>
    <xf numFmtId="165" fontId="1" fillId="7" borderId="115" xfId="0" applyNumberFormat="1" applyFont="1" applyFill="1" applyBorder="1" applyAlignment="1">
      <alignment horizontal="center" vertical="top" wrapText="1"/>
    </xf>
    <xf numFmtId="3" fontId="1" fillId="7" borderId="34" xfId="0" applyNumberFormat="1" applyFont="1" applyFill="1" applyBorder="1" applyAlignment="1">
      <alignment vertical="top"/>
    </xf>
    <xf numFmtId="3" fontId="1" fillId="7" borderId="6" xfId="0" applyNumberFormat="1" applyFont="1" applyFill="1" applyBorder="1" applyAlignment="1">
      <alignment vertical="top"/>
    </xf>
    <xf numFmtId="3" fontId="1" fillId="7" borderId="100" xfId="0" applyNumberFormat="1" applyFont="1" applyFill="1" applyBorder="1" applyAlignment="1">
      <alignment vertical="top"/>
    </xf>
    <xf numFmtId="3" fontId="1" fillId="7" borderId="19" xfId="0" applyNumberFormat="1" applyFont="1" applyFill="1" applyBorder="1" applyAlignment="1">
      <alignment vertical="top"/>
    </xf>
    <xf numFmtId="3" fontId="1" fillId="7" borderId="67" xfId="0" applyNumberFormat="1" applyFont="1" applyFill="1" applyBorder="1" applyAlignment="1">
      <alignment vertical="top"/>
    </xf>
    <xf numFmtId="3" fontId="1" fillId="7" borderId="20" xfId="0" applyNumberFormat="1" applyFont="1" applyFill="1" applyBorder="1" applyAlignment="1">
      <alignment vertical="top"/>
    </xf>
    <xf numFmtId="3" fontId="1" fillId="7" borderId="17" xfId="0" applyNumberFormat="1" applyFont="1" applyFill="1" applyBorder="1" applyAlignment="1">
      <alignment vertical="top"/>
    </xf>
    <xf numFmtId="3" fontId="1" fillId="7" borderId="68" xfId="0" applyNumberFormat="1" applyFont="1" applyFill="1" applyBorder="1" applyAlignment="1">
      <alignment vertical="top"/>
    </xf>
    <xf numFmtId="0" fontId="1" fillId="0" borderId="7" xfId="0" applyFont="1" applyBorder="1" applyAlignment="1">
      <alignment vertical="top"/>
    </xf>
    <xf numFmtId="3" fontId="1" fillId="7" borderId="15" xfId="0" applyNumberFormat="1" applyFont="1" applyFill="1" applyBorder="1" applyAlignment="1">
      <alignment vertical="top"/>
    </xf>
    <xf numFmtId="3" fontId="1" fillId="7" borderId="44"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0" fontId="1" fillId="0" borderId="27" xfId="0" applyFont="1" applyBorder="1" applyAlignment="1">
      <alignment horizontal="center" vertical="center"/>
    </xf>
    <xf numFmtId="0" fontId="1" fillId="7" borderId="88" xfId="0" applyFont="1" applyFill="1" applyBorder="1" applyAlignment="1">
      <alignment horizontal="left" vertical="top" wrapText="1"/>
    </xf>
    <xf numFmtId="3" fontId="1" fillId="7" borderId="96" xfId="0" applyNumberFormat="1" applyFont="1" applyFill="1" applyBorder="1" applyAlignment="1">
      <alignment vertical="top" wrapText="1"/>
    </xf>
    <xf numFmtId="0" fontId="12" fillId="7" borderId="87" xfId="0" applyFont="1" applyFill="1" applyBorder="1" applyAlignment="1">
      <alignment vertical="top" wrapText="1"/>
    </xf>
    <xf numFmtId="49" fontId="1" fillId="7" borderId="95" xfId="0" applyNumberFormat="1" applyFont="1" applyFill="1" applyBorder="1" applyAlignment="1">
      <alignment horizontal="center" vertical="top"/>
    </xf>
    <xf numFmtId="49" fontId="1" fillId="7" borderId="91" xfId="0" applyNumberFormat="1" applyFont="1" applyFill="1" applyBorder="1" applyAlignment="1">
      <alignment horizontal="center" vertical="top"/>
    </xf>
    <xf numFmtId="3" fontId="1" fillId="7" borderId="95" xfId="0" applyNumberFormat="1" applyFont="1" applyFill="1" applyBorder="1" applyAlignment="1">
      <alignment horizontal="center" vertical="center"/>
    </xf>
    <xf numFmtId="3" fontId="1" fillId="7" borderId="110" xfId="0" applyNumberFormat="1" applyFont="1" applyFill="1" applyBorder="1" applyAlignment="1">
      <alignment horizontal="center" vertical="center"/>
    </xf>
    <xf numFmtId="3" fontId="1" fillId="7" borderId="104" xfId="0" applyNumberFormat="1" applyFont="1" applyFill="1" applyBorder="1" applyAlignment="1">
      <alignment horizontal="center" vertical="center"/>
    </xf>
    <xf numFmtId="3" fontId="1" fillId="7" borderId="91" xfId="0" applyNumberFormat="1" applyFont="1" applyFill="1" applyBorder="1" applyAlignment="1">
      <alignment horizontal="center" vertical="center"/>
    </xf>
    <xf numFmtId="0" fontId="1" fillId="7" borderId="88" xfId="0" applyFont="1" applyFill="1" applyBorder="1" applyAlignment="1">
      <alignment horizontal="center" vertical="top"/>
    </xf>
    <xf numFmtId="3" fontId="1" fillId="7" borderId="66" xfId="0" applyNumberFormat="1" applyFont="1" applyFill="1" applyBorder="1" applyAlignment="1">
      <alignment horizontal="center" vertical="center"/>
    </xf>
    <xf numFmtId="3" fontId="1" fillId="7" borderId="115" xfId="0" applyNumberFormat="1" applyFont="1" applyFill="1" applyBorder="1" applyAlignment="1">
      <alignment horizontal="center" vertical="center"/>
    </xf>
    <xf numFmtId="0" fontId="1" fillId="7" borderId="88" xfId="0" applyFont="1" applyFill="1" applyBorder="1" applyAlignment="1">
      <alignment vertical="top"/>
    </xf>
    <xf numFmtId="0" fontId="1" fillId="7" borderId="89" xfId="0" applyFont="1" applyFill="1" applyBorder="1" applyAlignment="1">
      <alignment vertical="top"/>
    </xf>
    <xf numFmtId="0" fontId="1" fillId="7" borderId="111" xfId="0" applyFont="1" applyFill="1" applyBorder="1" applyAlignment="1">
      <alignment vertical="top"/>
    </xf>
    <xf numFmtId="167" fontId="1" fillId="7" borderId="26" xfId="0" applyNumberFormat="1" applyFont="1" applyFill="1" applyBorder="1" applyAlignment="1">
      <alignment horizontal="center" vertical="center"/>
    </xf>
    <xf numFmtId="167" fontId="1" fillId="7" borderId="25" xfId="0" applyNumberFormat="1" applyFont="1" applyFill="1" applyBorder="1" applyAlignment="1">
      <alignment horizontal="center" vertical="center"/>
    </xf>
    <xf numFmtId="165" fontId="1" fillId="0" borderId="46" xfId="0" applyNumberFormat="1" applyFont="1" applyFill="1" applyBorder="1" applyAlignment="1">
      <alignment vertical="top"/>
    </xf>
    <xf numFmtId="3" fontId="1" fillId="7" borderId="111" xfId="0" applyNumberFormat="1" applyFont="1" applyFill="1" applyBorder="1" applyAlignment="1">
      <alignment horizontal="center" vertical="top" wrapText="1"/>
    </xf>
    <xf numFmtId="49" fontId="1" fillId="7" borderId="90" xfId="0" applyNumberFormat="1" applyFont="1" applyFill="1" applyBorder="1" applyAlignment="1">
      <alignment horizontal="center" vertical="top"/>
    </xf>
    <xf numFmtId="0" fontId="1" fillId="7" borderId="102" xfId="0" applyFont="1" applyFill="1" applyBorder="1" applyAlignment="1">
      <alignment vertical="top"/>
    </xf>
    <xf numFmtId="165" fontId="1" fillId="7" borderId="111" xfId="0" applyNumberFormat="1" applyFont="1" applyFill="1" applyBorder="1" applyAlignment="1">
      <alignment horizontal="center" vertical="top"/>
    </xf>
    <xf numFmtId="0" fontId="1" fillId="7" borderId="111" xfId="0" applyNumberFormat="1" applyFont="1" applyFill="1" applyBorder="1" applyAlignment="1">
      <alignment horizontal="center" vertical="top"/>
    </xf>
    <xf numFmtId="49" fontId="1" fillId="7" borderId="102" xfId="0" applyNumberFormat="1" applyFont="1" applyFill="1" applyBorder="1" applyAlignment="1">
      <alignment horizontal="center" vertical="top"/>
    </xf>
    <xf numFmtId="0" fontId="1" fillId="7" borderId="85" xfId="0" applyFont="1" applyFill="1" applyBorder="1" applyAlignment="1">
      <alignment horizontal="center" vertical="center"/>
    </xf>
    <xf numFmtId="0" fontId="1" fillId="7" borderId="22" xfId="0" applyFont="1" applyFill="1" applyBorder="1" applyAlignment="1">
      <alignment horizontal="center" vertical="center"/>
    </xf>
    <xf numFmtId="0" fontId="1" fillId="0" borderId="83" xfId="0" applyFont="1" applyBorder="1" applyAlignment="1">
      <alignment vertical="top"/>
    </xf>
    <xf numFmtId="49" fontId="1" fillId="7" borderId="34" xfId="0" applyNumberFormat="1" applyFont="1" applyFill="1" applyBorder="1" applyAlignment="1">
      <alignment horizontal="center" vertical="top"/>
    </xf>
    <xf numFmtId="49" fontId="1" fillId="7" borderId="20" xfId="0" applyNumberFormat="1" applyFont="1" applyFill="1" applyBorder="1" applyAlignment="1">
      <alignment horizontal="center" vertical="top"/>
    </xf>
    <xf numFmtId="165" fontId="1" fillId="7" borderId="20"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165" fontId="1" fillId="2" borderId="60" xfId="0" applyNumberFormat="1" applyFont="1" applyFill="1" applyBorder="1" applyAlignment="1">
      <alignment horizontal="center" vertical="top" wrapText="1"/>
    </xf>
    <xf numFmtId="0" fontId="1" fillId="7" borderId="7" xfId="0" applyFont="1" applyFill="1" applyBorder="1" applyAlignment="1">
      <alignment vertical="top" wrapText="1"/>
    </xf>
    <xf numFmtId="165" fontId="1" fillId="7" borderId="5" xfId="0" applyNumberFormat="1" applyFont="1" applyFill="1" applyBorder="1" applyAlignment="1">
      <alignment vertical="top" wrapText="1"/>
    </xf>
    <xf numFmtId="165" fontId="6" fillId="7" borderId="22" xfId="0" applyNumberFormat="1" applyFont="1" applyFill="1" applyBorder="1" applyAlignment="1">
      <alignment vertical="top" wrapText="1"/>
    </xf>
    <xf numFmtId="165" fontId="1" fillId="7" borderId="10" xfId="0" applyNumberFormat="1" applyFont="1" applyFill="1" applyBorder="1" applyAlignment="1">
      <alignment horizontal="lef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19" xfId="0" applyNumberFormat="1" applyFont="1" applyFill="1" applyBorder="1" applyAlignment="1">
      <alignment horizontal="left" vertical="top" wrapText="1"/>
    </xf>
    <xf numFmtId="0" fontId="18" fillId="7" borderId="17" xfId="0" applyFont="1" applyFill="1" applyBorder="1" applyAlignment="1">
      <alignment vertical="top" wrapText="1"/>
    </xf>
    <xf numFmtId="165"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1" fillId="7" borderId="10" xfId="0" applyNumberFormat="1" applyFont="1" applyFill="1" applyBorder="1" applyAlignment="1">
      <alignment horizontal="center" vertical="top" wrapText="1"/>
    </xf>
    <xf numFmtId="49" fontId="2" fillId="7" borderId="19" xfId="0" applyNumberFormat="1" applyFont="1" applyFill="1" applyBorder="1" applyAlignment="1">
      <alignment horizontal="center" vertical="top"/>
    </xf>
    <xf numFmtId="49" fontId="2" fillId="7" borderId="26" xfId="0" applyNumberFormat="1" applyFont="1" applyFill="1" applyBorder="1" applyAlignment="1">
      <alignment horizontal="center" vertical="top"/>
    </xf>
    <xf numFmtId="165" fontId="2" fillId="7" borderId="19" xfId="0" applyNumberFormat="1" applyFont="1" applyFill="1" applyBorder="1" applyAlignment="1">
      <alignment horizontal="center" vertical="center" textRotation="90" wrapText="1"/>
    </xf>
    <xf numFmtId="165" fontId="2" fillId="7" borderId="10" xfId="0" applyNumberFormat="1" applyFont="1" applyFill="1" applyBorder="1" applyAlignment="1">
      <alignment horizontal="center" vertical="center" textRotation="90" wrapText="1"/>
    </xf>
    <xf numFmtId="165" fontId="2" fillId="7" borderId="26" xfId="0" applyNumberFormat="1" applyFont="1" applyFill="1" applyBorder="1" applyAlignment="1">
      <alignment horizontal="center" vertical="center" textRotation="90" wrapText="1"/>
    </xf>
    <xf numFmtId="49" fontId="2" fillId="7" borderId="10" xfId="0" applyNumberFormat="1" applyFont="1" applyFill="1" applyBorder="1" applyAlignment="1">
      <alignment horizontal="center" vertical="top"/>
    </xf>
    <xf numFmtId="165" fontId="1" fillId="7" borderId="7" xfId="0" applyNumberFormat="1" applyFont="1" applyFill="1" applyBorder="1" applyAlignment="1">
      <alignment horizontal="left" vertical="top" wrapText="1"/>
    </xf>
    <xf numFmtId="165" fontId="1" fillId="7" borderId="22" xfId="0" applyNumberFormat="1" applyFont="1" applyFill="1" applyBorder="1" applyAlignment="1">
      <alignment horizontal="left" vertical="top" wrapText="1"/>
    </xf>
    <xf numFmtId="165" fontId="2" fillId="7" borderId="26" xfId="0" applyNumberFormat="1" applyFont="1" applyFill="1" applyBorder="1" applyAlignment="1">
      <alignment horizontal="center" vertical="top" wrapText="1"/>
    </xf>
    <xf numFmtId="165" fontId="1" fillId="7" borderId="26" xfId="0" applyNumberFormat="1" applyFont="1" applyFill="1" applyBorder="1" applyAlignment="1">
      <alignment vertical="top" wrapText="1"/>
    </xf>
    <xf numFmtId="49" fontId="1" fillId="7" borderId="0" xfId="0" applyNumberFormat="1" applyFont="1" applyFill="1" applyBorder="1" applyAlignment="1">
      <alignment horizontal="center" vertical="top"/>
    </xf>
    <xf numFmtId="49" fontId="1" fillId="7" borderId="65" xfId="0" applyNumberFormat="1" applyFont="1" applyFill="1" applyBorder="1" applyAlignment="1">
      <alignment horizontal="center" vertical="top"/>
    </xf>
    <xf numFmtId="165" fontId="1" fillId="7" borderId="44" xfId="0" applyNumberFormat="1" applyFont="1" applyFill="1" applyBorder="1" applyAlignment="1">
      <alignment vertical="top" wrapText="1"/>
    </xf>
    <xf numFmtId="165" fontId="1" fillId="7" borderId="10" xfId="0" applyNumberFormat="1" applyFont="1" applyFill="1" applyBorder="1" applyAlignment="1">
      <alignment vertical="top" wrapText="1"/>
    </xf>
    <xf numFmtId="0" fontId="1" fillId="7" borderId="85" xfId="0" applyFont="1" applyFill="1" applyBorder="1" applyAlignment="1">
      <alignment horizontal="left" vertical="top" wrapText="1"/>
    </xf>
    <xf numFmtId="0" fontId="1" fillId="7" borderId="22" xfId="0" applyFont="1" applyFill="1" applyBorder="1" applyAlignment="1">
      <alignment horizontal="left" vertical="top" wrapText="1"/>
    </xf>
    <xf numFmtId="0" fontId="6" fillId="7" borderId="10" xfId="0" applyFont="1" applyFill="1" applyBorder="1" applyAlignment="1">
      <alignment vertical="top" wrapText="1"/>
    </xf>
    <xf numFmtId="165" fontId="2" fillId="7" borderId="10" xfId="0" applyNumberFormat="1" applyFont="1" applyFill="1" applyBorder="1" applyAlignment="1">
      <alignment horizontal="center" vertical="center" wrapText="1"/>
    </xf>
    <xf numFmtId="165" fontId="2" fillId="9" borderId="6"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0" fontId="6" fillId="0" borderId="17" xfId="0" applyFont="1" applyBorder="1" applyAlignment="1">
      <alignment horizontal="center" vertical="top" wrapText="1"/>
    </xf>
    <xf numFmtId="165" fontId="1" fillId="7" borderId="5" xfId="0" applyNumberFormat="1" applyFont="1" applyFill="1" applyBorder="1" applyAlignment="1">
      <alignment horizontal="left" vertical="top" wrapText="1"/>
    </xf>
    <xf numFmtId="165" fontId="1" fillId="7" borderId="20" xfId="0" applyNumberFormat="1" applyFont="1" applyFill="1" applyBorder="1" applyAlignment="1">
      <alignment horizontal="center" vertical="center" wrapText="1"/>
    </xf>
    <xf numFmtId="165" fontId="1" fillId="7" borderId="17" xfId="0" applyNumberFormat="1" applyFont="1" applyFill="1" applyBorder="1" applyAlignment="1">
      <alignment horizontal="center" vertical="center" wrapText="1"/>
    </xf>
    <xf numFmtId="165" fontId="1" fillId="7" borderId="84" xfId="0" applyNumberFormat="1" applyFont="1" applyFill="1" applyBorder="1" applyAlignment="1">
      <alignment horizontal="left" vertical="top" wrapText="1"/>
    </xf>
    <xf numFmtId="165" fontId="1" fillId="7" borderId="44" xfId="0" applyNumberFormat="1" applyFont="1" applyFill="1" applyBorder="1" applyAlignment="1">
      <alignment horizontal="left" vertical="top" wrapText="1"/>
    </xf>
    <xf numFmtId="165" fontId="2" fillId="8" borderId="10" xfId="0" applyNumberFormat="1" applyFont="1" applyFill="1" applyBorder="1" applyAlignment="1">
      <alignment horizontal="center" vertical="top"/>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165" fontId="1" fillId="7" borderId="68" xfId="0" applyNumberFormat="1" applyFont="1" applyFill="1" applyBorder="1" applyAlignment="1">
      <alignment horizontal="center" vertical="top" wrapText="1"/>
    </xf>
    <xf numFmtId="0" fontId="6" fillId="7" borderId="5" xfId="0" applyFont="1" applyFill="1" applyBorder="1" applyAlignment="1">
      <alignment horizontal="left" vertical="top" wrapText="1"/>
    </xf>
    <xf numFmtId="0" fontId="6" fillId="7" borderId="17" xfId="0"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top" wrapText="1"/>
    </xf>
    <xf numFmtId="0" fontId="1" fillId="7" borderId="5" xfId="0" applyFont="1" applyFill="1" applyBorder="1" applyAlignment="1">
      <alignment horizontal="left" vertical="top" wrapText="1"/>
    </xf>
    <xf numFmtId="0" fontId="13" fillId="7" borderId="10" xfId="0" applyFont="1" applyFill="1" applyBorder="1" applyAlignment="1">
      <alignment horizontal="center" vertical="top" wrapText="1"/>
    </xf>
    <xf numFmtId="165" fontId="2" fillId="9" borderId="32" xfId="0" applyNumberFormat="1" applyFont="1" applyFill="1" applyBorder="1" applyAlignment="1">
      <alignment horizontal="center" vertical="top"/>
    </xf>
    <xf numFmtId="165" fontId="1" fillId="7" borderId="85" xfId="0" applyNumberFormat="1" applyFont="1" applyFill="1" applyBorder="1" applyAlignment="1">
      <alignment vertical="top" wrapText="1"/>
    </xf>
    <xf numFmtId="0" fontId="6" fillId="0" borderId="78" xfId="0" applyFont="1" applyBorder="1" applyAlignment="1">
      <alignment horizontal="left" vertical="top" wrapText="1"/>
    </xf>
    <xf numFmtId="165" fontId="1" fillId="7" borderId="33" xfId="0" applyNumberFormat="1" applyFont="1" applyFill="1" applyBorder="1" applyAlignment="1">
      <alignment horizontal="left" vertical="top" wrapText="1"/>
    </xf>
    <xf numFmtId="49" fontId="1" fillId="7" borderId="104" xfId="0" applyNumberFormat="1" applyFont="1" applyFill="1" applyBorder="1" applyAlignment="1">
      <alignment horizontal="center" vertical="top"/>
    </xf>
    <xf numFmtId="49" fontId="1" fillId="7" borderId="86" xfId="0" applyNumberFormat="1" applyFont="1" applyFill="1" applyBorder="1" applyAlignment="1">
      <alignment horizontal="center" vertical="top"/>
    </xf>
    <xf numFmtId="0" fontId="1" fillId="0" borderId="10" xfId="0" applyFont="1" applyBorder="1" applyAlignment="1">
      <alignment horizontal="center" vertical="top"/>
    </xf>
    <xf numFmtId="3" fontId="12" fillId="7" borderId="18" xfId="0" applyNumberFormat="1" applyFont="1" applyFill="1" applyBorder="1" applyAlignment="1">
      <alignment horizontal="center" vertical="top"/>
    </xf>
    <xf numFmtId="165" fontId="2" fillId="7" borderId="100"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165" fontId="1" fillId="0" borderId="71" xfId="0" applyNumberFormat="1" applyFont="1" applyFill="1" applyBorder="1" applyAlignment="1">
      <alignment horizontal="center" vertical="top"/>
    </xf>
    <xf numFmtId="0" fontId="1" fillId="7" borderId="18" xfId="0" applyFont="1" applyFill="1" applyBorder="1" applyAlignment="1">
      <alignment horizontal="center" vertical="top"/>
    </xf>
    <xf numFmtId="0" fontId="1" fillId="7" borderId="18" xfId="0" applyNumberFormat="1" applyFont="1" applyFill="1" applyBorder="1" applyAlignment="1">
      <alignment horizontal="center" vertical="top"/>
    </xf>
    <xf numFmtId="0" fontId="1" fillId="7" borderId="66" xfId="0" applyNumberFormat="1" applyFont="1" applyFill="1" applyBorder="1" applyAlignment="1">
      <alignment horizontal="center" vertical="top"/>
    </xf>
    <xf numFmtId="0" fontId="1" fillId="7" borderId="73" xfId="0" applyNumberFormat="1" applyFont="1" applyFill="1" applyBorder="1" applyAlignment="1">
      <alignment horizontal="center" vertical="top"/>
    </xf>
    <xf numFmtId="0" fontId="1" fillId="7" borderId="34" xfId="0" applyNumberFormat="1" applyFont="1" applyFill="1" applyBorder="1" applyAlignment="1">
      <alignment horizontal="center" vertical="top"/>
    </xf>
    <xf numFmtId="0" fontId="1" fillId="7" borderId="6" xfId="0" applyNumberFormat="1" applyFont="1" applyFill="1" applyBorder="1" applyAlignment="1">
      <alignment horizontal="center" vertical="top"/>
    </xf>
    <xf numFmtId="0" fontId="1" fillId="7" borderId="27" xfId="0" applyNumberFormat="1" applyFont="1" applyFill="1" applyBorder="1" applyAlignment="1">
      <alignment horizontal="center" vertical="top"/>
    </xf>
    <xf numFmtId="3" fontId="5" fillId="7" borderId="18" xfId="0" applyNumberFormat="1" applyFont="1" applyFill="1" applyBorder="1" applyAlignment="1">
      <alignment horizontal="center" vertical="top" wrapText="1"/>
    </xf>
    <xf numFmtId="0" fontId="6" fillId="7" borderId="16" xfId="0" applyFont="1" applyFill="1" applyBorder="1" applyAlignment="1">
      <alignment vertical="top" wrapText="1"/>
    </xf>
    <xf numFmtId="3" fontId="1" fillId="7" borderId="99" xfId="0" applyNumberFormat="1" applyFont="1" applyFill="1" applyBorder="1" applyAlignment="1">
      <alignment horizontal="center" vertical="top" wrapText="1"/>
    </xf>
    <xf numFmtId="165" fontId="1" fillId="0" borderId="27" xfId="0" applyNumberFormat="1" applyFont="1" applyBorder="1" applyAlignment="1">
      <alignment horizontal="center" vertical="top"/>
    </xf>
    <xf numFmtId="0" fontId="6" fillId="8" borderId="30" xfId="0" applyFont="1" applyFill="1" applyBorder="1" applyAlignment="1">
      <alignment vertical="top" wrapText="1"/>
    </xf>
    <xf numFmtId="0" fontId="6" fillId="8" borderId="30" xfId="0" applyFont="1" applyFill="1" applyBorder="1" applyAlignment="1">
      <alignment horizontal="center" vertical="top"/>
    </xf>
    <xf numFmtId="0" fontId="6" fillId="7" borderId="24" xfId="0" applyFont="1" applyFill="1" applyBorder="1" applyAlignment="1">
      <alignment horizontal="center" vertical="top"/>
    </xf>
    <xf numFmtId="0" fontId="6" fillId="7" borderId="25" xfId="0" applyFont="1" applyFill="1" applyBorder="1" applyAlignment="1">
      <alignment horizontal="center" vertical="top"/>
    </xf>
    <xf numFmtId="0" fontId="1" fillId="7" borderId="42"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44"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84" xfId="0" applyFont="1" applyFill="1" applyBorder="1" applyAlignment="1">
      <alignment horizontal="center" vertical="center"/>
    </xf>
    <xf numFmtId="49" fontId="1" fillId="7" borderId="71" xfId="0" applyNumberFormat="1" applyFont="1" applyFill="1" applyBorder="1" applyAlignment="1">
      <alignment horizontal="center" vertical="top"/>
    </xf>
    <xf numFmtId="165" fontId="1" fillId="7" borderId="26" xfId="0" applyNumberFormat="1" applyFont="1" applyFill="1" applyBorder="1" applyAlignment="1">
      <alignment horizontal="left" vertical="top" wrapText="1"/>
    </xf>
    <xf numFmtId="165" fontId="1" fillId="7" borderId="19" xfId="0" applyNumberFormat="1" applyFont="1" applyFill="1" applyBorder="1" applyAlignment="1">
      <alignment horizontal="left" vertical="top" wrapText="1"/>
    </xf>
    <xf numFmtId="165" fontId="1" fillId="7" borderId="17" xfId="0" applyNumberFormat="1" applyFont="1" applyFill="1" applyBorder="1" applyAlignment="1">
      <alignment horizontal="center" vertical="top" wrapText="1"/>
    </xf>
    <xf numFmtId="165" fontId="2" fillId="2"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center" textRotation="90" wrapText="1"/>
    </xf>
    <xf numFmtId="165" fontId="2" fillId="9" borderId="6" xfId="0" applyNumberFormat="1" applyFont="1" applyFill="1" applyBorder="1" applyAlignment="1">
      <alignment horizontal="center" vertical="top"/>
    </xf>
    <xf numFmtId="165" fontId="1" fillId="7" borderId="75" xfId="0" applyNumberFormat="1" applyFont="1" applyFill="1" applyBorder="1" applyAlignment="1">
      <alignment horizontal="center" vertical="top" wrapText="1"/>
    </xf>
    <xf numFmtId="165" fontId="2" fillId="7" borderId="70" xfId="0" applyNumberFormat="1" applyFont="1" applyFill="1" applyBorder="1" applyAlignment="1">
      <alignment horizontal="center" vertical="top"/>
    </xf>
    <xf numFmtId="3" fontId="1" fillId="7" borderId="69" xfId="0" applyNumberFormat="1" applyFont="1" applyFill="1" applyBorder="1" applyAlignment="1">
      <alignment horizontal="center" vertical="top" wrapText="1"/>
    </xf>
    <xf numFmtId="3" fontId="1" fillId="7" borderId="70" xfId="0" applyNumberFormat="1" applyFont="1" applyFill="1" applyBorder="1" applyAlignment="1">
      <alignment horizontal="center" vertical="top" wrapText="1"/>
    </xf>
    <xf numFmtId="3" fontId="1" fillId="7" borderId="71" xfId="0" applyNumberFormat="1" applyFont="1" applyFill="1" applyBorder="1" applyAlignment="1">
      <alignment horizontal="center" vertical="top" wrapText="1"/>
    </xf>
    <xf numFmtId="49" fontId="2" fillId="7" borderId="19"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0" fontId="21" fillId="7" borderId="10" xfId="0" applyFont="1" applyFill="1" applyBorder="1" applyAlignment="1">
      <alignment vertical="top" wrapText="1"/>
    </xf>
    <xf numFmtId="167" fontId="1" fillId="7" borderId="84" xfId="0" applyNumberFormat="1" applyFont="1" applyFill="1" applyBorder="1" applyAlignment="1">
      <alignment horizontal="center" vertical="center"/>
    </xf>
    <xf numFmtId="167" fontId="1" fillId="7" borderId="114" xfId="0" applyNumberFormat="1" applyFont="1" applyFill="1" applyBorder="1" applyAlignment="1">
      <alignment horizontal="center" vertical="center"/>
    </xf>
    <xf numFmtId="0" fontId="1" fillId="0" borderId="80" xfId="0" applyFont="1" applyBorder="1" applyAlignment="1">
      <alignment horizontal="center" vertical="top"/>
    </xf>
    <xf numFmtId="165" fontId="23" fillId="7" borderId="25"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165" fontId="1" fillId="7" borderId="5" xfId="0" applyNumberFormat="1" applyFont="1" applyFill="1" applyBorder="1" applyAlignment="1">
      <alignment horizontal="left" vertical="top" wrapText="1"/>
    </xf>
    <xf numFmtId="165" fontId="2" fillId="2" borderId="44" xfId="0" applyNumberFormat="1" applyFont="1" applyFill="1" applyBorder="1" applyAlignment="1">
      <alignment horizontal="center" vertical="top"/>
    </xf>
    <xf numFmtId="165" fontId="2" fillId="7" borderId="44" xfId="0" applyNumberFormat="1" applyFont="1" applyFill="1" applyBorder="1" applyAlignment="1">
      <alignment horizontal="center" vertical="top" wrapText="1"/>
    </xf>
    <xf numFmtId="49" fontId="22" fillId="7" borderId="100" xfId="0" applyNumberFormat="1" applyFont="1" applyFill="1" applyBorder="1" applyAlignment="1">
      <alignment horizontal="center" vertical="top"/>
    </xf>
    <xf numFmtId="165" fontId="1" fillId="7" borderId="25"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0" fontId="1" fillId="7" borderId="7" xfId="0" applyFont="1" applyFill="1" applyBorder="1" applyAlignment="1">
      <alignment vertical="top" wrapText="1"/>
    </xf>
    <xf numFmtId="0" fontId="1" fillId="7" borderId="26" xfId="0" applyFont="1" applyFill="1" applyBorder="1" applyAlignment="1">
      <alignment horizontal="center" vertical="center"/>
    </xf>
    <xf numFmtId="167" fontId="1" fillId="7" borderId="10" xfId="0" applyNumberFormat="1" applyFont="1" applyFill="1" applyBorder="1" applyAlignment="1">
      <alignment horizontal="center" vertical="center"/>
    </xf>
    <xf numFmtId="167" fontId="1" fillId="7" borderId="17" xfId="0" applyNumberFormat="1" applyFont="1" applyFill="1" applyBorder="1" applyAlignment="1">
      <alignment horizontal="center" vertical="center"/>
    </xf>
    <xf numFmtId="0" fontId="1" fillId="7" borderId="75" xfId="0" applyFont="1" applyFill="1" applyBorder="1" applyAlignment="1">
      <alignment vertical="center" wrapText="1"/>
    </xf>
    <xf numFmtId="3" fontId="1" fillId="7" borderId="69" xfId="0" applyNumberFormat="1" applyFont="1" applyFill="1" applyBorder="1" applyAlignment="1">
      <alignment vertical="top"/>
    </xf>
    <xf numFmtId="3" fontId="1" fillId="7" borderId="27" xfId="0" applyNumberFormat="1" applyFont="1" applyFill="1" applyBorder="1" applyAlignment="1">
      <alignment vertical="top"/>
    </xf>
    <xf numFmtId="3" fontId="1" fillId="7" borderId="83" xfId="0" applyNumberFormat="1" applyFont="1" applyFill="1" applyBorder="1" applyAlignment="1">
      <alignment vertical="top"/>
    </xf>
    <xf numFmtId="3" fontId="1" fillId="7" borderId="10" xfId="0" applyNumberFormat="1" applyFont="1" applyFill="1" applyBorder="1" applyAlignment="1">
      <alignment vertical="top"/>
    </xf>
    <xf numFmtId="3" fontId="1" fillId="7" borderId="25" xfId="0" applyNumberFormat="1" applyFont="1" applyFill="1" applyBorder="1" applyAlignment="1">
      <alignment vertical="top"/>
    </xf>
    <xf numFmtId="165" fontId="1" fillId="7" borderId="17"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xf>
    <xf numFmtId="49" fontId="1" fillId="7" borderId="6" xfId="0" applyNumberFormat="1" applyFont="1" applyFill="1" applyBorder="1" applyAlignment="1">
      <alignment horizontal="center" vertical="top"/>
    </xf>
    <xf numFmtId="49" fontId="1" fillId="7" borderId="1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xf>
    <xf numFmtId="165" fontId="2" fillId="7" borderId="44"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1" fillId="7" borderId="0" xfId="0" applyNumberFormat="1" applyFont="1" applyFill="1" applyBorder="1" applyAlignment="1">
      <alignment horizontal="center" vertical="top"/>
    </xf>
    <xf numFmtId="165" fontId="2" fillId="9" borderId="32" xfId="0" applyNumberFormat="1" applyFont="1" applyFill="1" applyBorder="1" applyAlignment="1">
      <alignment horizontal="center" vertical="top"/>
    </xf>
    <xf numFmtId="165" fontId="1" fillId="7" borderId="20"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165" fontId="2" fillId="2" borderId="44"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2"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center" textRotation="90" wrapText="1"/>
    </xf>
    <xf numFmtId="165" fontId="2" fillId="9" borderId="6" xfId="0" applyNumberFormat="1" applyFont="1" applyFill="1" applyBorder="1" applyAlignment="1">
      <alignment horizontal="center" vertical="top"/>
    </xf>
    <xf numFmtId="3" fontId="1" fillId="7" borderId="15" xfId="0" applyNumberFormat="1" applyFont="1" applyFill="1" applyBorder="1" applyAlignment="1">
      <alignment horizontal="center" vertical="top"/>
    </xf>
    <xf numFmtId="3" fontId="1" fillId="7" borderId="16" xfId="0" applyNumberFormat="1" applyFont="1" applyFill="1" applyBorder="1" applyAlignment="1">
      <alignment horizontal="center" vertical="top"/>
    </xf>
    <xf numFmtId="165" fontId="2" fillId="9" borderId="32" xfId="0" applyNumberFormat="1" applyFont="1" applyFill="1" applyBorder="1" applyAlignment="1">
      <alignment horizontal="center" vertical="top"/>
    </xf>
    <xf numFmtId="165" fontId="2" fillId="7" borderId="26" xfId="0" applyNumberFormat="1" applyFont="1" applyFill="1" applyBorder="1" applyAlignment="1">
      <alignment horizontal="center" vertical="top" wrapText="1"/>
    </xf>
    <xf numFmtId="165" fontId="2" fillId="2" borderId="44"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top" wrapText="1"/>
    </xf>
    <xf numFmtId="49" fontId="1" fillId="7" borderId="119" xfId="0" applyNumberFormat="1" applyFont="1" applyFill="1" applyBorder="1" applyAlignment="1">
      <alignment horizontal="center" vertical="top"/>
    </xf>
    <xf numFmtId="165" fontId="2" fillId="7" borderId="67" xfId="0" applyNumberFormat="1" applyFont="1" applyFill="1" applyBorder="1" applyAlignment="1">
      <alignment vertical="top" wrapText="1"/>
    </xf>
    <xf numFmtId="0" fontId="1" fillId="7" borderId="74" xfId="0" applyFont="1" applyFill="1" applyBorder="1" applyAlignment="1">
      <alignment vertical="top" wrapText="1"/>
    </xf>
    <xf numFmtId="165" fontId="1" fillId="7" borderId="84" xfId="0" applyNumberFormat="1" applyFont="1" applyFill="1" applyBorder="1" applyAlignment="1">
      <alignment vertical="top" wrapText="1"/>
    </xf>
    <xf numFmtId="165" fontId="2" fillId="7" borderId="104" xfId="0" applyNumberFormat="1" applyFont="1" applyFill="1" applyBorder="1" applyAlignment="1">
      <alignment vertical="top" wrapText="1"/>
    </xf>
    <xf numFmtId="49" fontId="1" fillId="7" borderId="120" xfId="0" applyNumberFormat="1" applyFont="1" applyFill="1" applyBorder="1" applyAlignment="1">
      <alignment horizontal="center" vertical="top"/>
    </xf>
    <xf numFmtId="0" fontId="1" fillId="7" borderId="43" xfId="0" applyFont="1" applyFill="1" applyBorder="1" applyAlignment="1">
      <alignment vertical="top" wrapText="1"/>
    </xf>
    <xf numFmtId="0" fontId="1" fillId="7" borderId="121" xfId="0" applyFont="1" applyFill="1" applyBorder="1" applyAlignment="1">
      <alignment vertical="top" wrapText="1"/>
    </xf>
    <xf numFmtId="165" fontId="1" fillId="7" borderId="104" xfId="0" applyNumberFormat="1" applyFont="1" applyFill="1" applyBorder="1" applyAlignment="1">
      <alignment horizontal="left" vertical="top" wrapText="1"/>
    </xf>
    <xf numFmtId="0" fontId="12" fillId="7" borderId="22" xfId="0" applyFont="1" applyFill="1" applyBorder="1" applyAlignment="1">
      <alignment vertical="top" wrapText="1"/>
    </xf>
    <xf numFmtId="165" fontId="1" fillId="7" borderId="10" xfId="0" applyNumberFormat="1" applyFont="1" applyFill="1" applyBorder="1" applyAlignment="1">
      <alignment horizontal="center" vertical="top"/>
    </xf>
    <xf numFmtId="165" fontId="2" fillId="7" borderId="19" xfId="0" applyNumberFormat="1" applyFont="1" applyFill="1" applyBorder="1" applyAlignment="1">
      <alignment horizontal="center" vertical="center" textRotation="90" wrapText="1"/>
    </xf>
    <xf numFmtId="165" fontId="2" fillId="7" borderId="10" xfId="0" applyNumberFormat="1" applyFont="1" applyFill="1" applyBorder="1" applyAlignment="1">
      <alignment horizontal="center" vertical="center" textRotation="90" wrapText="1"/>
    </xf>
    <xf numFmtId="165" fontId="2" fillId="7" borderId="26" xfId="0" applyNumberFormat="1" applyFont="1" applyFill="1" applyBorder="1" applyAlignment="1">
      <alignment horizontal="center" vertical="center" textRotation="90" wrapText="1"/>
    </xf>
    <xf numFmtId="0" fontId="13" fillId="7" borderId="10" xfId="0" applyFont="1" applyFill="1" applyBorder="1" applyAlignment="1">
      <alignment horizontal="center" vertical="top" wrapText="1"/>
    </xf>
    <xf numFmtId="0" fontId="1" fillId="7" borderId="17" xfId="0" applyFont="1" applyFill="1" applyBorder="1" applyAlignment="1">
      <alignment horizontal="center" vertical="top" wrapText="1"/>
    </xf>
    <xf numFmtId="0" fontId="16" fillId="0" borderId="0" xfId="0" applyFont="1" applyFill="1" applyAlignment="1">
      <alignment vertical="top" wrapText="1"/>
    </xf>
    <xf numFmtId="0" fontId="1" fillId="0" borderId="73" xfId="0" applyFont="1" applyBorder="1" applyAlignment="1">
      <alignment horizontal="center" vertical="top"/>
    </xf>
    <xf numFmtId="165" fontId="1" fillId="7" borderId="22" xfId="1" applyNumberFormat="1" applyFont="1" applyFill="1" applyBorder="1" applyAlignment="1">
      <alignment horizontal="center" vertical="top" wrapText="1"/>
    </xf>
    <xf numFmtId="165" fontId="2" fillId="8" borderId="112" xfId="0" applyNumberFormat="1" applyFont="1" applyFill="1" applyBorder="1" applyAlignment="1">
      <alignment horizontal="center" vertical="top"/>
    </xf>
    <xf numFmtId="0" fontId="1" fillId="0" borderId="25" xfId="0" applyFont="1" applyBorder="1" applyAlignment="1">
      <alignment vertical="top"/>
    </xf>
    <xf numFmtId="165" fontId="13" fillId="7" borderId="19" xfId="0" applyNumberFormat="1" applyFont="1" applyFill="1" applyBorder="1" applyAlignment="1">
      <alignment horizontal="center" vertical="center" textRotation="90" wrapText="1"/>
    </xf>
    <xf numFmtId="3" fontId="1" fillId="0" borderId="104" xfId="0" applyNumberFormat="1" applyFont="1" applyFill="1" applyBorder="1" applyAlignment="1">
      <alignment horizontal="center" vertical="top"/>
    </xf>
    <xf numFmtId="0" fontId="21" fillId="7" borderId="104" xfId="0" applyFont="1" applyFill="1" applyBorder="1" applyAlignment="1">
      <alignment vertical="top" wrapText="1"/>
    </xf>
    <xf numFmtId="0" fontId="1" fillId="7" borderId="7" xfId="0" applyFont="1" applyFill="1" applyBorder="1" applyAlignment="1">
      <alignment vertical="center" wrapText="1"/>
    </xf>
    <xf numFmtId="0" fontId="1" fillId="7" borderId="0" xfId="0" applyFont="1" applyFill="1" applyBorder="1" applyAlignment="1">
      <alignment vertical="top"/>
    </xf>
    <xf numFmtId="0" fontId="1" fillId="7" borderId="10" xfId="0" applyFont="1" applyFill="1" applyBorder="1" applyAlignment="1">
      <alignment vertical="top"/>
    </xf>
    <xf numFmtId="0" fontId="1" fillId="7" borderId="40" xfId="0" applyFont="1" applyFill="1" applyBorder="1" applyAlignment="1">
      <alignment vertical="top"/>
    </xf>
    <xf numFmtId="0" fontId="1" fillId="7" borderId="27" xfId="0" applyFont="1" applyFill="1" applyBorder="1" applyAlignment="1">
      <alignment vertical="top"/>
    </xf>
    <xf numFmtId="0" fontId="1" fillId="7" borderId="25" xfId="0" applyFont="1" applyFill="1" applyBorder="1" applyAlignment="1">
      <alignment vertical="top"/>
    </xf>
    <xf numFmtId="165" fontId="2" fillId="7" borderId="44" xfId="0" applyNumberFormat="1" applyFont="1" applyFill="1" applyBorder="1" applyAlignment="1">
      <alignment vertical="top" wrapText="1"/>
    </xf>
    <xf numFmtId="165" fontId="7" fillId="7" borderId="44" xfId="0" applyNumberFormat="1" applyFont="1" applyFill="1" applyBorder="1" applyAlignment="1">
      <alignment horizontal="center" vertical="top" wrapText="1"/>
    </xf>
    <xf numFmtId="165" fontId="1" fillId="7" borderId="0" xfId="0" applyNumberFormat="1" applyFont="1" applyFill="1" applyBorder="1" applyAlignment="1">
      <alignment vertical="top"/>
    </xf>
    <xf numFmtId="165" fontId="1" fillId="7" borderId="10" xfId="0" applyNumberFormat="1" applyFont="1" applyFill="1" applyBorder="1" applyAlignment="1">
      <alignment vertical="top"/>
    </xf>
    <xf numFmtId="165" fontId="1" fillId="7" borderId="40" xfId="0" applyNumberFormat="1" applyFont="1" applyFill="1" applyBorder="1" applyAlignment="1">
      <alignment vertical="top"/>
    </xf>
    <xf numFmtId="165" fontId="1" fillId="7" borderId="104" xfId="0" applyNumberFormat="1" applyFont="1" applyFill="1" applyBorder="1" applyAlignment="1">
      <alignment vertical="top" wrapText="1"/>
    </xf>
    <xf numFmtId="165" fontId="7" fillId="7" borderId="38" xfId="0" applyNumberFormat="1" applyFont="1" applyFill="1" applyBorder="1" applyAlignment="1">
      <alignment horizontal="center" vertical="top" wrapText="1"/>
    </xf>
    <xf numFmtId="165" fontId="7" fillId="7" borderId="26" xfId="0" applyNumberFormat="1" applyFont="1" applyFill="1" applyBorder="1" applyAlignment="1">
      <alignment horizontal="center" vertical="top" wrapText="1"/>
    </xf>
    <xf numFmtId="165" fontId="1" fillId="7" borderId="37" xfId="0" applyNumberFormat="1" applyFont="1" applyFill="1" applyBorder="1" applyAlignment="1">
      <alignment horizontal="center" vertical="top"/>
    </xf>
    <xf numFmtId="165" fontId="1" fillId="7" borderId="4" xfId="0" applyNumberFormat="1" applyFont="1" applyFill="1" applyBorder="1" applyAlignment="1">
      <alignment vertical="top"/>
    </xf>
    <xf numFmtId="165" fontId="1" fillId="7" borderId="23" xfId="0" applyNumberFormat="1" applyFont="1" applyFill="1" applyBorder="1" applyAlignment="1">
      <alignment vertical="top"/>
    </xf>
    <xf numFmtId="165" fontId="1" fillId="7" borderId="24" xfId="0" applyNumberFormat="1" applyFont="1" applyFill="1" applyBorder="1" applyAlignment="1">
      <alignment vertical="top"/>
    </xf>
    <xf numFmtId="165" fontId="1" fillId="7" borderId="37" xfId="0" applyNumberFormat="1" applyFont="1" applyFill="1" applyBorder="1" applyAlignment="1">
      <alignment horizontal="left" vertical="top" wrapText="1"/>
    </xf>
    <xf numFmtId="165" fontId="1" fillId="7" borderId="24" xfId="0" applyNumberFormat="1" applyFont="1" applyFill="1" applyBorder="1" applyAlignment="1">
      <alignment horizontal="center" vertical="top"/>
    </xf>
    <xf numFmtId="165" fontId="6" fillId="7" borderId="5" xfId="0" applyNumberFormat="1" applyFont="1" applyFill="1" applyBorder="1" applyAlignment="1">
      <alignment vertical="top" wrapText="1"/>
    </xf>
    <xf numFmtId="0" fontId="1" fillId="7" borderId="5" xfId="0" applyFont="1" applyFill="1" applyBorder="1" applyAlignment="1">
      <alignment horizontal="center" vertical="center"/>
    </xf>
    <xf numFmtId="165" fontId="1" fillId="7" borderId="10"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center" wrapText="1"/>
    </xf>
    <xf numFmtId="165" fontId="2" fillId="7" borderId="26" xfId="0" applyNumberFormat="1" applyFont="1" applyFill="1" applyBorder="1" applyAlignment="1">
      <alignment horizontal="center" vertical="top" wrapText="1"/>
    </xf>
    <xf numFmtId="165" fontId="2" fillId="7" borderId="10" xfId="0" applyNumberFormat="1" applyFont="1" applyFill="1" applyBorder="1" applyAlignment="1">
      <alignment vertical="top" wrapText="1"/>
    </xf>
    <xf numFmtId="165" fontId="2" fillId="7" borderId="19" xfId="0" applyNumberFormat="1" applyFont="1" applyFill="1" applyBorder="1" applyAlignment="1">
      <alignment horizontal="center" vertical="center" wrapText="1"/>
    </xf>
    <xf numFmtId="165" fontId="2" fillId="7" borderId="10" xfId="0" applyNumberFormat="1" applyFont="1" applyFill="1" applyBorder="1" applyAlignment="1">
      <alignment horizontal="center" vertical="center" wrapText="1"/>
    </xf>
    <xf numFmtId="165" fontId="2" fillId="7" borderId="42"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0" fontId="1" fillId="7" borderId="85" xfId="0" applyFont="1" applyFill="1" applyBorder="1" applyAlignment="1">
      <alignment horizontal="center" vertical="top"/>
    </xf>
    <xf numFmtId="3" fontId="1" fillId="7" borderId="6" xfId="0" applyNumberFormat="1" applyFont="1" applyFill="1" applyBorder="1" applyAlignment="1">
      <alignment horizontal="center" vertical="top"/>
    </xf>
    <xf numFmtId="0" fontId="1" fillId="7" borderId="78" xfId="0" applyFont="1" applyFill="1" applyBorder="1" applyAlignment="1">
      <alignment horizontal="center" vertical="top"/>
    </xf>
    <xf numFmtId="0" fontId="12" fillId="7" borderId="78" xfId="0" applyFont="1" applyFill="1" applyBorder="1" applyAlignment="1">
      <alignment vertical="top" wrapText="1"/>
    </xf>
    <xf numFmtId="3" fontId="1" fillId="7" borderId="68" xfId="0" applyNumberFormat="1" applyFont="1" applyFill="1" applyBorder="1" applyAlignment="1">
      <alignment horizontal="center" vertical="top"/>
    </xf>
    <xf numFmtId="3" fontId="1" fillId="7" borderId="83" xfId="0" applyNumberFormat="1" applyFont="1" applyFill="1" applyBorder="1" applyAlignment="1">
      <alignment horizontal="center" vertical="top"/>
    </xf>
    <xf numFmtId="165" fontId="1" fillId="7" borderId="4" xfId="0" applyNumberFormat="1" applyFont="1" applyFill="1" applyBorder="1" applyAlignment="1">
      <alignment horizontal="center" vertical="top"/>
    </xf>
    <xf numFmtId="0" fontId="1" fillId="0" borderId="65" xfId="0" applyFont="1" applyBorder="1" applyAlignment="1">
      <alignment horizontal="center" vertical="top"/>
    </xf>
    <xf numFmtId="165" fontId="1" fillId="0" borderId="65" xfId="0" applyNumberFormat="1" applyFont="1" applyBorder="1" applyAlignment="1">
      <alignment vertical="top"/>
    </xf>
    <xf numFmtId="0" fontId="3" fillId="7" borderId="42" xfId="0" applyFont="1" applyFill="1" applyBorder="1" applyAlignment="1">
      <alignment horizontal="center" vertical="top" wrapText="1"/>
    </xf>
    <xf numFmtId="0" fontId="2" fillId="7" borderId="20" xfId="0" applyFont="1" applyFill="1" applyBorder="1" applyAlignment="1">
      <alignment horizontal="center" vertical="top" wrapText="1"/>
    </xf>
    <xf numFmtId="0" fontId="2" fillId="7" borderId="44" xfId="0" applyFont="1" applyFill="1" applyBorder="1" applyAlignment="1">
      <alignment horizontal="center" vertical="top" wrapText="1"/>
    </xf>
    <xf numFmtId="0" fontId="13" fillId="7" borderId="10" xfId="0" applyFont="1" applyFill="1" applyBorder="1" applyAlignment="1">
      <alignment vertical="top" wrapText="1"/>
    </xf>
    <xf numFmtId="0" fontId="2" fillId="7" borderId="42" xfId="0" applyFont="1" applyFill="1" applyBorder="1" applyAlignment="1">
      <alignment horizontal="center" vertical="top" wrapText="1"/>
    </xf>
    <xf numFmtId="165" fontId="7" fillId="7" borderId="42" xfId="0" applyNumberFormat="1" applyFont="1" applyFill="1" applyBorder="1" applyAlignment="1">
      <alignment horizontal="center" vertical="top" wrapText="1"/>
    </xf>
    <xf numFmtId="165" fontId="2" fillId="7" borderId="25" xfId="0" applyNumberFormat="1" applyFont="1" applyFill="1" applyBorder="1" applyAlignment="1">
      <alignment horizontal="center" vertical="top" wrapText="1"/>
    </xf>
    <xf numFmtId="165" fontId="7" fillId="7" borderId="44" xfId="0" applyNumberFormat="1" applyFont="1" applyFill="1" applyBorder="1" applyAlignment="1">
      <alignment vertical="top" wrapText="1"/>
    </xf>
    <xf numFmtId="165" fontId="2" fillId="7" borderId="25" xfId="0" applyNumberFormat="1" applyFont="1" applyFill="1" applyBorder="1" applyAlignment="1">
      <alignment horizontal="center" vertical="center" textRotation="90" wrapText="1"/>
    </xf>
    <xf numFmtId="165" fontId="2" fillId="7" borderId="114" xfId="0" applyNumberFormat="1" applyFont="1" applyFill="1" applyBorder="1" applyAlignment="1">
      <alignment horizontal="center" vertical="top" wrapText="1"/>
    </xf>
    <xf numFmtId="165" fontId="2" fillId="7" borderId="115" xfId="0" applyNumberFormat="1" applyFont="1" applyFill="1" applyBorder="1" applyAlignment="1">
      <alignment horizontal="center" vertical="top" wrapText="1"/>
    </xf>
    <xf numFmtId="165" fontId="2" fillId="7" borderId="68" xfId="0" applyNumberFormat="1" applyFont="1" applyFill="1" applyBorder="1" applyAlignment="1">
      <alignment horizontal="center" vertical="top" wrapText="1"/>
    </xf>
    <xf numFmtId="165" fontId="2" fillId="7" borderId="20" xfId="0" applyNumberFormat="1" applyFont="1" applyFill="1" applyBorder="1" applyAlignment="1">
      <alignment horizontal="center" vertical="center" wrapText="1"/>
    </xf>
    <xf numFmtId="165" fontId="13" fillId="7" borderId="10" xfId="0" applyNumberFormat="1" applyFont="1" applyFill="1" applyBorder="1" applyAlignment="1">
      <alignment vertical="top" wrapText="1"/>
    </xf>
    <xf numFmtId="0" fontId="13" fillId="0" borderId="10" xfId="0" applyFont="1" applyBorder="1" applyAlignment="1">
      <alignment vertical="top" wrapText="1"/>
    </xf>
    <xf numFmtId="165" fontId="2" fillId="7" borderId="17" xfId="0" applyNumberFormat="1" applyFont="1" applyFill="1" applyBorder="1" applyAlignment="1">
      <alignment horizontal="center" vertical="center" wrapText="1"/>
    </xf>
    <xf numFmtId="165" fontId="7" fillId="7" borderId="10" xfId="0" applyNumberFormat="1" applyFont="1" applyFill="1" applyBorder="1" applyAlignment="1">
      <alignment horizontal="center" vertical="center" wrapText="1"/>
    </xf>
    <xf numFmtId="165" fontId="2" fillId="7" borderId="25" xfId="0" applyNumberFormat="1" applyFont="1" applyFill="1" applyBorder="1" applyAlignment="1">
      <alignment horizontal="center" vertical="center" wrapText="1"/>
    </xf>
    <xf numFmtId="0" fontId="2" fillId="7" borderId="17" xfId="0" applyFont="1" applyFill="1" applyBorder="1" applyAlignment="1">
      <alignment horizontal="center" vertical="top" wrapText="1"/>
    </xf>
    <xf numFmtId="165" fontId="7" fillId="7" borderId="20" xfId="0" applyNumberFormat="1" applyFont="1" applyFill="1" applyBorder="1" applyAlignment="1">
      <alignment horizontal="center" vertical="top" wrapText="1"/>
    </xf>
    <xf numFmtId="0" fontId="1" fillId="7" borderId="36" xfId="0" applyFont="1" applyFill="1" applyBorder="1" applyAlignment="1">
      <alignment horizontal="center" vertical="top"/>
    </xf>
    <xf numFmtId="165" fontId="7" fillId="7" borderId="19" xfId="0" applyNumberFormat="1" applyFont="1" applyFill="1" applyBorder="1" applyAlignment="1">
      <alignment horizontal="center" vertical="top" wrapText="1"/>
    </xf>
    <xf numFmtId="165" fontId="2" fillId="7" borderId="0" xfId="0" applyNumberFormat="1" applyFont="1" applyFill="1" applyBorder="1" applyAlignment="1">
      <alignment horizontal="center" vertical="center" textRotation="90" wrapText="1"/>
    </xf>
    <xf numFmtId="165" fontId="7" fillId="7" borderId="65" xfId="0" applyNumberFormat="1" applyFont="1" applyFill="1" applyBorder="1" applyAlignment="1">
      <alignment horizontal="center" vertical="top" wrapText="1"/>
    </xf>
    <xf numFmtId="165" fontId="2" fillId="7" borderId="44" xfId="0" applyNumberFormat="1" applyFont="1" applyFill="1" applyBorder="1" applyAlignment="1">
      <alignment horizontal="center" vertical="center" textRotation="90" wrapText="1"/>
    </xf>
    <xf numFmtId="165" fontId="3" fillId="7" borderId="33"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center" textRotation="90" wrapText="1"/>
    </xf>
    <xf numFmtId="165" fontId="1" fillId="7" borderId="40" xfId="0" applyNumberFormat="1" applyFont="1" applyFill="1" applyBorder="1" applyAlignment="1">
      <alignment vertical="top" wrapText="1"/>
    </xf>
    <xf numFmtId="165" fontId="7" fillId="7" borderId="44" xfId="0" applyNumberFormat="1" applyFont="1" applyFill="1" applyBorder="1" applyAlignment="1">
      <alignment horizontal="center" vertical="center" wrapText="1"/>
    </xf>
    <xf numFmtId="165" fontId="2" fillId="7" borderId="10" xfId="0" applyNumberFormat="1" applyFont="1" applyFill="1" applyBorder="1" applyAlignment="1">
      <alignment horizontal="center" vertical="top" wrapText="1"/>
    </xf>
    <xf numFmtId="165" fontId="2" fillId="7" borderId="26" xfId="0" applyNumberFormat="1"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2" fillId="0" borderId="19"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center" textRotation="90" wrapText="1"/>
    </xf>
    <xf numFmtId="165" fontId="2" fillId="7" borderId="76" xfId="0" applyNumberFormat="1" applyFont="1" applyFill="1" applyBorder="1" applyAlignment="1">
      <alignment horizontal="center" vertical="top" wrapText="1"/>
    </xf>
    <xf numFmtId="165" fontId="2" fillId="8" borderId="10" xfId="0" applyNumberFormat="1" applyFont="1" applyFill="1" applyBorder="1" applyAlignment="1">
      <alignment horizontal="center" vertical="top" wrapText="1"/>
    </xf>
    <xf numFmtId="165" fontId="2" fillId="8" borderId="104" xfId="0" applyNumberFormat="1" applyFont="1" applyFill="1" applyBorder="1" applyAlignment="1">
      <alignment horizontal="center" vertical="center" textRotation="90" wrapText="1"/>
    </xf>
    <xf numFmtId="165" fontId="2" fillId="7" borderId="20" xfId="0" applyNumberFormat="1" applyFont="1" applyFill="1" applyBorder="1" applyAlignment="1">
      <alignment horizontal="center" vertical="center" textRotation="90" wrapText="1"/>
    </xf>
    <xf numFmtId="165" fontId="2" fillId="7" borderId="10" xfId="0" applyNumberFormat="1" applyFont="1" applyFill="1" applyBorder="1" applyAlignment="1">
      <alignment vertical="center" textRotation="90" wrapText="1"/>
    </xf>
    <xf numFmtId="165" fontId="2" fillId="7" borderId="26" xfId="0" applyNumberFormat="1" applyFont="1" applyFill="1" applyBorder="1" applyAlignment="1">
      <alignment vertical="center" textRotation="90" wrapText="1"/>
    </xf>
    <xf numFmtId="165" fontId="2" fillId="7" borderId="33" xfId="0" applyNumberFormat="1" applyFont="1" applyFill="1" applyBorder="1" applyAlignment="1">
      <alignment vertical="center" wrapText="1"/>
    </xf>
    <xf numFmtId="0" fontId="1" fillId="0" borderId="19" xfId="0" applyFont="1" applyBorder="1" applyAlignment="1">
      <alignment horizontal="center" vertical="center" textRotation="90"/>
    </xf>
    <xf numFmtId="3" fontId="1" fillId="0" borderId="32" xfId="0" applyNumberFormat="1" applyFont="1" applyBorder="1" applyAlignment="1">
      <alignment vertical="top"/>
    </xf>
    <xf numFmtId="0" fontId="2" fillId="0" borderId="58" xfId="0" applyFont="1" applyBorder="1" applyAlignment="1">
      <alignment horizontal="center" vertical="center" wrapText="1"/>
    </xf>
    <xf numFmtId="165" fontId="2" fillId="0" borderId="0" xfId="0" applyNumberFormat="1" applyFont="1" applyFill="1" applyBorder="1" applyAlignment="1">
      <alignment horizontal="center" vertical="top" wrapText="1"/>
    </xf>
    <xf numFmtId="165" fontId="1" fillId="7" borderId="113" xfId="0" applyNumberFormat="1" applyFont="1" applyFill="1" applyBorder="1" applyAlignment="1">
      <alignment vertical="top"/>
    </xf>
    <xf numFmtId="0" fontId="1" fillId="7" borderId="43" xfId="0" applyFont="1" applyFill="1" applyBorder="1" applyAlignment="1">
      <alignment horizontal="center" vertical="center"/>
    </xf>
    <xf numFmtId="0" fontId="1" fillId="0" borderId="0" xfId="0" applyFont="1" applyBorder="1" applyAlignment="1">
      <alignment horizontal="right" vertical="top"/>
    </xf>
    <xf numFmtId="0" fontId="2" fillId="0" borderId="0" xfId="0" applyFont="1" applyBorder="1" applyAlignment="1">
      <alignment horizontal="center" vertical="center"/>
    </xf>
    <xf numFmtId="0" fontId="2" fillId="2" borderId="0" xfId="0" applyFont="1" applyFill="1" applyBorder="1" applyAlignment="1">
      <alignment horizontal="left" vertical="top" wrapText="1"/>
    </xf>
    <xf numFmtId="165" fontId="2" fillId="2" borderId="0" xfId="0" applyNumberFormat="1" applyFont="1" applyFill="1" applyBorder="1" applyAlignment="1">
      <alignment horizontal="left" vertical="top"/>
    </xf>
    <xf numFmtId="165" fontId="1" fillId="5" borderId="0" xfId="0" applyNumberFormat="1" applyFont="1" applyFill="1" applyBorder="1" applyAlignment="1">
      <alignment horizontal="center" vertical="top"/>
    </xf>
    <xf numFmtId="0" fontId="2" fillId="0" borderId="20" xfId="0" applyFont="1" applyBorder="1" applyAlignment="1">
      <alignment horizontal="center" vertical="center" textRotation="90"/>
    </xf>
    <xf numFmtId="0" fontId="2" fillId="0" borderId="2" xfId="0" applyFont="1" applyBorder="1" applyAlignment="1">
      <alignment horizontal="center" vertical="center" textRotation="90"/>
    </xf>
    <xf numFmtId="0" fontId="2" fillId="2" borderId="40" xfId="0" applyFont="1" applyFill="1" applyBorder="1" applyAlignment="1">
      <alignment horizontal="left" vertical="top" wrapText="1"/>
    </xf>
    <xf numFmtId="0" fontId="1" fillId="7" borderId="98" xfId="0" applyFont="1" applyFill="1" applyBorder="1" applyAlignment="1">
      <alignment vertical="top"/>
    </xf>
    <xf numFmtId="49" fontId="2" fillId="9" borderId="34" xfId="0" applyNumberFormat="1" applyFont="1" applyFill="1" applyBorder="1" applyAlignment="1">
      <alignment horizontal="center" vertical="top"/>
    </xf>
    <xf numFmtId="0" fontId="1" fillId="7" borderId="6" xfId="0" applyFont="1" applyFill="1" applyBorder="1" applyAlignment="1">
      <alignment vertical="top"/>
    </xf>
    <xf numFmtId="3" fontId="1" fillId="7" borderId="6" xfId="0" applyNumberFormat="1" applyFont="1" applyFill="1" applyBorder="1" applyAlignment="1">
      <alignment horizontal="center" vertical="top" wrapText="1"/>
    </xf>
    <xf numFmtId="49" fontId="1" fillId="7" borderId="100" xfId="0" applyNumberFormat="1" applyFont="1" applyFill="1" applyBorder="1" applyAlignment="1">
      <alignment horizontal="center" vertical="top"/>
    </xf>
    <xf numFmtId="0" fontId="1" fillId="0" borderId="97" xfId="0" applyFont="1" applyBorder="1" applyAlignment="1">
      <alignment horizontal="center" vertical="top"/>
    </xf>
    <xf numFmtId="0" fontId="1" fillId="0" borderId="89" xfId="0" applyFont="1" applyBorder="1" applyAlignment="1">
      <alignment horizontal="center" vertical="top"/>
    </xf>
    <xf numFmtId="3" fontId="1" fillId="7" borderId="34" xfId="0" applyNumberFormat="1" applyFont="1" applyFill="1" applyBorder="1" applyAlignment="1">
      <alignment horizontal="center" vertical="top" wrapText="1"/>
    </xf>
    <xf numFmtId="3" fontId="1" fillId="7" borderId="27" xfId="0" applyNumberFormat="1" applyFont="1" applyFill="1" applyBorder="1" applyAlignment="1">
      <alignment horizontal="center" vertical="top" wrapText="1"/>
    </xf>
    <xf numFmtId="3" fontId="1" fillId="7" borderId="101" xfId="0" applyNumberFormat="1" applyFont="1" applyFill="1" applyBorder="1" applyAlignment="1">
      <alignment horizontal="center" vertical="top" wrapText="1"/>
    </xf>
    <xf numFmtId="3" fontId="1" fillId="7" borderId="73" xfId="0" applyNumberFormat="1" applyFont="1" applyFill="1" applyBorder="1" applyAlignment="1">
      <alignment horizontal="center" vertical="top" wrapText="1"/>
    </xf>
    <xf numFmtId="3" fontId="1" fillId="7" borderId="27" xfId="1" applyNumberFormat="1" applyFont="1" applyFill="1" applyBorder="1" applyAlignment="1">
      <alignment horizontal="center" vertical="top" wrapText="1"/>
    </xf>
    <xf numFmtId="3" fontId="1" fillId="7" borderId="97" xfId="0" applyNumberFormat="1" applyFont="1" applyFill="1" applyBorder="1" applyAlignment="1">
      <alignment horizontal="center" vertical="top" wrapText="1"/>
    </xf>
    <xf numFmtId="0" fontId="1" fillId="0" borderId="47" xfId="0" applyFont="1" applyBorder="1" applyAlignment="1">
      <alignment vertical="top"/>
    </xf>
    <xf numFmtId="3" fontId="1" fillId="7" borderId="34" xfId="0" applyNumberFormat="1" applyFont="1" applyFill="1" applyBorder="1" applyAlignment="1">
      <alignment horizontal="center" vertical="center"/>
    </xf>
    <xf numFmtId="0" fontId="1" fillId="0" borderId="110" xfId="0" applyFont="1" applyBorder="1" applyAlignment="1">
      <alignment vertical="top"/>
    </xf>
    <xf numFmtId="165" fontId="1" fillId="7" borderId="6" xfId="0" applyNumberFormat="1" applyFont="1" applyFill="1" applyBorder="1" applyAlignment="1">
      <alignment vertical="top"/>
    </xf>
    <xf numFmtId="0" fontId="1" fillId="0" borderId="66" xfId="0" applyFont="1" applyBorder="1" applyAlignment="1">
      <alignment vertical="top"/>
    </xf>
    <xf numFmtId="165" fontId="1" fillId="7" borderId="98" xfId="0" applyNumberFormat="1" applyFont="1" applyFill="1" applyBorder="1" applyAlignment="1">
      <alignment vertical="top"/>
    </xf>
    <xf numFmtId="0" fontId="1" fillId="7" borderId="6" xfId="0" applyNumberFormat="1" applyFont="1" applyFill="1" applyBorder="1" applyAlignment="1">
      <alignment horizontal="center" vertical="top" wrapText="1"/>
    </xf>
    <xf numFmtId="165" fontId="1" fillId="0" borderId="93" xfId="0" applyNumberFormat="1" applyFont="1" applyFill="1" applyBorder="1" applyAlignment="1">
      <alignment horizontal="center" vertical="top"/>
    </xf>
    <xf numFmtId="49" fontId="1" fillId="7" borderId="73" xfId="0" applyNumberFormat="1" applyFont="1" applyFill="1" applyBorder="1" applyAlignment="1">
      <alignment horizontal="center" vertical="top"/>
    </xf>
    <xf numFmtId="0" fontId="1" fillId="7" borderId="91" xfId="0" applyNumberFormat="1" applyFont="1" applyFill="1" applyBorder="1" applyAlignment="1">
      <alignment horizontal="center" vertical="top"/>
    </xf>
    <xf numFmtId="3" fontId="5" fillId="7" borderId="27"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xf>
    <xf numFmtId="165" fontId="1" fillId="7" borderId="91" xfId="0" applyNumberFormat="1" applyFont="1" applyFill="1" applyBorder="1" applyAlignment="1">
      <alignment horizontal="center" vertical="top"/>
    </xf>
    <xf numFmtId="3" fontId="1" fillId="7" borderId="41" xfId="0" applyNumberFormat="1" applyFont="1" applyFill="1" applyBorder="1" applyAlignment="1">
      <alignment vertical="top"/>
    </xf>
    <xf numFmtId="3" fontId="1" fillId="7" borderId="36" xfId="0" applyNumberFormat="1" applyFont="1" applyFill="1" applyBorder="1" applyAlignment="1">
      <alignment vertical="top"/>
    </xf>
    <xf numFmtId="3" fontId="9" fillId="7" borderId="77" xfId="0" applyNumberFormat="1" applyFont="1" applyFill="1" applyBorder="1" applyAlignment="1">
      <alignment horizontal="center" vertical="top"/>
    </xf>
    <xf numFmtId="3" fontId="1" fillId="7" borderId="40" xfId="0" applyNumberFormat="1" applyFont="1" applyFill="1" applyBorder="1" applyAlignment="1">
      <alignment vertical="top"/>
    </xf>
    <xf numFmtId="3" fontId="1" fillId="7" borderId="101" xfId="0" applyNumberFormat="1" applyFont="1" applyFill="1" applyBorder="1" applyAlignment="1">
      <alignment vertical="top"/>
    </xf>
    <xf numFmtId="3" fontId="1" fillId="7" borderId="47" xfId="0" applyNumberFormat="1" applyFont="1" applyFill="1" applyBorder="1" applyAlignment="1">
      <alignment vertical="top"/>
    </xf>
    <xf numFmtId="3" fontId="1" fillId="0" borderId="27" xfId="0" applyNumberFormat="1" applyFont="1" applyFill="1" applyBorder="1" applyAlignment="1">
      <alignment horizontal="center" vertical="top"/>
    </xf>
    <xf numFmtId="165" fontId="2" fillId="9" borderId="109" xfId="0" applyNumberFormat="1" applyFont="1" applyFill="1" applyBorder="1" applyAlignment="1">
      <alignment horizontal="center" vertical="top"/>
    </xf>
    <xf numFmtId="165" fontId="2" fillId="5" borderId="123" xfId="0" applyNumberFormat="1" applyFont="1" applyFill="1" applyBorder="1" applyAlignment="1">
      <alignment horizontal="center" vertical="top"/>
    </xf>
    <xf numFmtId="165" fontId="2" fillId="9" borderId="19" xfId="0" applyNumberFormat="1" applyFont="1" applyFill="1" applyBorder="1" applyAlignment="1">
      <alignment horizontal="center" vertical="top"/>
    </xf>
    <xf numFmtId="165" fontId="2" fillId="2" borderId="19" xfId="0" applyNumberFormat="1" applyFont="1" applyFill="1" applyBorder="1" applyAlignment="1">
      <alignment horizontal="center" vertical="top"/>
    </xf>
    <xf numFmtId="165" fontId="2" fillId="8" borderId="42" xfId="0" applyNumberFormat="1" applyFont="1" applyFill="1" applyBorder="1" applyAlignment="1">
      <alignment vertical="top"/>
    </xf>
    <xf numFmtId="165" fontId="2" fillId="9" borderId="44" xfId="0" applyNumberFormat="1" applyFont="1" applyFill="1" applyBorder="1" applyAlignment="1">
      <alignment horizontal="center" vertical="top"/>
    </xf>
    <xf numFmtId="165" fontId="2" fillId="9" borderId="50" xfId="0" applyNumberFormat="1" applyFont="1" applyFill="1" applyBorder="1" applyAlignment="1">
      <alignment horizontal="center" vertical="top"/>
    </xf>
    <xf numFmtId="165" fontId="2" fillId="9" borderId="3" xfId="0" applyNumberFormat="1" applyFont="1" applyFill="1" applyBorder="1" applyAlignment="1">
      <alignment horizontal="center" vertical="top"/>
    </xf>
    <xf numFmtId="165" fontId="2" fillId="9" borderId="23"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165" fontId="2" fillId="9" borderId="64" xfId="0" applyNumberFormat="1" applyFont="1" applyFill="1" applyBorder="1" applyAlignment="1">
      <alignment horizontal="center" vertical="top"/>
    </xf>
    <xf numFmtId="49" fontId="2" fillId="9" borderId="23" xfId="0" applyNumberFormat="1" applyFont="1" applyFill="1" applyBorder="1" applyAlignment="1">
      <alignment horizontal="center" vertical="top"/>
    </xf>
    <xf numFmtId="165" fontId="1" fillId="0" borderId="43" xfId="0" applyNumberFormat="1" applyFont="1" applyFill="1" applyBorder="1" applyAlignment="1">
      <alignment horizontal="center" vertical="top"/>
    </xf>
    <xf numFmtId="165" fontId="1" fillId="0" borderId="44" xfId="0" applyNumberFormat="1" applyFont="1" applyFill="1" applyBorder="1" applyAlignment="1">
      <alignment horizontal="left" vertical="top"/>
    </xf>
    <xf numFmtId="0" fontId="1" fillId="0" borderId="0" xfId="0" applyFont="1" applyFill="1" applyBorder="1" applyAlignment="1">
      <alignment horizontal="center" vertical="top"/>
    </xf>
    <xf numFmtId="3" fontId="1" fillId="0" borderId="0" xfId="0" applyNumberFormat="1" applyFont="1" applyFill="1" applyBorder="1" applyAlignment="1">
      <alignment vertical="top"/>
    </xf>
    <xf numFmtId="0" fontId="1" fillId="0" borderId="0" xfId="0" applyFont="1" applyFill="1" applyBorder="1" applyAlignment="1">
      <alignment vertical="top"/>
    </xf>
    <xf numFmtId="0" fontId="1" fillId="0" borderId="18" xfId="0" applyFont="1" applyBorder="1" applyAlignment="1">
      <alignment vertical="top"/>
    </xf>
    <xf numFmtId="165" fontId="1" fillId="7" borderId="122" xfId="0" applyNumberFormat="1" applyFont="1" applyFill="1" applyBorder="1" applyAlignment="1">
      <alignment horizontal="center" vertical="top"/>
    </xf>
    <xf numFmtId="165" fontId="1" fillId="7" borderId="95" xfId="0" applyNumberFormat="1" applyFont="1" applyFill="1" applyBorder="1" applyAlignment="1">
      <alignment vertical="top"/>
    </xf>
    <xf numFmtId="165" fontId="2" fillId="2" borderId="105" xfId="0" applyNumberFormat="1" applyFont="1" applyFill="1" applyBorder="1" applyAlignment="1">
      <alignment horizontal="center" vertical="top"/>
    </xf>
    <xf numFmtId="165" fontId="2" fillId="2" borderId="123" xfId="0" applyNumberFormat="1" applyFont="1" applyFill="1" applyBorder="1" applyAlignment="1">
      <alignment horizontal="center" vertical="top"/>
    </xf>
    <xf numFmtId="165" fontId="1" fillId="7" borderId="18" xfId="1" applyNumberFormat="1" applyFont="1" applyFill="1" applyBorder="1" applyAlignment="1">
      <alignment horizontal="center" vertical="top"/>
    </xf>
    <xf numFmtId="165" fontId="1" fillId="7" borderId="25" xfId="1" applyNumberFormat="1" applyFont="1" applyFill="1" applyBorder="1" applyAlignment="1">
      <alignment horizontal="center" vertical="top"/>
    </xf>
    <xf numFmtId="165" fontId="1" fillId="8" borderId="16" xfId="0" applyNumberFormat="1" applyFont="1" applyFill="1" applyBorder="1" applyAlignment="1">
      <alignment horizontal="center" vertical="top"/>
    </xf>
    <xf numFmtId="165" fontId="2" fillId="8" borderId="41" xfId="0" applyNumberFormat="1" applyFont="1" applyFill="1" applyBorder="1" applyAlignment="1">
      <alignment horizontal="center" vertical="top"/>
    </xf>
    <xf numFmtId="165" fontId="2" fillId="8" borderId="124" xfId="0" applyNumberFormat="1" applyFont="1" applyFill="1" applyBorder="1" applyAlignment="1">
      <alignment horizontal="center" vertical="top"/>
    </xf>
    <xf numFmtId="165" fontId="2" fillId="5" borderId="105" xfId="0" applyNumberFormat="1" applyFont="1" applyFill="1" applyBorder="1" applyAlignment="1">
      <alignment horizontal="center" vertical="top"/>
    </xf>
    <xf numFmtId="165" fontId="1" fillId="9" borderId="31" xfId="0" applyNumberFormat="1" applyFont="1" applyFill="1" applyBorder="1" applyAlignment="1">
      <alignment horizontal="center" vertical="top"/>
    </xf>
    <xf numFmtId="165" fontId="1" fillId="5" borderId="31" xfId="0" applyNumberFormat="1" applyFont="1" applyFill="1" applyBorder="1" applyAlignment="1">
      <alignment horizontal="center" vertical="top"/>
    </xf>
    <xf numFmtId="165" fontId="1" fillId="0" borderId="46" xfId="0" applyNumberFormat="1" applyFont="1" applyFill="1" applyBorder="1" applyAlignment="1">
      <alignment horizontal="center" vertical="top"/>
    </xf>
    <xf numFmtId="165" fontId="1" fillId="2" borderId="98" xfId="0" applyNumberFormat="1" applyFont="1" applyFill="1" applyBorder="1" applyAlignment="1">
      <alignment horizontal="center" vertical="top" wrapText="1"/>
    </xf>
    <xf numFmtId="165" fontId="2" fillId="2" borderId="30" xfId="0" applyNumberFormat="1" applyFont="1" applyFill="1" applyBorder="1" applyAlignment="1">
      <alignment horizontal="left" vertical="top"/>
    </xf>
    <xf numFmtId="165" fontId="9" fillId="8" borderId="125" xfId="0" applyNumberFormat="1" applyFont="1" applyFill="1" applyBorder="1" applyAlignment="1">
      <alignment horizontal="left" vertical="top" wrapText="1"/>
    </xf>
    <xf numFmtId="0" fontId="1" fillId="7" borderId="43" xfId="0" applyFont="1" applyFill="1" applyBorder="1" applyAlignment="1">
      <alignment vertical="top"/>
    </xf>
    <xf numFmtId="0" fontId="1" fillId="7" borderId="24" xfId="0" applyFont="1" applyFill="1" applyBorder="1" applyAlignment="1">
      <alignment vertical="top"/>
    </xf>
    <xf numFmtId="0" fontId="1" fillId="7" borderId="17" xfId="0" applyFont="1" applyFill="1" applyBorder="1" applyAlignment="1">
      <alignment vertical="top"/>
    </xf>
    <xf numFmtId="3" fontId="1" fillId="7" borderId="17" xfId="0" applyNumberFormat="1" applyFont="1" applyFill="1" applyBorder="1" applyAlignment="1">
      <alignment horizontal="center" vertical="top" wrapText="1"/>
    </xf>
    <xf numFmtId="49" fontId="1" fillId="7" borderId="18" xfId="3" applyNumberFormat="1" applyFont="1" applyFill="1" applyBorder="1" applyAlignment="1">
      <alignment horizontal="center" vertical="top"/>
    </xf>
    <xf numFmtId="3" fontId="1" fillId="7" borderId="20" xfId="0" applyNumberFormat="1" applyFont="1" applyFill="1" applyBorder="1" applyAlignment="1">
      <alignment horizontal="center" vertical="top" wrapText="1"/>
    </xf>
    <xf numFmtId="49" fontId="1" fillId="7" borderId="68" xfId="0" applyNumberFormat="1" applyFont="1" applyFill="1" applyBorder="1" applyAlignment="1">
      <alignment horizontal="center" vertical="top"/>
    </xf>
    <xf numFmtId="49" fontId="1" fillId="7" borderId="25" xfId="3" applyNumberFormat="1" applyFont="1" applyFill="1" applyBorder="1" applyAlignment="1">
      <alignment horizontal="center" vertical="top"/>
    </xf>
    <xf numFmtId="3" fontId="1" fillId="7" borderId="25" xfId="0" applyNumberFormat="1" applyFont="1" applyFill="1" applyBorder="1" applyAlignment="1">
      <alignment horizontal="center" vertical="top" wrapText="1"/>
    </xf>
    <xf numFmtId="0" fontId="1" fillId="0" borderId="96" xfId="0" applyFont="1" applyBorder="1" applyAlignment="1">
      <alignment horizontal="center" vertical="top"/>
    </xf>
    <xf numFmtId="3" fontId="1" fillId="7" borderId="77" xfId="0" applyNumberFormat="1" applyFont="1" applyFill="1" applyBorder="1" applyAlignment="1">
      <alignment horizontal="center" vertical="top" wrapText="1"/>
    </xf>
    <xf numFmtId="3" fontId="12" fillId="7" borderId="115" xfId="0" applyNumberFormat="1" applyFont="1" applyFill="1" applyBorder="1" applyAlignment="1">
      <alignment horizontal="center" vertical="top"/>
    </xf>
    <xf numFmtId="3" fontId="1" fillId="7" borderId="96" xfId="0" applyNumberFormat="1" applyFont="1" applyFill="1" applyBorder="1" applyAlignment="1">
      <alignment horizontal="center" vertical="top" wrapText="1"/>
    </xf>
    <xf numFmtId="3" fontId="1" fillId="7" borderId="25" xfId="1" applyNumberFormat="1" applyFont="1" applyFill="1" applyBorder="1" applyAlignment="1">
      <alignment horizontal="center" vertical="top" wrapText="1"/>
    </xf>
    <xf numFmtId="49" fontId="1" fillId="0" borderId="71" xfId="0" applyNumberFormat="1" applyFont="1" applyFill="1" applyBorder="1" applyAlignment="1">
      <alignment horizontal="center" vertical="top"/>
    </xf>
    <xf numFmtId="3" fontId="1" fillId="7" borderId="94" xfId="0" applyNumberFormat="1" applyFont="1" applyFill="1" applyBorder="1" applyAlignment="1">
      <alignment horizontal="center" vertical="top" wrapText="1"/>
    </xf>
    <xf numFmtId="3" fontId="1" fillId="7" borderId="20" xfId="0" applyNumberFormat="1" applyFont="1" applyFill="1" applyBorder="1" applyAlignment="1">
      <alignment horizontal="center" vertical="center"/>
    </xf>
    <xf numFmtId="165" fontId="1" fillId="7" borderId="43" xfId="0" applyNumberFormat="1" applyFont="1" applyFill="1" applyBorder="1" applyAlignment="1">
      <alignment vertical="top"/>
    </xf>
    <xf numFmtId="165" fontId="1" fillId="0" borderId="77" xfId="0" applyNumberFormat="1" applyFont="1" applyFill="1" applyBorder="1" applyAlignment="1">
      <alignment horizontal="center" vertical="top"/>
    </xf>
    <xf numFmtId="165" fontId="1" fillId="7" borderId="17" xfId="0" applyNumberFormat="1" applyFont="1" applyFill="1" applyBorder="1" applyAlignment="1">
      <alignment vertical="top"/>
    </xf>
    <xf numFmtId="0" fontId="1" fillId="0" borderId="115" xfId="0" applyFont="1" applyBorder="1" applyAlignment="1">
      <alignment vertical="top"/>
    </xf>
    <xf numFmtId="165" fontId="1" fillId="7" borderId="20" xfId="0" applyNumberFormat="1" applyFont="1" applyFill="1" applyBorder="1" applyAlignment="1">
      <alignment vertical="top"/>
    </xf>
    <xf numFmtId="0" fontId="1" fillId="7" borderId="17" xfId="0" applyNumberFormat="1" applyFont="1" applyFill="1" applyBorder="1" applyAlignment="1">
      <alignment horizontal="center" vertical="top" wrapText="1"/>
    </xf>
    <xf numFmtId="165" fontId="1" fillId="0" borderId="94" xfId="0" applyNumberFormat="1" applyFont="1" applyFill="1" applyBorder="1" applyAlignment="1">
      <alignment horizontal="center" vertical="top"/>
    </xf>
    <xf numFmtId="165" fontId="1" fillId="0" borderId="17" xfId="0" applyNumberFormat="1" applyFont="1" applyFill="1" applyBorder="1" applyAlignment="1">
      <alignment horizontal="center" vertical="top"/>
    </xf>
    <xf numFmtId="165" fontId="1" fillId="0" borderId="68" xfId="0" applyNumberFormat="1" applyFont="1" applyFill="1" applyBorder="1" applyAlignment="1">
      <alignment horizontal="center" vertical="top"/>
    </xf>
    <xf numFmtId="0" fontId="1" fillId="7" borderId="95" xfId="0" applyNumberFormat="1" applyFont="1" applyFill="1" applyBorder="1" applyAlignment="1">
      <alignment horizontal="center" vertical="top"/>
    </xf>
    <xf numFmtId="0" fontId="1" fillId="7" borderId="41" xfId="0" applyNumberFormat="1" applyFont="1" applyFill="1" applyBorder="1" applyAlignment="1">
      <alignment horizontal="center" vertical="top"/>
    </xf>
    <xf numFmtId="49" fontId="1" fillId="7" borderId="80" xfId="0" applyNumberFormat="1" applyFont="1" applyFill="1" applyBorder="1" applyAlignment="1">
      <alignment horizontal="center" vertical="top"/>
    </xf>
    <xf numFmtId="0" fontId="1" fillId="7" borderId="20" xfId="0" applyNumberFormat="1" applyFont="1" applyFill="1" applyBorder="1" applyAlignment="1">
      <alignment horizontal="center" vertical="top"/>
    </xf>
    <xf numFmtId="0" fontId="1" fillId="7" borderId="17"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3" fontId="1" fillId="0" borderId="95" xfId="0" applyNumberFormat="1" applyFont="1" applyFill="1" applyBorder="1" applyAlignment="1">
      <alignment horizontal="center" vertical="top"/>
    </xf>
    <xf numFmtId="3" fontId="5" fillId="7" borderId="25" xfId="0" applyNumberFormat="1" applyFont="1" applyFill="1" applyBorder="1" applyAlignment="1">
      <alignment horizontal="center" vertical="top" wrapText="1"/>
    </xf>
    <xf numFmtId="3" fontId="1" fillId="7" borderId="16"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xf>
    <xf numFmtId="3" fontId="1" fillId="0" borderId="115" xfId="0" applyNumberFormat="1" applyFont="1" applyFill="1" applyBorder="1" applyAlignment="1">
      <alignment horizontal="center" vertical="top"/>
    </xf>
    <xf numFmtId="3" fontId="1" fillId="7" borderId="77" xfId="0" applyNumberFormat="1" applyFont="1" applyFill="1" applyBorder="1" applyAlignment="1">
      <alignment vertical="top"/>
    </xf>
    <xf numFmtId="3" fontId="1" fillId="7" borderId="43" xfId="0" applyNumberFormat="1" applyFont="1" applyFill="1" applyBorder="1" applyAlignment="1">
      <alignment vertical="top"/>
    </xf>
    <xf numFmtId="3" fontId="9" fillId="7" borderId="68" xfId="0" applyNumberFormat="1" applyFont="1" applyFill="1" applyBorder="1" applyAlignment="1">
      <alignment horizontal="center" vertical="top"/>
    </xf>
    <xf numFmtId="0" fontId="1" fillId="7" borderId="17" xfId="0" applyFont="1" applyFill="1" applyBorder="1" applyAlignment="1">
      <alignment horizontal="center" vertical="center"/>
    </xf>
    <xf numFmtId="3" fontId="1" fillId="0" borderId="25" xfId="0" applyNumberFormat="1" applyFont="1" applyFill="1" applyBorder="1" applyAlignment="1">
      <alignment horizontal="center" vertical="top"/>
    </xf>
    <xf numFmtId="3" fontId="1" fillId="7" borderId="18" xfId="0" applyNumberFormat="1" applyFont="1" applyFill="1" applyBorder="1" applyAlignment="1">
      <alignment vertical="top"/>
    </xf>
    <xf numFmtId="0" fontId="1" fillId="7" borderId="80" xfId="0" applyFont="1" applyFill="1" applyBorder="1" applyAlignment="1">
      <alignment vertical="top"/>
    </xf>
    <xf numFmtId="0" fontId="1" fillId="0" borderId="5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2" fillId="0" borderId="59" xfId="0" applyFont="1" applyBorder="1" applyAlignment="1">
      <alignment horizontal="center" vertical="center" textRotation="90" wrapText="1"/>
    </xf>
    <xf numFmtId="0" fontId="1" fillId="0" borderId="48" xfId="0" applyFont="1" applyBorder="1" applyAlignment="1">
      <alignment horizontal="center" vertical="center" textRotation="90" wrapText="1"/>
    </xf>
    <xf numFmtId="0" fontId="1" fillId="0" borderId="108" xfId="0" applyFont="1" applyBorder="1" applyAlignment="1">
      <alignment horizontal="center" vertical="center" textRotation="90" wrapText="1"/>
    </xf>
    <xf numFmtId="165" fontId="2" fillId="5" borderId="59" xfId="0" applyNumberFormat="1" applyFont="1" applyFill="1" applyBorder="1" applyAlignment="1">
      <alignment horizontal="center" vertical="top" wrapText="1"/>
    </xf>
    <xf numFmtId="165" fontId="2" fillId="5" borderId="11" xfId="0" applyNumberFormat="1" applyFont="1" applyFill="1" applyBorder="1" applyAlignment="1">
      <alignment horizontal="center" vertical="top" wrapText="1"/>
    </xf>
    <xf numFmtId="165" fontId="2" fillId="8" borderId="15" xfId="0" applyNumberFormat="1" applyFont="1" applyFill="1" applyBorder="1" applyAlignment="1">
      <alignment horizontal="center" vertical="top" wrapText="1"/>
    </xf>
    <xf numFmtId="165" fontId="1" fillId="8" borderId="27" xfId="0" applyNumberFormat="1" applyFont="1" applyFill="1" applyBorder="1" applyAlignment="1">
      <alignment horizontal="center" vertical="top"/>
    </xf>
    <xf numFmtId="165" fontId="2" fillId="5" borderId="27" xfId="0" applyNumberFormat="1" applyFont="1" applyFill="1" applyBorder="1" applyAlignment="1">
      <alignment horizontal="center" vertical="top"/>
    </xf>
    <xf numFmtId="165" fontId="2" fillId="4" borderId="8" xfId="0" applyNumberFormat="1" applyFont="1" applyFill="1" applyBorder="1" applyAlignment="1">
      <alignment horizontal="center" vertical="top"/>
    </xf>
    <xf numFmtId="165" fontId="2" fillId="5" borderId="12" xfId="0" applyNumberFormat="1" applyFont="1" applyFill="1" applyBorder="1" applyAlignment="1">
      <alignment horizontal="center" vertical="top" wrapText="1"/>
    </xf>
    <xf numFmtId="165" fontId="2" fillId="8" borderId="1" xfId="0" applyNumberFormat="1" applyFont="1" applyFill="1" applyBorder="1" applyAlignment="1">
      <alignment horizontal="center" vertical="top" wrapText="1"/>
    </xf>
    <xf numFmtId="165" fontId="1" fillId="8" borderId="26" xfId="0" applyNumberFormat="1" applyFont="1" applyFill="1" applyBorder="1" applyAlignment="1">
      <alignment horizontal="center" vertical="top"/>
    </xf>
    <xf numFmtId="165" fontId="2" fillId="5" borderId="26" xfId="0" applyNumberFormat="1" applyFont="1" applyFill="1" applyBorder="1" applyAlignment="1">
      <alignment horizontal="center" vertical="top"/>
    </xf>
    <xf numFmtId="165" fontId="2" fillId="4" borderId="28" xfId="0" applyNumberFormat="1" applyFont="1" applyFill="1" applyBorder="1" applyAlignment="1">
      <alignment horizontal="center" vertical="top"/>
    </xf>
    <xf numFmtId="0" fontId="2" fillId="0" borderId="65" xfId="0" applyFont="1" applyBorder="1" applyAlignment="1">
      <alignment horizontal="center" vertical="center"/>
    </xf>
    <xf numFmtId="165" fontId="2" fillId="9" borderId="6"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165" fontId="1" fillId="7" borderId="10" xfId="0" applyNumberFormat="1" applyFont="1" applyFill="1" applyBorder="1" applyAlignment="1">
      <alignment horizontal="left" vertical="top" wrapText="1"/>
    </xf>
    <xf numFmtId="165" fontId="1" fillId="7" borderId="44" xfId="0" applyNumberFormat="1" applyFont="1" applyFill="1" applyBorder="1" applyAlignment="1">
      <alignment horizontal="left" vertical="top" wrapText="1"/>
    </xf>
    <xf numFmtId="165" fontId="2" fillId="7" borderId="20"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165" fontId="1" fillId="7" borderId="10" xfId="0" applyNumberFormat="1" applyFont="1" applyFill="1" applyBorder="1" applyAlignment="1">
      <alignment vertical="top" wrapText="1"/>
    </xf>
    <xf numFmtId="165" fontId="1" fillId="7" borderId="26" xfId="0" applyNumberFormat="1" applyFont="1" applyFill="1" applyBorder="1" applyAlignment="1">
      <alignment horizontal="left" vertical="top" wrapText="1"/>
    </xf>
    <xf numFmtId="165" fontId="2" fillId="9" borderId="32"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0" fontId="6" fillId="7" borderId="10" xfId="0" applyFont="1" applyFill="1" applyBorder="1" applyAlignment="1">
      <alignment vertical="top" wrapText="1"/>
    </xf>
    <xf numFmtId="165" fontId="1" fillId="7" borderId="10" xfId="0" applyNumberFormat="1" applyFont="1" applyFill="1" applyBorder="1" applyAlignment="1">
      <alignment horizontal="center" vertical="top"/>
    </xf>
    <xf numFmtId="165" fontId="1" fillId="7" borderId="5" xfId="0" applyNumberFormat="1" applyFont="1" applyFill="1" applyBorder="1" applyAlignment="1">
      <alignment horizontal="center" vertical="top" wrapText="1"/>
    </xf>
    <xf numFmtId="165" fontId="1" fillId="7" borderId="44" xfId="0" applyNumberFormat="1" applyFont="1" applyFill="1" applyBorder="1" applyAlignment="1">
      <alignment vertical="top" wrapText="1"/>
    </xf>
    <xf numFmtId="165" fontId="1" fillId="7" borderId="84" xfId="0" applyNumberFormat="1" applyFont="1" applyFill="1" applyBorder="1" applyAlignment="1">
      <alignment horizontal="left" vertical="top" wrapText="1"/>
    </xf>
    <xf numFmtId="49" fontId="1" fillId="7" borderId="0" xfId="0" applyNumberFormat="1" applyFont="1" applyFill="1" applyBorder="1" applyAlignment="1">
      <alignment horizontal="center" vertical="top"/>
    </xf>
    <xf numFmtId="165" fontId="1" fillId="7" borderId="26" xfId="0" applyNumberFormat="1" applyFont="1" applyFill="1" applyBorder="1" applyAlignment="1">
      <alignmen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2" fillId="7" borderId="26" xfId="0" applyNumberFormat="1" applyFont="1" applyFill="1" applyBorder="1" applyAlignment="1">
      <alignment horizontal="center" vertical="top" wrapText="1"/>
    </xf>
    <xf numFmtId="165" fontId="1" fillId="2" borderId="60"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2" fillId="7" borderId="23" xfId="0" applyNumberFormat="1" applyFont="1" applyFill="1" applyBorder="1" applyAlignment="1">
      <alignment vertical="top" wrapText="1"/>
    </xf>
    <xf numFmtId="165" fontId="2" fillId="7" borderId="10" xfId="0" applyNumberFormat="1" applyFont="1" applyFill="1" applyBorder="1" applyAlignment="1">
      <alignment vertical="top" wrapText="1"/>
    </xf>
    <xf numFmtId="165" fontId="1" fillId="7" borderId="33" xfId="0" applyNumberFormat="1" applyFont="1" applyFill="1" applyBorder="1" applyAlignment="1">
      <alignment horizontal="left" vertical="top" wrapText="1"/>
    </xf>
    <xf numFmtId="49" fontId="1" fillId="7" borderId="17" xfId="0" applyNumberFormat="1" applyFont="1" applyFill="1" applyBorder="1" applyAlignment="1">
      <alignment horizontal="center" vertical="top"/>
    </xf>
    <xf numFmtId="49" fontId="1" fillId="7" borderId="25"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2" fillId="7" borderId="44" xfId="0" applyNumberFormat="1" applyFont="1" applyFill="1" applyBorder="1" applyAlignment="1">
      <alignment horizontal="center" vertical="top" wrapText="1"/>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165" fontId="1" fillId="7" borderId="75" xfId="0" applyNumberFormat="1" applyFont="1" applyFill="1" applyBorder="1" applyAlignment="1">
      <alignment horizontal="center" vertical="top"/>
    </xf>
    <xf numFmtId="165" fontId="1" fillId="7" borderId="96" xfId="0" applyNumberFormat="1" applyFont="1" applyFill="1" applyBorder="1" applyAlignment="1">
      <alignment horizontal="center" vertical="top"/>
    </xf>
    <xf numFmtId="165" fontId="1" fillId="7" borderId="25" xfId="0" applyNumberFormat="1" applyFont="1" applyFill="1" applyBorder="1" applyAlignment="1">
      <alignment vertical="top"/>
    </xf>
    <xf numFmtId="165" fontId="1" fillId="7" borderId="25" xfId="0" applyNumberFormat="1" applyFont="1" applyFill="1" applyBorder="1" applyAlignment="1">
      <alignment horizontal="center" vertical="center"/>
    </xf>
    <xf numFmtId="165" fontId="1" fillId="7" borderId="18" xfId="0" applyNumberFormat="1" applyFont="1" applyFill="1" applyBorder="1" applyAlignment="1">
      <alignment horizontal="center" vertical="center"/>
    </xf>
    <xf numFmtId="165" fontId="1" fillId="7" borderId="43" xfId="0" applyNumberFormat="1" applyFont="1" applyFill="1" applyBorder="1" applyAlignment="1">
      <alignment horizontal="center" vertical="center"/>
    </xf>
    <xf numFmtId="165" fontId="1" fillId="7" borderId="17" xfId="0" applyNumberFormat="1" applyFont="1" applyFill="1" applyBorder="1" applyAlignment="1">
      <alignment horizontal="center" vertical="center"/>
    </xf>
    <xf numFmtId="165" fontId="1" fillId="7" borderId="41" xfId="0" applyNumberFormat="1" applyFont="1" applyFill="1" applyBorder="1" applyAlignment="1">
      <alignment horizontal="center" vertical="center"/>
    </xf>
    <xf numFmtId="165" fontId="1" fillId="7" borderId="20" xfId="0" applyNumberFormat="1" applyFont="1" applyFill="1" applyBorder="1" applyAlignment="1">
      <alignment horizontal="center" vertical="center"/>
    </xf>
    <xf numFmtId="0" fontId="1" fillId="0" borderId="5" xfId="0" applyFont="1" applyBorder="1" applyAlignment="1">
      <alignment horizontal="center" vertical="top"/>
    </xf>
    <xf numFmtId="0" fontId="1" fillId="0" borderId="10" xfId="0" applyFont="1" applyBorder="1" applyAlignment="1">
      <alignment vertical="top"/>
    </xf>
    <xf numFmtId="0" fontId="1" fillId="0" borderId="43" xfId="0" applyFont="1" applyBorder="1" applyAlignment="1">
      <alignment vertical="top"/>
    </xf>
    <xf numFmtId="0" fontId="1" fillId="0" borderId="40" xfId="0" applyFont="1" applyBorder="1" applyAlignment="1">
      <alignment vertical="top"/>
    </xf>
    <xf numFmtId="0" fontId="1" fillId="7" borderId="83" xfId="0" applyFont="1" applyFill="1" applyBorder="1" applyAlignment="1">
      <alignment horizontal="center" vertical="center"/>
    </xf>
    <xf numFmtId="0" fontId="1" fillId="7" borderId="114" xfId="0" applyFont="1" applyFill="1" applyBorder="1" applyAlignment="1">
      <alignment horizontal="center" vertical="center"/>
    </xf>
    <xf numFmtId="167" fontId="1" fillId="7" borderId="92" xfId="0" applyNumberFormat="1" applyFont="1" applyFill="1" applyBorder="1" applyAlignment="1">
      <alignment horizontal="center" vertical="center"/>
    </xf>
    <xf numFmtId="167" fontId="1" fillId="7" borderId="43" xfId="0" applyNumberFormat="1" applyFont="1" applyFill="1" applyBorder="1" applyAlignment="1">
      <alignment horizontal="center" vertical="center"/>
    </xf>
    <xf numFmtId="167" fontId="1" fillId="7" borderId="40" xfId="0" applyNumberFormat="1" applyFont="1" applyFill="1" applyBorder="1" applyAlignment="1">
      <alignment horizontal="center" vertical="center"/>
    </xf>
    <xf numFmtId="0" fontId="1" fillId="7" borderId="27" xfId="0" applyFont="1" applyFill="1" applyBorder="1" applyAlignment="1">
      <alignment horizontal="center" vertical="center"/>
    </xf>
    <xf numFmtId="165"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165" fontId="1" fillId="7" borderId="10" xfId="0" applyNumberFormat="1" applyFont="1" applyFill="1" applyBorder="1" applyAlignment="1">
      <alignment horizontal="left" vertical="top" wrapText="1"/>
    </xf>
    <xf numFmtId="165" fontId="2" fillId="8" borderId="10"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165" fontId="2" fillId="9" borderId="32"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165" fontId="1" fillId="7" borderId="40"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2" fillId="9" borderId="32"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26" fillId="7" borderId="6" xfId="0" applyNumberFormat="1" applyFont="1" applyFill="1" applyBorder="1" applyAlignment="1">
      <alignment horizontal="center" vertical="top"/>
    </xf>
    <xf numFmtId="165" fontId="26" fillId="7" borderId="5" xfId="0" applyNumberFormat="1" applyFont="1" applyFill="1" applyBorder="1" applyAlignment="1">
      <alignment horizontal="center" vertical="top"/>
    </xf>
    <xf numFmtId="49" fontId="1" fillId="7" borderId="83" xfId="0" applyNumberFormat="1" applyFont="1" applyFill="1" applyBorder="1" applyAlignment="1">
      <alignment horizontal="center" vertical="top"/>
    </xf>
    <xf numFmtId="165" fontId="1" fillId="7" borderId="82" xfId="0" applyNumberFormat="1" applyFont="1" applyFill="1" applyBorder="1" applyAlignment="1">
      <alignment vertical="top" wrapText="1"/>
    </xf>
    <xf numFmtId="165" fontId="26" fillId="7" borderId="7" xfId="0" applyNumberFormat="1" applyFont="1" applyFill="1" applyBorder="1" applyAlignment="1">
      <alignment horizontal="center" vertical="top"/>
    </xf>
    <xf numFmtId="3" fontId="1" fillId="7" borderId="88" xfId="0" applyNumberFormat="1" applyFont="1" applyFill="1" applyBorder="1" applyAlignment="1">
      <alignment horizontal="center" vertical="top"/>
    </xf>
    <xf numFmtId="165" fontId="2" fillId="8" borderId="51" xfId="0" applyNumberFormat="1" applyFont="1" applyFill="1" applyBorder="1" applyAlignment="1">
      <alignment horizontal="center" vertical="top"/>
    </xf>
    <xf numFmtId="0" fontId="27" fillId="0" borderId="0" xfId="0" applyFont="1" applyBorder="1" applyAlignment="1">
      <alignment vertical="top"/>
    </xf>
    <xf numFmtId="0" fontId="27" fillId="0" borderId="0" xfId="0" applyFont="1" applyAlignment="1">
      <alignment vertical="top"/>
    </xf>
    <xf numFmtId="3" fontId="27" fillId="0" borderId="0" xfId="0" applyNumberFormat="1" applyFont="1" applyBorder="1" applyAlignment="1">
      <alignment vertical="top"/>
    </xf>
    <xf numFmtId="0" fontId="28" fillId="0" borderId="0" xfId="0" applyFont="1"/>
    <xf numFmtId="165" fontId="27" fillId="0" borderId="0" xfId="0" applyNumberFormat="1" applyFont="1" applyBorder="1" applyAlignment="1">
      <alignment vertical="top"/>
    </xf>
    <xf numFmtId="164" fontId="27" fillId="0" borderId="0" xfId="1" applyFont="1" applyBorder="1" applyAlignment="1">
      <alignment vertical="top"/>
    </xf>
    <xf numFmtId="0" fontId="27" fillId="3" borderId="0" xfId="0" applyFont="1" applyFill="1" applyAlignment="1">
      <alignment vertical="top"/>
    </xf>
    <xf numFmtId="165" fontId="27" fillId="7" borderId="7" xfId="0" applyNumberFormat="1" applyFont="1" applyFill="1" applyBorder="1" applyAlignment="1">
      <alignment horizontal="center" vertical="top" wrapText="1"/>
    </xf>
    <xf numFmtId="165" fontId="27" fillId="7" borderId="52" xfId="0" applyNumberFormat="1" applyFont="1" applyFill="1" applyBorder="1" applyAlignment="1">
      <alignment horizontal="center" vertical="top"/>
    </xf>
    <xf numFmtId="165" fontId="27" fillId="7" borderId="19" xfId="0" applyNumberFormat="1" applyFont="1" applyFill="1" applyBorder="1" applyAlignment="1">
      <alignment horizontal="center" vertical="top"/>
    </xf>
    <xf numFmtId="165" fontId="27" fillId="7" borderId="36" xfId="0" applyNumberFormat="1" applyFont="1" applyFill="1" applyBorder="1" applyAlignment="1">
      <alignment horizontal="center" vertical="top"/>
    </xf>
    <xf numFmtId="165" fontId="27" fillId="7" borderId="5" xfId="0" applyNumberFormat="1" applyFont="1" applyFill="1" applyBorder="1" applyAlignment="1">
      <alignment horizontal="center" vertical="top" wrapText="1"/>
    </xf>
    <xf numFmtId="165" fontId="27" fillId="7" borderId="0" xfId="0" applyNumberFormat="1" applyFont="1" applyFill="1" applyBorder="1" applyAlignment="1">
      <alignment horizontal="center" vertical="top"/>
    </xf>
    <xf numFmtId="165" fontId="27" fillId="7" borderId="10" xfId="0" applyNumberFormat="1" applyFont="1" applyFill="1" applyBorder="1" applyAlignment="1">
      <alignment horizontal="center" vertical="top"/>
    </xf>
    <xf numFmtId="165" fontId="27" fillId="7" borderId="17" xfId="0" applyNumberFormat="1" applyFont="1" applyFill="1" applyBorder="1" applyAlignment="1">
      <alignment horizontal="center" vertical="top"/>
    </xf>
    <xf numFmtId="165" fontId="27" fillId="7" borderId="5" xfId="0" applyNumberFormat="1" applyFont="1" applyFill="1" applyBorder="1" applyAlignment="1">
      <alignment horizontal="center" vertical="top"/>
    </xf>
    <xf numFmtId="165" fontId="27" fillId="7" borderId="43" xfId="0" applyNumberFormat="1" applyFont="1" applyFill="1" applyBorder="1" applyAlignment="1">
      <alignment horizontal="center" vertical="top"/>
    </xf>
    <xf numFmtId="165" fontId="27" fillId="7" borderId="40" xfId="0" applyNumberFormat="1" applyFont="1" applyFill="1" applyBorder="1" applyAlignment="1">
      <alignment horizontal="center" vertical="top"/>
    </xf>
    <xf numFmtId="165" fontId="27" fillId="7" borderId="7" xfId="0" applyNumberFormat="1" applyFont="1" applyFill="1" applyBorder="1" applyAlignment="1">
      <alignment horizontal="center" vertical="top"/>
    </xf>
    <xf numFmtId="165" fontId="27" fillId="7" borderId="75" xfId="0" applyNumberFormat="1" applyFont="1" applyFill="1" applyBorder="1" applyAlignment="1">
      <alignment horizontal="center" vertical="top"/>
    </xf>
    <xf numFmtId="165" fontId="27" fillId="7" borderId="103" xfId="0" applyNumberFormat="1" applyFont="1" applyFill="1" applyBorder="1" applyAlignment="1">
      <alignment horizontal="center" vertical="top"/>
    </xf>
    <xf numFmtId="165" fontId="27" fillId="7" borderId="70" xfId="0" applyNumberFormat="1" applyFont="1" applyFill="1" applyBorder="1" applyAlignment="1">
      <alignment horizontal="center" vertical="top"/>
    </xf>
    <xf numFmtId="165" fontId="27" fillId="7" borderId="93" xfId="0" applyNumberFormat="1" applyFont="1" applyFill="1" applyBorder="1" applyAlignment="1">
      <alignment horizontal="center" vertical="top"/>
    </xf>
    <xf numFmtId="165" fontId="27" fillId="7" borderId="22" xfId="0" applyNumberFormat="1" applyFont="1" applyFill="1" applyBorder="1" applyAlignment="1">
      <alignment horizontal="center" vertical="top"/>
    </xf>
    <xf numFmtId="165" fontId="27" fillId="7" borderId="65" xfId="0" applyNumberFormat="1" applyFont="1" applyFill="1" applyBorder="1" applyAlignment="1">
      <alignment horizontal="center" vertical="top"/>
    </xf>
    <xf numFmtId="165" fontId="27" fillId="7" borderId="26" xfId="0" applyNumberFormat="1" applyFont="1" applyFill="1" applyBorder="1" applyAlignment="1">
      <alignment horizontal="center" vertical="top"/>
    </xf>
    <xf numFmtId="165" fontId="27" fillId="7" borderId="47" xfId="0" applyNumberFormat="1" applyFont="1" applyFill="1" applyBorder="1" applyAlignment="1">
      <alignment horizontal="center" vertical="top"/>
    </xf>
    <xf numFmtId="165" fontId="27" fillId="7" borderId="18" xfId="0" applyNumberFormat="1" applyFont="1" applyFill="1" applyBorder="1" applyAlignment="1">
      <alignment horizontal="center" vertical="top"/>
    </xf>
    <xf numFmtId="165" fontId="27" fillId="7" borderId="25" xfId="0" applyNumberFormat="1" applyFont="1" applyFill="1" applyBorder="1" applyAlignment="1">
      <alignment horizontal="center" vertical="top"/>
    </xf>
    <xf numFmtId="0" fontId="27" fillId="7" borderId="22" xfId="0" applyFont="1" applyFill="1" applyBorder="1" applyAlignment="1">
      <alignment horizontal="center" vertical="top"/>
    </xf>
    <xf numFmtId="165" fontId="27" fillId="7" borderId="41" xfId="0" applyNumberFormat="1" applyFont="1" applyFill="1" applyBorder="1" applyAlignment="1">
      <alignment horizontal="center" vertical="top"/>
    </xf>
    <xf numFmtId="165" fontId="27" fillId="7" borderId="22" xfId="0" applyNumberFormat="1" applyFont="1" applyFill="1" applyBorder="1" applyAlignment="1">
      <alignment horizontal="center" vertical="top" wrapText="1"/>
    </xf>
    <xf numFmtId="0" fontId="27" fillId="0" borderId="22" xfId="0" applyFont="1" applyBorder="1" applyAlignment="1">
      <alignment horizontal="center" vertical="top"/>
    </xf>
    <xf numFmtId="0" fontId="27" fillId="0" borderId="18" xfId="0" applyFont="1" applyBorder="1" applyAlignment="1">
      <alignment vertical="top"/>
    </xf>
    <xf numFmtId="165" fontId="27" fillId="7" borderId="34" xfId="0" applyNumberFormat="1" applyFont="1" applyFill="1" applyBorder="1" applyAlignment="1">
      <alignment horizontal="center" vertical="top"/>
    </xf>
    <xf numFmtId="0" fontId="27" fillId="7" borderId="7" xfId="0" applyFont="1" applyFill="1" applyBorder="1" applyAlignment="1">
      <alignment horizontal="center" vertical="top"/>
    </xf>
    <xf numFmtId="165" fontId="27" fillId="7" borderId="20" xfId="0" applyNumberFormat="1" applyFont="1" applyFill="1" applyBorder="1" applyAlignment="1">
      <alignment horizontal="center" vertical="top"/>
    </xf>
    <xf numFmtId="165" fontId="27" fillId="7" borderId="32" xfId="0" applyNumberFormat="1" applyFont="1" applyFill="1" applyBorder="1" applyAlignment="1">
      <alignment horizontal="center" vertical="top"/>
    </xf>
    <xf numFmtId="165" fontId="27" fillId="7" borderId="6" xfId="0" applyNumberFormat="1" applyFont="1" applyFill="1" applyBorder="1" applyAlignment="1">
      <alignment horizontal="center" vertical="top"/>
    </xf>
    <xf numFmtId="165" fontId="27" fillId="7" borderId="65" xfId="0" applyNumberFormat="1" applyFont="1" applyFill="1" applyBorder="1" applyAlignment="1">
      <alignment vertical="top"/>
    </xf>
    <xf numFmtId="165" fontId="27" fillId="7" borderId="26" xfId="0" applyNumberFormat="1" applyFont="1" applyFill="1" applyBorder="1" applyAlignment="1">
      <alignment vertical="top"/>
    </xf>
    <xf numFmtId="165" fontId="27" fillId="7" borderId="47" xfId="0" applyNumberFormat="1" applyFont="1" applyFill="1" applyBorder="1" applyAlignment="1">
      <alignment vertical="top"/>
    </xf>
    <xf numFmtId="165" fontId="27" fillId="7" borderId="21" xfId="0" applyNumberFormat="1" applyFont="1" applyFill="1" applyBorder="1" applyAlignment="1">
      <alignment horizontal="center" vertical="top"/>
    </xf>
    <xf numFmtId="165" fontId="27" fillId="7" borderId="22" xfId="1" applyNumberFormat="1" applyFont="1" applyFill="1" applyBorder="1" applyAlignment="1">
      <alignment horizontal="center" vertical="top" wrapText="1"/>
    </xf>
    <xf numFmtId="165" fontId="27" fillId="7" borderId="65" xfId="1" applyNumberFormat="1" applyFont="1" applyFill="1" applyBorder="1" applyAlignment="1">
      <alignment horizontal="center" vertical="top"/>
    </xf>
    <xf numFmtId="165" fontId="27" fillId="7" borderId="26" xfId="1" applyNumberFormat="1" applyFont="1" applyFill="1" applyBorder="1" applyAlignment="1">
      <alignment horizontal="center" vertical="top"/>
    </xf>
    <xf numFmtId="165" fontId="27" fillId="7" borderId="47" xfId="1" applyNumberFormat="1" applyFont="1" applyFill="1" applyBorder="1" applyAlignment="1">
      <alignment horizontal="center" vertical="top"/>
    </xf>
    <xf numFmtId="165" fontId="27" fillId="7" borderId="88" xfId="0" applyNumberFormat="1" applyFont="1" applyFill="1" applyBorder="1" applyAlignment="1">
      <alignment horizontal="center" vertical="top"/>
    </xf>
    <xf numFmtId="165" fontId="27" fillId="7" borderId="84" xfId="0" applyNumberFormat="1" applyFont="1" applyFill="1" applyBorder="1" applyAlignment="1">
      <alignment horizontal="center" vertical="top"/>
    </xf>
    <xf numFmtId="165" fontId="27" fillId="7" borderId="114" xfId="0" applyNumberFormat="1" applyFont="1" applyFill="1" applyBorder="1" applyAlignment="1">
      <alignment horizontal="center" vertical="top"/>
    </xf>
    <xf numFmtId="165" fontId="27" fillId="7" borderId="22" xfId="0" applyNumberFormat="1" applyFont="1" applyFill="1" applyBorder="1" applyAlignment="1">
      <alignment horizontal="center" vertical="center"/>
    </xf>
    <xf numFmtId="165" fontId="27" fillId="7" borderId="65" xfId="0" applyNumberFormat="1" applyFont="1" applyFill="1" applyBorder="1" applyAlignment="1">
      <alignment horizontal="center" vertical="center"/>
    </xf>
    <xf numFmtId="165" fontId="27" fillId="7" borderId="26" xfId="0" applyNumberFormat="1" applyFont="1" applyFill="1" applyBorder="1" applyAlignment="1">
      <alignment horizontal="center" vertical="center"/>
    </xf>
    <xf numFmtId="165" fontId="27" fillId="7" borderId="47" xfId="0" applyNumberFormat="1" applyFont="1" applyFill="1" applyBorder="1" applyAlignment="1">
      <alignment horizontal="center" vertical="center"/>
    </xf>
    <xf numFmtId="165" fontId="27" fillId="7" borderId="85" xfId="0" applyNumberFormat="1" applyFont="1" applyFill="1" applyBorder="1" applyAlignment="1">
      <alignment horizontal="center" vertical="top"/>
    </xf>
    <xf numFmtId="165" fontId="27" fillId="0" borderId="5" xfId="0" applyNumberFormat="1" applyFont="1" applyFill="1" applyBorder="1" applyAlignment="1">
      <alignment horizontal="center" vertical="top"/>
    </xf>
    <xf numFmtId="165" fontId="27" fillId="7" borderId="27" xfId="0" applyNumberFormat="1" applyFont="1" applyFill="1" applyBorder="1" applyAlignment="1">
      <alignment horizontal="center" vertical="top"/>
    </xf>
    <xf numFmtId="165" fontId="27" fillId="7" borderId="85" xfId="0" applyNumberFormat="1" applyFont="1" applyFill="1" applyBorder="1" applyAlignment="1">
      <alignment horizontal="center" vertical="top" wrapText="1"/>
    </xf>
    <xf numFmtId="165" fontId="27" fillId="7" borderId="104" xfId="0" applyNumberFormat="1" applyFont="1" applyFill="1" applyBorder="1" applyAlignment="1">
      <alignment horizontal="center" vertical="top"/>
    </xf>
    <xf numFmtId="165" fontId="27" fillId="7" borderId="86" xfId="0" applyNumberFormat="1" applyFont="1" applyFill="1" applyBorder="1" applyAlignment="1">
      <alignment horizontal="center" vertical="top"/>
    </xf>
    <xf numFmtId="165" fontId="27" fillId="7" borderId="75" xfId="0" applyNumberFormat="1" applyFont="1" applyFill="1" applyBorder="1" applyAlignment="1">
      <alignment horizontal="center" vertical="top" wrapText="1"/>
    </xf>
    <xf numFmtId="165" fontId="27" fillId="7" borderId="71" xfId="0" applyNumberFormat="1" applyFont="1" applyFill="1" applyBorder="1" applyAlignment="1">
      <alignment horizontal="center" vertical="top"/>
    </xf>
    <xf numFmtId="165" fontId="29" fillId="7" borderId="73" xfId="0" applyNumberFormat="1" applyFont="1" applyFill="1" applyBorder="1" applyAlignment="1">
      <alignment horizontal="center" vertical="top"/>
    </xf>
    <xf numFmtId="165" fontId="29" fillId="7" borderId="84" xfId="0" applyNumberFormat="1" applyFont="1" applyFill="1" applyBorder="1" applyAlignment="1">
      <alignment horizontal="center" vertical="top"/>
    </xf>
    <xf numFmtId="0" fontId="27" fillId="7" borderId="5" xfId="0" applyFont="1" applyFill="1" applyBorder="1" applyAlignment="1">
      <alignment horizontal="center" vertical="top"/>
    </xf>
    <xf numFmtId="0" fontId="27" fillId="7" borderId="85" xfId="0" applyFont="1" applyFill="1" applyBorder="1" applyAlignment="1">
      <alignment horizontal="center" vertical="top"/>
    </xf>
    <xf numFmtId="0" fontId="27" fillId="7" borderId="78" xfId="0" applyFont="1" applyFill="1" applyBorder="1" applyAlignment="1">
      <alignment horizontal="center" vertical="top"/>
    </xf>
    <xf numFmtId="165" fontId="27" fillId="7" borderId="67" xfId="0" applyNumberFormat="1" applyFont="1" applyFill="1" applyBorder="1" applyAlignment="1">
      <alignment horizontal="center" vertical="top"/>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40" xfId="0" applyNumberFormat="1" applyFont="1" applyFill="1" applyBorder="1" applyAlignment="1">
      <alignment horizontal="center" vertical="center"/>
    </xf>
    <xf numFmtId="165" fontId="27" fillId="7" borderId="52" xfId="0" applyNumberFormat="1" applyFont="1" applyFill="1" applyBorder="1" applyAlignment="1">
      <alignment horizontal="center" vertical="center"/>
    </xf>
    <xf numFmtId="165" fontId="27" fillId="7" borderId="19" xfId="0" applyNumberFormat="1" applyFont="1" applyFill="1" applyBorder="1" applyAlignment="1">
      <alignment horizontal="center" vertical="center"/>
    </xf>
    <xf numFmtId="165" fontId="27" fillId="7" borderId="36" xfId="0" applyNumberFormat="1" applyFont="1" applyFill="1" applyBorder="1" applyAlignment="1">
      <alignment horizontal="center" vertical="center"/>
    </xf>
    <xf numFmtId="165" fontId="27" fillId="7" borderId="92" xfId="0" applyNumberFormat="1" applyFont="1" applyFill="1" applyBorder="1" applyAlignment="1">
      <alignment horizontal="center" vertical="top"/>
    </xf>
    <xf numFmtId="165" fontId="27" fillId="7" borderId="90" xfId="0" applyNumberFormat="1" applyFont="1" applyFill="1" applyBorder="1" applyAlignment="1">
      <alignment horizontal="center" vertical="top"/>
    </xf>
    <xf numFmtId="165" fontId="27" fillId="7" borderId="78" xfId="0" applyNumberFormat="1" applyFont="1" applyFill="1" applyBorder="1" applyAlignment="1">
      <alignment horizontal="center" vertical="top"/>
    </xf>
    <xf numFmtId="165" fontId="27" fillId="7" borderId="106" xfId="0" applyNumberFormat="1" applyFont="1" applyFill="1" applyBorder="1" applyAlignment="1">
      <alignment horizontal="center" vertical="top"/>
    </xf>
    <xf numFmtId="165" fontId="27" fillId="7" borderId="101" xfId="0" applyNumberFormat="1" applyFont="1" applyFill="1" applyBorder="1" applyAlignment="1">
      <alignment horizontal="center" vertical="top"/>
    </xf>
    <xf numFmtId="165" fontId="27" fillId="3" borderId="7" xfId="0" applyNumberFormat="1" applyFont="1" applyFill="1" applyBorder="1" applyAlignment="1">
      <alignment horizontal="center" vertical="top"/>
    </xf>
    <xf numFmtId="165" fontId="27" fillId="3" borderId="22" xfId="0" applyNumberFormat="1" applyFont="1" applyFill="1" applyBorder="1" applyAlignment="1">
      <alignment horizontal="center" vertical="top"/>
    </xf>
    <xf numFmtId="0" fontId="27" fillId="0" borderId="5" xfId="0" applyFont="1" applyBorder="1" applyAlignment="1">
      <alignment horizontal="center" vertical="top"/>
    </xf>
    <xf numFmtId="0" fontId="27" fillId="0" borderId="44" xfId="0" applyFont="1" applyBorder="1" applyAlignment="1">
      <alignment vertical="top"/>
    </xf>
    <xf numFmtId="0" fontId="27" fillId="0" borderId="17" xfId="0" applyFont="1" applyBorder="1" applyAlignment="1">
      <alignment vertical="top"/>
    </xf>
    <xf numFmtId="165" fontId="27" fillId="0" borderId="7" xfId="0" applyNumberFormat="1" applyFont="1" applyFill="1" applyBorder="1" applyAlignment="1">
      <alignment horizontal="center" vertical="top"/>
    </xf>
    <xf numFmtId="165" fontId="27" fillId="0" borderId="65" xfId="0" applyNumberFormat="1" applyFont="1" applyBorder="1" applyAlignment="1">
      <alignment horizontal="center" vertical="top"/>
    </xf>
    <xf numFmtId="165" fontId="27" fillId="0" borderId="26" xfId="0" applyNumberFormat="1" applyFont="1" applyBorder="1" applyAlignment="1">
      <alignment horizontal="center" vertical="top"/>
    </xf>
    <xf numFmtId="165" fontId="27" fillId="7" borderId="68" xfId="0" applyNumberFormat="1" applyFont="1" applyFill="1" applyBorder="1" applyAlignment="1">
      <alignment horizontal="center" vertical="top"/>
    </xf>
    <xf numFmtId="0" fontId="27" fillId="7" borderId="85" xfId="0" applyFont="1" applyFill="1" applyBorder="1" applyAlignment="1">
      <alignment horizontal="center" vertical="center"/>
    </xf>
    <xf numFmtId="0" fontId="27" fillId="7" borderId="84" xfId="0" applyFont="1" applyFill="1" applyBorder="1" applyAlignment="1">
      <alignment horizontal="center" vertical="center"/>
    </xf>
    <xf numFmtId="167" fontId="27" fillId="7" borderId="84" xfId="0" applyNumberFormat="1" applyFont="1" applyFill="1" applyBorder="1" applyAlignment="1">
      <alignment horizontal="center" vertical="center"/>
    </xf>
    <xf numFmtId="167" fontId="27" fillId="7" borderId="114" xfId="0" applyNumberFormat="1" applyFont="1" applyFill="1" applyBorder="1" applyAlignment="1">
      <alignment horizontal="center" vertical="center"/>
    </xf>
    <xf numFmtId="0" fontId="27" fillId="7" borderId="10" xfId="0" applyFont="1" applyFill="1" applyBorder="1" applyAlignment="1">
      <alignment horizontal="center" vertical="center"/>
    </xf>
    <xf numFmtId="167" fontId="27" fillId="7" borderId="10" xfId="0" applyNumberFormat="1" applyFont="1" applyFill="1" applyBorder="1" applyAlignment="1">
      <alignment horizontal="center" vertical="center"/>
    </xf>
    <xf numFmtId="167" fontId="27" fillId="7" borderId="17" xfId="0" applyNumberFormat="1" applyFont="1" applyFill="1" applyBorder="1" applyAlignment="1">
      <alignment horizontal="center" vertical="center"/>
    </xf>
    <xf numFmtId="0" fontId="27" fillId="7" borderId="22" xfId="0" applyFont="1" applyFill="1" applyBorder="1" applyAlignment="1">
      <alignment horizontal="center" vertical="center"/>
    </xf>
    <xf numFmtId="0" fontId="27" fillId="7" borderId="26" xfId="0" applyFont="1" applyFill="1" applyBorder="1" applyAlignment="1">
      <alignment horizontal="center" vertical="center"/>
    </xf>
    <xf numFmtId="167" fontId="27" fillId="7" borderId="26" xfId="0" applyNumberFormat="1" applyFont="1" applyFill="1" applyBorder="1" applyAlignment="1">
      <alignment horizontal="center" vertical="center"/>
    </xf>
    <xf numFmtId="167" fontId="27" fillId="7" borderId="25" xfId="0" applyNumberFormat="1" applyFont="1" applyFill="1" applyBorder="1" applyAlignment="1">
      <alignment horizontal="center" vertical="center"/>
    </xf>
    <xf numFmtId="165" fontId="27" fillId="7" borderId="69" xfId="0" applyNumberFormat="1" applyFont="1" applyFill="1" applyBorder="1" applyAlignment="1">
      <alignment horizontal="center" vertical="top"/>
    </xf>
    <xf numFmtId="165" fontId="30" fillId="7" borderId="5" xfId="0" applyNumberFormat="1" applyFont="1" applyFill="1" applyBorder="1" applyAlignment="1">
      <alignment horizontal="center" vertical="top"/>
    </xf>
    <xf numFmtId="165" fontId="30" fillId="7" borderId="0" xfId="0" applyNumberFormat="1" applyFont="1" applyFill="1" applyBorder="1" applyAlignment="1">
      <alignment horizontal="center" vertical="top"/>
    </xf>
    <xf numFmtId="165" fontId="30" fillId="7" borderId="10" xfId="0" applyNumberFormat="1" applyFont="1" applyFill="1" applyBorder="1" applyAlignment="1">
      <alignment horizontal="center" vertical="top"/>
    </xf>
    <xf numFmtId="165" fontId="30" fillId="7" borderId="17" xfId="0" applyNumberFormat="1" applyFont="1" applyFill="1" applyBorder="1" applyAlignment="1">
      <alignment horizontal="center" vertical="top"/>
    </xf>
    <xf numFmtId="165" fontId="30" fillId="7" borderId="83" xfId="0" applyNumberFormat="1" applyFont="1" applyFill="1" applyBorder="1" applyAlignment="1">
      <alignment horizontal="center" vertical="top"/>
    </xf>
    <xf numFmtId="165" fontId="30" fillId="7" borderId="114" xfId="0" applyNumberFormat="1" applyFont="1" applyFill="1" applyBorder="1" applyAlignment="1">
      <alignment horizontal="center" vertical="top"/>
    </xf>
    <xf numFmtId="165" fontId="1" fillId="7" borderId="68" xfId="0" applyNumberFormat="1" applyFont="1" applyFill="1" applyBorder="1" applyAlignment="1">
      <alignment vertical="top"/>
    </xf>
    <xf numFmtId="165" fontId="30" fillId="7" borderId="7" xfId="0" applyNumberFormat="1" applyFont="1" applyFill="1" applyBorder="1" applyAlignment="1">
      <alignment horizontal="center" vertical="top"/>
    </xf>
    <xf numFmtId="165" fontId="30" fillId="7" borderId="34" xfId="0" applyNumberFormat="1" applyFont="1" applyFill="1" applyBorder="1" applyAlignment="1">
      <alignment horizontal="center" vertical="top"/>
    </xf>
    <xf numFmtId="165" fontId="30" fillId="7" borderId="19" xfId="0" applyNumberFormat="1" applyFont="1" applyFill="1" applyBorder="1" applyAlignment="1">
      <alignment horizontal="center" vertical="top"/>
    </xf>
    <xf numFmtId="165" fontId="30" fillId="7" borderId="20" xfId="0" applyNumberFormat="1" applyFont="1" applyFill="1" applyBorder="1" applyAlignment="1">
      <alignment horizontal="center" vertical="top"/>
    </xf>
    <xf numFmtId="165" fontId="30" fillId="7" borderId="75" xfId="0" applyNumberFormat="1" applyFont="1" applyFill="1" applyBorder="1" applyAlignment="1">
      <alignment horizontal="left" vertical="top" wrapText="1"/>
    </xf>
    <xf numFmtId="49" fontId="30" fillId="7" borderId="69" xfId="0" applyNumberFormat="1" applyFont="1" applyFill="1" applyBorder="1" applyAlignment="1">
      <alignment horizontal="center" vertical="top"/>
    </xf>
    <xf numFmtId="49" fontId="30" fillId="7" borderId="71" xfId="0" applyNumberFormat="1" applyFont="1" applyFill="1" applyBorder="1" applyAlignment="1">
      <alignment horizontal="center" vertical="top"/>
    </xf>
    <xf numFmtId="49" fontId="30" fillId="7" borderId="34" xfId="0" applyNumberFormat="1" applyFont="1" applyFill="1" applyBorder="1" applyAlignment="1">
      <alignment horizontal="center" vertical="top"/>
    </xf>
    <xf numFmtId="49" fontId="30" fillId="7" borderId="20" xfId="0" applyNumberFormat="1" applyFont="1" applyFill="1" applyBorder="1" applyAlignment="1">
      <alignment horizontal="center" vertical="top"/>
    </xf>
    <xf numFmtId="165" fontId="30" fillId="7" borderId="27" xfId="0" applyNumberFormat="1" applyFont="1" applyFill="1" applyBorder="1" applyAlignment="1">
      <alignment horizontal="center" vertical="top"/>
    </xf>
    <xf numFmtId="165" fontId="30" fillId="7" borderId="25" xfId="0" applyNumberFormat="1" applyFont="1" applyFill="1" applyBorder="1" applyAlignment="1">
      <alignment horizontal="center" vertical="top"/>
    </xf>
    <xf numFmtId="165" fontId="30" fillId="7" borderId="85" xfId="0" applyNumberFormat="1" applyFont="1" applyFill="1" applyBorder="1" applyAlignment="1">
      <alignment horizontal="center" vertical="top"/>
    </xf>
    <xf numFmtId="49" fontId="30" fillId="7" borderId="100" xfId="0" applyNumberFormat="1" applyFont="1" applyFill="1" applyBorder="1" applyAlignment="1">
      <alignment horizontal="center" vertical="top"/>
    </xf>
    <xf numFmtId="49" fontId="30" fillId="7" borderId="68" xfId="0" applyNumberFormat="1" applyFont="1" applyFill="1" applyBorder="1" applyAlignment="1">
      <alignment horizontal="center" vertical="top"/>
    </xf>
    <xf numFmtId="165" fontId="30" fillId="7" borderId="7" xfId="0" applyNumberFormat="1" applyFont="1" applyFill="1" applyBorder="1" applyAlignment="1">
      <alignment horizontal="center" vertical="top" wrapText="1"/>
    </xf>
    <xf numFmtId="165" fontId="30" fillId="7" borderId="6" xfId="0" applyNumberFormat="1" applyFont="1" applyFill="1" applyBorder="1" applyAlignment="1">
      <alignment horizontal="center" vertical="top"/>
    </xf>
    <xf numFmtId="0" fontId="30" fillId="7" borderId="85" xfId="0" applyFont="1" applyFill="1" applyBorder="1" applyAlignment="1">
      <alignment horizontal="center" vertical="top"/>
    </xf>
    <xf numFmtId="165" fontId="30" fillId="7" borderId="84" xfId="0" applyNumberFormat="1" applyFont="1" applyFill="1" applyBorder="1" applyAlignment="1">
      <alignment horizontal="center" vertical="top"/>
    </xf>
    <xf numFmtId="0" fontId="30" fillId="7" borderId="78" xfId="0" applyFont="1" applyFill="1" applyBorder="1" applyAlignment="1">
      <alignment horizontal="center" vertical="top"/>
    </xf>
    <xf numFmtId="165" fontId="30" fillId="7" borderId="67" xfId="0" applyNumberFormat="1" applyFont="1" applyFill="1" applyBorder="1" applyAlignment="1">
      <alignment horizontal="center" vertical="top"/>
    </xf>
    <xf numFmtId="165" fontId="30" fillId="7" borderId="68" xfId="0" applyNumberFormat="1" applyFont="1" applyFill="1" applyBorder="1" applyAlignment="1">
      <alignment horizontal="center" vertical="top"/>
    </xf>
    <xf numFmtId="165" fontId="30" fillId="7" borderId="70" xfId="0" applyNumberFormat="1" applyFont="1" applyFill="1" applyBorder="1" applyAlignment="1">
      <alignment horizontal="left" vertical="top" wrapText="1"/>
    </xf>
    <xf numFmtId="165" fontId="30" fillId="7" borderId="75" xfId="0" applyNumberFormat="1" applyFont="1" applyFill="1" applyBorder="1" applyAlignment="1">
      <alignment horizontal="center" vertical="top" wrapText="1"/>
    </xf>
    <xf numFmtId="165" fontId="30" fillId="7" borderId="43" xfId="0" applyNumberFormat="1" applyFont="1" applyFill="1" applyBorder="1" applyAlignment="1">
      <alignment horizontal="center" vertical="top"/>
    </xf>
    <xf numFmtId="165" fontId="30" fillId="7" borderId="92" xfId="0" applyNumberFormat="1" applyFont="1" applyFill="1" applyBorder="1" applyAlignment="1">
      <alignment horizontal="center" vertical="top"/>
    </xf>
    <xf numFmtId="165" fontId="30" fillId="7" borderId="94" xfId="0" applyNumberFormat="1" applyFont="1" applyFill="1" applyBorder="1" applyAlignment="1">
      <alignment horizontal="center" vertical="top"/>
    </xf>
    <xf numFmtId="165" fontId="30" fillId="7" borderId="70" xfId="0" applyNumberFormat="1" applyFont="1" applyFill="1" applyBorder="1" applyAlignment="1">
      <alignment horizontal="center" vertical="top"/>
    </xf>
    <xf numFmtId="165" fontId="30" fillId="7" borderId="86" xfId="0" applyNumberFormat="1" applyFont="1" applyFill="1" applyBorder="1" applyAlignment="1">
      <alignment horizontal="center" vertical="top"/>
    </xf>
    <xf numFmtId="165" fontId="30" fillId="7" borderId="69" xfId="0" applyNumberFormat="1" applyFont="1" applyFill="1" applyBorder="1" applyAlignment="1">
      <alignment horizontal="center" vertical="top"/>
    </xf>
    <xf numFmtId="0" fontId="30" fillId="7" borderId="85" xfId="0" applyFont="1" applyFill="1" applyBorder="1" applyAlignment="1">
      <alignment vertical="top" wrapText="1"/>
    </xf>
    <xf numFmtId="3" fontId="30" fillId="7" borderId="114" xfId="0" applyNumberFormat="1" applyFont="1" applyFill="1" applyBorder="1" applyAlignment="1">
      <alignment horizontal="center" vertical="top"/>
    </xf>
    <xf numFmtId="165" fontId="30" fillId="7" borderId="41" xfId="0" applyNumberFormat="1" applyFont="1" applyFill="1" applyBorder="1" applyAlignment="1">
      <alignment horizontal="center" vertical="top"/>
    </xf>
    <xf numFmtId="165" fontId="30" fillId="7" borderId="40" xfId="0" applyNumberFormat="1" applyFont="1" applyFill="1" applyBorder="1" applyAlignment="1">
      <alignment horizontal="center" vertical="top"/>
    </xf>
    <xf numFmtId="165" fontId="30" fillId="7" borderId="78" xfId="0" applyNumberFormat="1" applyFont="1" applyFill="1" applyBorder="1" applyAlignment="1">
      <alignment horizontal="center" vertical="top"/>
    </xf>
    <xf numFmtId="165" fontId="30" fillId="7" borderId="100" xfId="0" applyNumberFormat="1" applyFont="1" applyFill="1" applyBorder="1" applyAlignment="1">
      <alignment horizontal="center" vertical="top"/>
    </xf>
    <xf numFmtId="165" fontId="30" fillId="7" borderId="77" xfId="0" applyNumberFormat="1" applyFont="1" applyFill="1" applyBorder="1" applyAlignment="1">
      <alignment horizontal="center" vertical="top"/>
    </xf>
    <xf numFmtId="165" fontId="30" fillId="7" borderId="101" xfId="0" applyNumberFormat="1" applyFont="1" applyFill="1" applyBorder="1" applyAlignment="1">
      <alignment horizontal="center" vertical="top"/>
    </xf>
    <xf numFmtId="0" fontId="30" fillId="7" borderId="5" xfId="0" applyFont="1" applyFill="1" applyBorder="1" applyAlignment="1">
      <alignment horizontal="center" vertical="top"/>
    </xf>
    <xf numFmtId="0" fontId="30" fillId="7" borderId="85" xfId="0" applyFont="1" applyFill="1" applyBorder="1" applyAlignment="1">
      <alignment horizontal="center" vertical="center"/>
    </xf>
    <xf numFmtId="167" fontId="30" fillId="7" borderId="92" xfId="0" applyNumberFormat="1" applyFont="1" applyFill="1" applyBorder="1" applyAlignment="1">
      <alignment horizontal="center" vertical="center"/>
    </xf>
    <xf numFmtId="167" fontId="30" fillId="7" borderId="90" xfId="0" applyNumberFormat="1" applyFont="1" applyFill="1" applyBorder="1" applyAlignment="1">
      <alignment horizontal="center" vertical="center"/>
    </xf>
    <xf numFmtId="0" fontId="30" fillId="7" borderId="22" xfId="0" applyFont="1" applyFill="1" applyBorder="1" applyAlignment="1">
      <alignment horizontal="center" vertical="center"/>
    </xf>
    <xf numFmtId="0" fontId="30" fillId="7" borderId="26" xfId="0" applyFont="1" applyFill="1" applyBorder="1" applyAlignment="1">
      <alignment horizontal="center" vertical="center"/>
    </xf>
    <xf numFmtId="0" fontId="30" fillId="7" borderId="25" xfId="0" applyFont="1" applyFill="1" applyBorder="1" applyAlignment="1">
      <alignment horizontal="center" vertical="center"/>
    </xf>
    <xf numFmtId="167" fontId="30" fillId="7" borderId="18" xfId="0" applyNumberFormat="1" applyFont="1" applyFill="1" applyBorder="1" applyAlignment="1">
      <alignment horizontal="center" vertical="center"/>
    </xf>
    <xf numFmtId="167" fontId="30" fillId="7" borderId="26"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47" xfId="0" applyNumberFormat="1" applyFont="1" applyFill="1" applyBorder="1" applyAlignment="1">
      <alignment horizontal="center" vertical="center"/>
    </xf>
    <xf numFmtId="0" fontId="30" fillId="7" borderId="6" xfId="0" applyFont="1" applyFill="1" applyBorder="1" applyAlignment="1">
      <alignment horizontal="center" vertical="center"/>
    </xf>
    <xf numFmtId="0" fontId="30" fillId="7" borderId="17" xfId="0" applyFont="1" applyFill="1" applyBorder="1" applyAlignment="1">
      <alignment horizontal="center" vertical="center"/>
    </xf>
    <xf numFmtId="0" fontId="30" fillId="7" borderId="44" xfId="0" applyFont="1" applyFill="1" applyBorder="1" applyAlignment="1">
      <alignment horizontal="center" vertical="center"/>
    </xf>
    <xf numFmtId="49" fontId="2" fillId="8" borderId="0" xfId="0" applyNumberFormat="1" applyFont="1" applyFill="1" applyBorder="1" applyAlignment="1">
      <alignment horizontal="center" vertical="top"/>
    </xf>
    <xf numFmtId="3" fontId="30" fillId="0" borderId="6" xfId="0" applyNumberFormat="1" applyFont="1" applyFill="1" applyBorder="1" applyAlignment="1">
      <alignment horizontal="center" vertical="top"/>
    </xf>
    <xf numFmtId="3" fontId="30" fillId="0" borderId="17" xfId="0" applyNumberFormat="1" applyFont="1" applyFill="1" applyBorder="1" applyAlignment="1">
      <alignment horizontal="center" vertical="top"/>
    </xf>
    <xf numFmtId="3" fontId="30" fillId="0" borderId="43" xfId="0" applyNumberFormat="1" applyFont="1" applyFill="1" applyBorder="1" applyAlignment="1">
      <alignment horizontal="center" vertical="top"/>
    </xf>
    <xf numFmtId="3" fontId="30" fillId="7" borderId="6" xfId="0" applyNumberFormat="1" applyFont="1" applyFill="1" applyBorder="1" applyAlignment="1">
      <alignment horizontal="center" vertical="top"/>
    </xf>
    <xf numFmtId="3" fontId="30" fillId="7" borderId="17" xfId="0" applyNumberFormat="1" applyFont="1" applyFill="1" applyBorder="1" applyAlignment="1">
      <alignment horizontal="center" vertical="top"/>
    </xf>
    <xf numFmtId="3" fontId="30" fillId="7" borderId="43" xfId="0" applyNumberFormat="1" applyFont="1" applyFill="1" applyBorder="1" applyAlignment="1">
      <alignment horizontal="center" vertical="top"/>
    </xf>
    <xf numFmtId="165" fontId="30" fillId="7" borderId="22" xfId="0" applyNumberFormat="1" applyFont="1" applyFill="1" applyBorder="1" applyAlignment="1">
      <alignment horizontal="center" vertical="top"/>
    </xf>
    <xf numFmtId="165" fontId="30" fillId="7" borderId="26" xfId="0" applyNumberFormat="1" applyFont="1" applyFill="1" applyBorder="1" applyAlignment="1">
      <alignment horizontal="center" vertical="top"/>
    </xf>
    <xf numFmtId="165" fontId="30" fillId="7" borderId="18" xfId="0" applyNumberFormat="1" applyFont="1" applyFill="1" applyBorder="1" applyAlignment="1">
      <alignment horizontal="center" vertical="top"/>
    </xf>
    <xf numFmtId="3" fontId="30" fillId="7" borderId="27" xfId="0" applyNumberFormat="1" applyFont="1" applyFill="1" applyBorder="1" applyAlignment="1">
      <alignment horizontal="center" vertical="top"/>
    </xf>
    <xf numFmtId="3" fontId="30" fillId="7" borderId="47" xfId="0" applyNumberFormat="1" applyFont="1" applyFill="1" applyBorder="1" applyAlignment="1">
      <alignment horizontal="center" vertical="top"/>
    </xf>
    <xf numFmtId="165" fontId="30" fillId="7" borderId="5" xfId="0" applyNumberFormat="1" applyFont="1" applyFill="1" applyBorder="1" applyAlignment="1">
      <alignment vertical="top" wrapText="1"/>
    </xf>
    <xf numFmtId="165" fontId="30" fillId="7" borderId="87" xfId="0" applyNumberFormat="1" applyFont="1" applyFill="1" applyBorder="1" applyAlignment="1">
      <alignment vertical="top" wrapText="1"/>
    </xf>
    <xf numFmtId="165" fontId="30" fillId="7" borderId="75" xfId="0" applyNumberFormat="1" applyFont="1" applyFill="1" applyBorder="1" applyAlignment="1">
      <alignment vertical="top" wrapText="1"/>
    </xf>
    <xf numFmtId="3" fontId="30" fillId="7" borderId="100" xfId="0" applyNumberFormat="1" applyFont="1" applyFill="1" applyBorder="1" applyAlignment="1">
      <alignment horizontal="center" vertical="top"/>
    </xf>
    <xf numFmtId="3" fontId="30" fillId="7" borderId="83" xfId="0" applyNumberFormat="1" applyFont="1" applyFill="1" applyBorder="1" applyAlignment="1">
      <alignment horizontal="center" vertical="top"/>
    </xf>
    <xf numFmtId="3" fontId="30" fillId="7" borderId="69" xfId="0" applyNumberFormat="1" applyFont="1" applyFill="1" applyBorder="1" applyAlignment="1">
      <alignment horizontal="center" vertical="top"/>
    </xf>
    <xf numFmtId="3" fontId="30" fillId="7" borderId="68" xfId="0" applyNumberFormat="1" applyFont="1" applyFill="1" applyBorder="1" applyAlignment="1">
      <alignment horizontal="center" vertical="top"/>
    </xf>
    <xf numFmtId="3" fontId="30" fillId="7" borderId="71" xfId="0" applyNumberFormat="1" applyFont="1" applyFill="1" applyBorder="1" applyAlignment="1">
      <alignment horizontal="center" vertical="top"/>
    </xf>
    <xf numFmtId="3" fontId="30" fillId="0" borderId="66" xfId="0" applyNumberFormat="1" applyFont="1" applyFill="1" applyBorder="1" applyAlignment="1">
      <alignment horizontal="center" vertical="top"/>
    </xf>
    <xf numFmtId="3" fontId="30" fillId="0" borderId="115" xfId="0" applyNumberFormat="1" applyFont="1" applyFill="1" applyBorder="1" applyAlignment="1">
      <alignment horizontal="center" vertical="top"/>
    </xf>
    <xf numFmtId="0" fontId="6" fillId="8" borderId="124" xfId="0" applyFont="1" applyFill="1" applyBorder="1" applyAlignment="1">
      <alignment vertical="top" wrapText="1"/>
    </xf>
    <xf numFmtId="0" fontId="13" fillId="8" borderId="53" xfId="0" applyFont="1" applyFill="1" applyBorder="1" applyAlignment="1">
      <alignment horizontal="center" textRotation="90" wrapText="1"/>
    </xf>
    <xf numFmtId="165" fontId="6" fillId="8" borderId="125" xfId="0" applyNumberFormat="1" applyFont="1" applyFill="1" applyBorder="1" applyAlignment="1">
      <alignment vertical="top" wrapText="1"/>
    </xf>
    <xf numFmtId="165" fontId="31" fillId="7" borderId="40" xfId="0" applyNumberFormat="1" applyFont="1" applyFill="1" applyBorder="1" applyAlignment="1">
      <alignment horizontal="center" vertical="top" wrapText="1"/>
    </xf>
    <xf numFmtId="3" fontId="30" fillId="7" borderId="0" xfId="0" applyNumberFormat="1" applyFont="1" applyFill="1" applyBorder="1" applyAlignment="1">
      <alignment horizontal="center" vertical="top"/>
    </xf>
    <xf numFmtId="3" fontId="30" fillId="7" borderId="33" xfId="0" applyNumberFormat="1" applyFont="1" applyFill="1" applyBorder="1" applyAlignment="1">
      <alignment horizontal="center" vertical="top"/>
    </xf>
    <xf numFmtId="0" fontId="1" fillId="0" borderId="114" xfId="0" applyFont="1" applyBorder="1" applyAlignment="1">
      <alignment vertical="top"/>
    </xf>
    <xf numFmtId="3" fontId="30" fillId="0" borderId="0" xfId="0" applyNumberFormat="1" applyFont="1" applyFill="1" applyBorder="1" applyAlignment="1">
      <alignment horizontal="center" vertical="top"/>
    </xf>
    <xf numFmtId="3" fontId="30" fillId="7" borderId="76" xfId="0" applyNumberFormat="1" applyFont="1" applyFill="1" applyBorder="1" applyAlignment="1">
      <alignment horizontal="center" vertical="top"/>
    </xf>
    <xf numFmtId="3" fontId="30" fillId="7" borderId="79" xfId="0" applyNumberFormat="1" applyFont="1" applyFill="1" applyBorder="1" applyAlignment="1">
      <alignment horizontal="center" vertical="top"/>
    </xf>
    <xf numFmtId="165" fontId="1" fillId="0" borderId="113" xfId="0" applyNumberFormat="1" applyFont="1" applyFill="1" applyBorder="1" applyAlignment="1">
      <alignment vertical="top"/>
    </xf>
    <xf numFmtId="165" fontId="30" fillId="7" borderId="4" xfId="0" applyNumberFormat="1" applyFont="1" applyFill="1" applyBorder="1" applyAlignment="1">
      <alignment horizontal="center" vertical="top"/>
    </xf>
    <xf numFmtId="165" fontId="30" fillId="7" borderId="24" xfId="0" applyNumberFormat="1" applyFont="1" applyFill="1" applyBorder="1" applyAlignment="1">
      <alignment horizontal="center" vertical="top"/>
    </xf>
    <xf numFmtId="165" fontId="30" fillId="7" borderId="46" xfId="0" applyNumberFormat="1" applyFont="1" applyFill="1" applyBorder="1" applyAlignment="1">
      <alignment horizontal="center" vertical="top"/>
    </xf>
    <xf numFmtId="165" fontId="30" fillId="7" borderId="113" xfId="0" applyNumberFormat="1" applyFont="1" applyFill="1" applyBorder="1" applyAlignment="1">
      <alignment horizontal="center" vertical="top"/>
    </xf>
    <xf numFmtId="0" fontId="30" fillId="7" borderId="5" xfId="0" applyFont="1" applyFill="1" applyBorder="1" applyAlignment="1">
      <alignment horizontal="center" vertical="center"/>
    </xf>
    <xf numFmtId="0" fontId="27" fillId="0" borderId="0" xfId="0" applyFont="1" applyBorder="1" applyAlignment="1">
      <alignment horizontal="right" vertical="top"/>
    </xf>
    <xf numFmtId="167" fontId="1" fillId="0" borderId="0" xfId="0" applyNumberFormat="1" applyFont="1" applyBorder="1" applyAlignment="1">
      <alignment vertical="top"/>
    </xf>
    <xf numFmtId="165" fontId="1" fillId="0" borderId="32" xfId="0" applyNumberFormat="1" applyFont="1" applyBorder="1" applyAlignment="1">
      <alignment vertical="top"/>
    </xf>
    <xf numFmtId="49" fontId="2" fillId="8" borderId="28" xfId="0" applyNumberFormat="1" applyFont="1" applyFill="1" applyBorder="1" applyAlignment="1">
      <alignment horizontal="center" vertical="top"/>
    </xf>
    <xf numFmtId="165" fontId="26" fillId="7" borderId="5" xfId="0" applyNumberFormat="1" applyFont="1" applyFill="1" applyBorder="1" applyAlignment="1">
      <alignment horizontal="center" vertical="top" wrapText="1"/>
    </xf>
    <xf numFmtId="165" fontId="26" fillId="7" borderId="32" xfId="0" applyNumberFormat="1" applyFont="1" applyFill="1" applyBorder="1" applyAlignment="1">
      <alignment horizontal="center" vertical="top"/>
    </xf>
    <xf numFmtId="165" fontId="26" fillId="7" borderId="10" xfId="0" applyNumberFormat="1" applyFont="1" applyFill="1" applyBorder="1" applyAlignment="1">
      <alignment horizontal="center" vertical="top"/>
    </xf>
    <xf numFmtId="165" fontId="26" fillId="7" borderId="17" xfId="0" applyNumberFormat="1" applyFont="1" applyFill="1" applyBorder="1" applyAlignment="1">
      <alignment horizontal="center" vertical="top"/>
    </xf>
    <xf numFmtId="165" fontId="26" fillId="7" borderId="43" xfId="0" applyNumberFormat="1" applyFont="1" applyFill="1" applyBorder="1" applyAlignment="1">
      <alignment horizontal="center" vertical="top"/>
    </xf>
    <xf numFmtId="165" fontId="26" fillId="7" borderId="0" xfId="0" applyNumberFormat="1" applyFont="1" applyFill="1" applyBorder="1" applyAlignment="1">
      <alignment horizontal="center" vertical="top"/>
    </xf>
    <xf numFmtId="165" fontId="26" fillId="7" borderId="40" xfId="0" applyNumberFormat="1" applyFont="1" applyFill="1" applyBorder="1" applyAlignment="1">
      <alignment horizontal="center" vertical="top"/>
    </xf>
    <xf numFmtId="165" fontId="26" fillId="7" borderId="45" xfId="0" applyNumberFormat="1" applyFont="1" applyFill="1" applyBorder="1" applyAlignment="1">
      <alignment horizontal="center" vertical="top"/>
    </xf>
    <xf numFmtId="165" fontId="26" fillId="7" borderId="19" xfId="0" applyNumberFormat="1" applyFont="1" applyFill="1" applyBorder="1" applyAlignment="1">
      <alignment horizontal="center" vertical="top"/>
    </xf>
    <xf numFmtId="165" fontId="26" fillId="7" borderId="20" xfId="0" applyNumberFormat="1" applyFont="1" applyFill="1" applyBorder="1" applyAlignment="1">
      <alignment horizontal="center" vertical="top"/>
    </xf>
    <xf numFmtId="3" fontId="26" fillId="7" borderId="34" xfId="0" applyNumberFormat="1" applyFont="1" applyFill="1" applyBorder="1" applyAlignment="1">
      <alignment horizontal="center" vertical="top"/>
    </xf>
    <xf numFmtId="3" fontId="26" fillId="7" borderId="20" xfId="0" applyNumberFormat="1" applyFont="1" applyFill="1" applyBorder="1" applyAlignment="1">
      <alignment horizontal="center" vertical="top"/>
    </xf>
    <xf numFmtId="3" fontId="26" fillId="7" borderId="6" xfId="0" applyNumberFormat="1" applyFont="1" applyFill="1" applyBorder="1" applyAlignment="1">
      <alignment horizontal="center" vertical="top"/>
    </xf>
    <xf numFmtId="3" fontId="26" fillId="7" borderId="17" xfId="0" applyNumberFormat="1" applyFont="1" applyFill="1" applyBorder="1" applyAlignment="1">
      <alignment horizontal="center" vertical="top"/>
    </xf>
    <xf numFmtId="165" fontId="26" fillId="7" borderId="18" xfId="0" applyNumberFormat="1" applyFont="1" applyFill="1" applyBorder="1" applyAlignment="1">
      <alignment horizontal="center" vertical="top"/>
    </xf>
    <xf numFmtId="165" fontId="26" fillId="7" borderId="47" xfId="0" applyNumberFormat="1" applyFont="1" applyFill="1" applyBorder="1" applyAlignment="1">
      <alignment horizontal="center" vertical="top"/>
    </xf>
    <xf numFmtId="49" fontId="26" fillId="7" borderId="83" xfId="0" applyNumberFormat="1" applyFont="1" applyFill="1" applyBorder="1" applyAlignment="1">
      <alignment horizontal="center" vertical="top"/>
    </xf>
    <xf numFmtId="49" fontId="26" fillId="7" borderId="114" xfId="0" applyNumberFormat="1" applyFont="1" applyFill="1" applyBorder="1" applyAlignment="1">
      <alignment horizontal="center" vertical="top"/>
    </xf>
    <xf numFmtId="165" fontId="26" fillId="7" borderId="41" xfId="0" applyNumberFormat="1" applyFont="1" applyFill="1" applyBorder="1" applyAlignment="1">
      <alignment horizontal="center" vertical="top"/>
    </xf>
    <xf numFmtId="165" fontId="26" fillId="7" borderId="22" xfId="0" applyNumberFormat="1" applyFont="1" applyFill="1" applyBorder="1" applyAlignment="1">
      <alignment horizontal="center" vertical="top" wrapText="1"/>
    </xf>
    <xf numFmtId="165" fontId="26" fillId="7" borderId="65" xfId="0" applyNumberFormat="1" applyFont="1" applyFill="1" applyBorder="1" applyAlignment="1">
      <alignment horizontal="center" vertical="top"/>
    </xf>
    <xf numFmtId="165" fontId="26" fillId="7" borderId="26" xfId="0" applyNumberFormat="1" applyFont="1" applyFill="1" applyBorder="1" applyAlignment="1">
      <alignment horizontal="center" vertical="top"/>
    </xf>
    <xf numFmtId="165" fontId="26" fillId="7" borderId="25" xfId="0" applyNumberFormat="1" applyFont="1" applyFill="1" applyBorder="1" applyAlignment="1">
      <alignment horizontal="center" vertical="top"/>
    </xf>
    <xf numFmtId="165" fontId="26" fillId="7" borderId="5" xfId="0" applyNumberFormat="1" applyFont="1" applyFill="1" applyBorder="1" applyAlignment="1">
      <alignment vertical="top" wrapText="1"/>
    </xf>
    <xf numFmtId="165" fontId="26" fillId="7" borderId="88" xfId="0" applyNumberFormat="1" applyFont="1" applyFill="1" applyBorder="1" applyAlignment="1">
      <alignment vertical="top" wrapText="1"/>
    </xf>
    <xf numFmtId="0" fontId="26" fillId="0" borderId="5" xfId="0" applyFont="1" applyBorder="1" applyAlignment="1">
      <alignment horizontal="center" vertical="top"/>
    </xf>
    <xf numFmtId="0" fontId="26" fillId="0" borderId="0" xfId="0" applyFont="1" applyAlignment="1">
      <alignment vertical="top"/>
    </xf>
    <xf numFmtId="3" fontId="26" fillId="7" borderId="19" xfId="0" applyNumberFormat="1" applyFont="1" applyFill="1" applyBorder="1" applyAlignment="1">
      <alignment horizontal="center" vertical="top"/>
    </xf>
    <xf numFmtId="165" fontId="26" fillId="7" borderId="24" xfId="0" applyNumberFormat="1" applyFont="1" applyFill="1" applyBorder="1" applyAlignment="1">
      <alignment horizontal="center" vertical="top"/>
    </xf>
    <xf numFmtId="165" fontId="26" fillId="7" borderId="27" xfId="0" applyNumberFormat="1" applyFont="1" applyFill="1" applyBorder="1" applyAlignment="1">
      <alignment horizontal="center" vertical="top"/>
    </xf>
    <xf numFmtId="165" fontId="27" fillId="7" borderId="100" xfId="0" applyNumberFormat="1" applyFont="1" applyFill="1" applyBorder="1" applyAlignment="1">
      <alignment horizontal="center" vertical="top"/>
    </xf>
    <xf numFmtId="0" fontId="27" fillId="0" borderId="65" xfId="0" applyFont="1" applyBorder="1" applyAlignment="1">
      <alignment vertical="top"/>
    </xf>
    <xf numFmtId="0" fontId="27" fillId="0" borderId="26" xfId="0" applyFont="1" applyBorder="1" applyAlignment="1">
      <alignment vertical="top"/>
    </xf>
    <xf numFmtId="0" fontId="27" fillId="0" borderId="25" xfId="0" applyFont="1" applyBorder="1" applyAlignment="1">
      <alignment vertical="top"/>
    </xf>
    <xf numFmtId="165" fontId="27" fillId="7" borderId="45" xfId="0" applyNumberFormat="1" applyFont="1" applyFill="1" applyBorder="1" applyAlignment="1">
      <alignment horizontal="center" vertical="top"/>
    </xf>
    <xf numFmtId="165" fontId="27" fillId="7" borderId="33" xfId="0" applyNumberFormat="1" applyFont="1" applyFill="1" applyBorder="1" applyAlignment="1">
      <alignment horizontal="center" vertical="top"/>
    </xf>
    <xf numFmtId="165" fontId="27" fillId="7" borderId="25" xfId="0" applyNumberFormat="1" applyFont="1" applyFill="1" applyBorder="1" applyAlignment="1">
      <alignment vertical="top"/>
    </xf>
    <xf numFmtId="165" fontId="27" fillId="7" borderId="18" xfId="0" applyNumberFormat="1" applyFont="1" applyFill="1" applyBorder="1" applyAlignment="1">
      <alignment vertical="top"/>
    </xf>
    <xf numFmtId="165" fontId="27" fillId="7" borderId="102" xfId="0" applyNumberFormat="1" applyFont="1" applyFill="1" applyBorder="1" applyAlignment="1">
      <alignment horizontal="center" vertical="top"/>
    </xf>
    <xf numFmtId="165" fontId="27" fillId="7" borderId="66" xfId="0" applyNumberFormat="1" applyFont="1" applyFill="1" applyBorder="1" applyAlignment="1">
      <alignment horizontal="center" vertical="top"/>
    </xf>
    <xf numFmtId="165" fontId="27" fillId="7" borderId="95" xfId="0" applyNumberFormat="1" applyFont="1" applyFill="1" applyBorder="1" applyAlignment="1">
      <alignment horizontal="center" vertical="top"/>
    </xf>
    <xf numFmtId="165" fontId="27" fillId="7" borderId="115" xfId="0" applyNumberFormat="1" applyFont="1" applyFill="1" applyBorder="1" applyAlignment="1">
      <alignment horizontal="center" vertical="top"/>
    </xf>
    <xf numFmtId="165" fontId="27" fillId="7" borderId="94" xfId="0" applyNumberFormat="1" applyFont="1" applyFill="1" applyBorder="1" applyAlignment="1">
      <alignment horizontal="center" vertical="top"/>
    </xf>
    <xf numFmtId="165" fontId="29" fillId="7" borderId="96" xfId="0" applyNumberFormat="1" applyFont="1" applyFill="1" applyBorder="1" applyAlignment="1">
      <alignment horizontal="center" vertical="top"/>
    </xf>
    <xf numFmtId="165" fontId="29" fillId="7" borderId="80" xfId="0" applyNumberFormat="1" applyFont="1" applyFill="1" applyBorder="1" applyAlignment="1">
      <alignment horizontal="center" vertical="top"/>
    </xf>
    <xf numFmtId="165" fontId="29" fillId="7" borderId="92" xfId="0" applyNumberFormat="1" applyFont="1" applyFill="1" applyBorder="1" applyAlignment="1">
      <alignment horizontal="center" vertical="top"/>
    </xf>
    <xf numFmtId="165" fontId="29" fillId="7" borderId="114" xfId="0" applyNumberFormat="1" applyFont="1" applyFill="1" applyBorder="1" applyAlignment="1">
      <alignment horizontal="center" vertical="top"/>
    </xf>
    <xf numFmtId="165" fontId="27" fillId="7" borderId="77" xfId="0" applyNumberFormat="1" applyFont="1" applyFill="1" applyBorder="1" applyAlignment="1">
      <alignment horizontal="center" vertical="top"/>
    </xf>
    <xf numFmtId="165" fontId="27" fillId="0" borderId="27" xfId="0" applyNumberFormat="1" applyFont="1" applyBorder="1" applyAlignment="1">
      <alignment horizontal="center" vertical="top"/>
    </xf>
    <xf numFmtId="165" fontId="27" fillId="0" borderId="25" xfId="0" applyNumberFormat="1" applyFont="1" applyBorder="1" applyAlignment="1">
      <alignment horizontal="center" vertical="top"/>
    </xf>
    <xf numFmtId="165" fontId="27" fillId="0" borderId="18" xfId="0" applyNumberFormat="1" applyFont="1" applyBorder="1" applyAlignment="1">
      <alignment horizontal="center" vertical="top"/>
    </xf>
    <xf numFmtId="165" fontId="27" fillId="7" borderId="15" xfId="0" applyNumberFormat="1" applyFont="1" applyFill="1" applyBorder="1" applyAlignment="1">
      <alignment horizontal="center" vertical="top"/>
    </xf>
    <xf numFmtId="0" fontId="27" fillId="7" borderId="6" xfId="0" applyFont="1" applyFill="1" applyBorder="1" applyAlignment="1">
      <alignment horizontal="center" vertical="center"/>
    </xf>
    <xf numFmtId="165" fontId="26" fillId="7" borderId="22" xfId="0" applyNumberFormat="1" applyFont="1" applyFill="1" applyBorder="1" applyAlignment="1">
      <alignment horizontal="center" vertical="top"/>
    </xf>
    <xf numFmtId="165" fontId="26" fillId="6" borderId="17" xfId="0" applyNumberFormat="1" applyFont="1" applyFill="1" applyBorder="1" applyAlignment="1">
      <alignment horizontal="center" vertical="top"/>
    </xf>
    <xf numFmtId="165" fontId="30" fillId="6" borderId="92" xfId="0" applyNumberFormat="1" applyFont="1" applyFill="1" applyBorder="1" applyAlignment="1">
      <alignment horizontal="center" vertical="top"/>
    </xf>
    <xf numFmtId="165" fontId="30" fillId="6" borderId="43" xfId="0" applyNumberFormat="1" applyFont="1" applyFill="1" applyBorder="1" applyAlignment="1">
      <alignment horizontal="center" vertical="top"/>
    </xf>
    <xf numFmtId="165" fontId="30" fillId="10" borderId="17" xfId="0" applyNumberFormat="1" applyFont="1" applyFill="1" applyBorder="1" applyAlignment="1">
      <alignment horizontal="center" vertical="top"/>
    </xf>
    <xf numFmtId="165" fontId="30" fillId="10" borderId="114" xfId="0" applyNumberFormat="1" applyFont="1" applyFill="1" applyBorder="1" applyAlignment="1">
      <alignment horizontal="center" vertical="top"/>
    </xf>
    <xf numFmtId="165" fontId="30" fillId="10" borderId="6" xfId="0" applyNumberFormat="1" applyFont="1" applyFill="1" applyBorder="1" applyAlignment="1">
      <alignment horizontal="center" vertical="top"/>
    </xf>
    <xf numFmtId="165" fontId="30" fillId="10" borderId="43" xfId="0" applyNumberFormat="1" applyFont="1" applyFill="1" applyBorder="1" applyAlignment="1">
      <alignment horizontal="center" vertical="top"/>
    </xf>
    <xf numFmtId="165" fontId="30" fillId="10" borderId="46" xfId="0" applyNumberFormat="1" applyFont="1" applyFill="1" applyBorder="1" applyAlignment="1">
      <alignment horizontal="center" vertical="top"/>
    </xf>
    <xf numFmtId="0" fontId="1" fillId="7" borderId="22" xfId="0"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1" fillId="7" borderId="22" xfId="0" applyNumberFormat="1" applyFont="1" applyFill="1" applyBorder="1" applyAlignment="1">
      <alignment horizontal="left" vertical="top" wrapText="1"/>
    </xf>
    <xf numFmtId="165" fontId="1" fillId="2" borderId="49" xfId="0" applyNumberFormat="1" applyFont="1" applyFill="1" applyBorder="1" applyAlignment="1">
      <alignment horizontal="center" vertical="top" wrapText="1"/>
    </xf>
    <xf numFmtId="165" fontId="1" fillId="2" borderId="60" xfId="0" applyNumberFormat="1" applyFont="1" applyFill="1" applyBorder="1" applyAlignment="1">
      <alignment horizontal="center" vertical="top" wrapText="1"/>
    </xf>
    <xf numFmtId="165" fontId="1" fillId="2" borderId="61" xfId="0" applyNumberFormat="1" applyFont="1" applyFill="1" applyBorder="1" applyAlignment="1">
      <alignment horizontal="center" vertical="top" wrapText="1"/>
    </xf>
    <xf numFmtId="165" fontId="1" fillId="9" borderId="60"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1" fillId="7" borderId="26" xfId="0" applyNumberFormat="1" applyFont="1" applyFill="1" applyBorder="1" applyAlignment="1">
      <alignment vertical="top" wrapText="1"/>
    </xf>
    <xf numFmtId="165" fontId="1" fillId="7" borderId="85" xfId="0" applyNumberFormat="1" applyFont="1" applyFill="1" applyBorder="1" applyAlignment="1">
      <alignment horizontal="left" vertical="top" wrapText="1"/>
    </xf>
    <xf numFmtId="165" fontId="1" fillId="7" borderId="10" xfId="0" applyNumberFormat="1" applyFont="1" applyFill="1" applyBorder="1" applyAlignment="1">
      <alignment vertical="top" wrapText="1"/>
    </xf>
    <xf numFmtId="165" fontId="1" fillId="7" borderId="19" xfId="0" applyNumberFormat="1" applyFont="1" applyFill="1" applyBorder="1" applyAlignment="1">
      <alignment horizontal="left" vertical="top" wrapText="1"/>
    </xf>
    <xf numFmtId="165" fontId="1" fillId="7" borderId="10" xfId="0" applyNumberFormat="1" applyFont="1" applyFill="1" applyBorder="1" applyAlignment="1">
      <alignment horizontal="left" vertical="top" wrapText="1"/>
    </xf>
    <xf numFmtId="165" fontId="1" fillId="7" borderId="26" xfId="0" applyNumberFormat="1" applyFont="1" applyFill="1" applyBorder="1" applyAlignment="1">
      <alignment horizontal="left" vertical="top" wrapText="1"/>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0" fontId="1" fillId="7" borderId="7" xfId="0" applyFont="1" applyFill="1" applyBorder="1" applyAlignment="1">
      <alignment vertical="top" wrapText="1"/>
    </xf>
    <xf numFmtId="0" fontId="1" fillId="7" borderId="85" xfId="0" applyFont="1" applyFill="1" applyBorder="1" applyAlignment="1">
      <alignment horizontal="left" vertical="top" wrapText="1"/>
    </xf>
    <xf numFmtId="0" fontId="1" fillId="0" borderId="5" xfId="0" applyFont="1" applyBorder="1" applyAlignment="1">
      <alignment horizontal="left" vertical="top" wrapText="1"/>
    </xf>
    <xf numFmtId="165" fontId="1" fillId="7" borderId="44" xfId="0" applyNumberFormat="1" applyFont="1" applyFill="1" applyBorder="1" applyAlignment="1">
      <alignment vertical="top" wrapText="1"/>
    </xf>
    <xf numFmtId="165" fontId="1" fillId="7" borderId="5" xfId="0" applyNumberFormat="1" applyFont="1" applyFill="1" applyBorder="1" applyAlignment="1">
      <alignment vertical="top" wrapText="1"/>
    </xf>
    <xf numFmtId="165" fontId="6" fillId="7" borderId="22" xfId="0" applyNumberFormat="1" applyFont="1" applyFill="1" applyBorder="1" applyAlignment="1">
      <alignment vertical="top" wrapText="1"/>
    </xf>
    <xf numFmtId="165" fontId="2" fillId="7" borderId="23" xfId="0" applyNumberFormat="1" applyFont="1" applyFill="1" applyBorder="1" applyAlignment="1">
      <alignment vertical="top" wrapText="1"/>
    </xf>
    <xf numFmtId="165" fontId="2" fillId="7" borderId="10" xfId="0" applyNumberFormat="1" applyFont="1" applyFill="1" applyBorder="1" applyAlignment="1">
      <alignment vertical="top" wrapText="1"/>
    </xf>
    <xf numFmtId="0" fontId="6" fillId="7" borderId="10" xfId="0" applyFont="1" applyFill="1" applyBorder="1" applyAlignment="1">
      <alignmen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2" fillId="2" borderId="60" xfId="0" applyNumberFormat="1" applyFont="1" applyFill="1" applyBorder="1" applyAlignment="1">
      <alignment horizontal="left" vertical="top"/>
    </xf>
    <xf numFmtId="165" fontId="2" fillId="2" borderId="61" xfId="0" applyNumberFormat="1" applyFont="1" applyFill="1" applyBorder="1" applyAlignment="1">
      <alignment horizontal="left" vertical="top"/>
    </xf>
    <xf numFmtId="49" fontId="1" fillId="0" borderId="20"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165" fontId="2" fillId="7" borderId="26" xfId="0" applyNumberFormat="1" applyFont="1" applyFill="1" applyBorder="1" applyAlignment="1">
      <alignment horizontal="center" vertical="top" wrapText="1"/>
    </xf>
    <xf numFmtId="165" fontId="1" fillId="7" borderId="5" xfId="0" applyNumberFormat="1" applyFont="1" applyFill="1" applyBorder="1" applyAlignment="1">
      <alignment horizontal="left" vertical="top" wrapText="1"/>
    </xf>
    <xf numFmtId="165" fontId="1" fillId="7" borderId="84" xfId="0" applyNumberFormat="1" applyFont="1" applyFill="1" applyBorder="1" applyAlignment="1">
      <alignment horizontal="left" vertical="top" wrapText="1"/>
    </xf>
    <xf numFmtId="165" fontId="1" fillId="7" borderId="10"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68" xfId="0" applyNumberFormat="1" applyFont="1" applyFill="1" applyBorder="1" applyAlignment="1">
      <alignment horizontal="center" vertical="top"/>
    </xf>
    <xf numFmtId="165" fontId="1" fillId="7" borderId="44" xfId="0" applyNumberFormat="1" applyFont="1" applyFill="1" applyBorder="1" applyAlignment="1">
      <alignment horizontal="left" vertical="top" wrapText="1"/>
    </xf>
    <xf numFmtId="165" fontId="1" fillId="7" borderId="5" xfId="0" applyNumberFormat="1" applyFont="1" applyFill="1" applyBorder="1" applyAlignment="1">
      <alignment horizontal="center" vertical="top" wrapText="1"/>
    </xf>
    <xf numFmtId="0" fontId="1" fillId="0" borderId="5" xfId="0" applyFont="1" applyBorder="1" applyAlignment="1">
      <alignment vertical="top"/>
    </xf>
    <xf numFmtId="0" fontId="1" fillId="7" borderId="5" xfId="0" applyFont="1" applyFill="1" applyBorder="1" applyAlignment="1">
      <alignment horizontal="left" vertical="top" wrapText="1"/>
    </xf>
    <xf numFmtId="0" fontId="6" fillId="0" borderId="78" xfId="0" applyFont="1" applyBorder="1" applyAlignment="1">
      <alignment horizontal="left" vertical="top" wrapText="1"/>
    </xf>
    <xf numFmtId="165" fontId="2" fillId="9" borderId="32" xfId="0" applyNumberFormat="1" applyFont="1" applyFill="1" applyBorder="1" applyAlignment="1">
      <alignment horizontal="center" vertical="top"/>
    </xf>
    <xf numFmtId="0" fontId="6" fillId="7" borderId="5" xfId="0" applyFont="1" applyFill="1" applyBorder="1" applyAlignment="1">
      <alignment horizontal="left" vertical="top" wrapText="1"/>
    </xf>
    <xf numFmtId="165" fontId="1" fillId="7" borderId="85" xfId="0" applyNumberFormat="1" applyFont="1" applyFill="1" applyBorder="1" applyAlignment="1">
      <alignment vertical="top" wrapText="1"/>
    </xf>
    <xf numFmtId="165" fontId="2" fillId="7" borderId="20"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165" fontId="1" fillId="7" borderId="78" xfId="0" applyNumberFormat="1" applyFont="1" applyFill="1" applyBorder="1" applyAlignment="1">
      <alignment horizontal="left" vertical="top" wrapText="1"/>
    </xf>
    <xf numFmtId="0" fontId="16" fillId="0" borderId="0" xfId="0" applyFont="1" applyAlignment="1">
      <alignment horizontal="center" vertical="top" wrapText="1"/>
    </xf>
    <xf numFmtId="0" fontId="17" fillId="0" borderId="0" xfId="0" applyFont="1" applyBorder="1" applyAlignment="1">
      <alignment horizontal="center" vertical="top" wrapText="1"/>
    </xf>
    <xf numFmtId="0" fontId="10" fillId="0" borderId="0" xfId="0" applyFont="1" applyBorder="1" applyAlignment="1">
      <alignment horizontal="center" vertical="top"/>
    </xf>
    <xf numFmtId="49" fontId="4" fillId="6" borderId="63" xfId="0" applyNumberFormat="1" applyFont="1" applyFill="1" applyBorder="1" applyAlignment="1">
      <alignment horizontal="left" vertical="top" wrapText="1"/>
    </xf>
    <xf numFmtId="49" fontId="4" fillId="6" borderId="59" xfId="0" applyNumberFormat="1" applyFont="1" applyFill="1" applyBorder="1" applyAlignment="1">
      <alignment horizontal="left" vertical="top" wrapText="1"/>
    </xf>
    <xf numFmtId="0" fontId="4" fillId="5" borderId="54" xfId="0" applyFont="1" applyFill="1" applyBorder="1" applyAlignment="1">
      <alignment horizontal="left" vertical="top" wrapText="1"/>
    </xf>
    <xf numFmtId="0" fontId="4" fillId="5" borderId="39" xfId="0" applyFont="1" applyFill="1" applyBorder="1" applyAlignment="1">
      <alignment horizontal="left" vertical="top" wrapText="1"/>
    </xf>
    <xf numFmtId="0" fontId="2" fillId="9" borderId="54" xfId="0" applyFont="1" applyFill="1" applyBorder="1" applyAlignment="1">
      <alignment horizontal="left" vertical="top"/>
    </xf>
    <xf numFmtId="0" fontId="2" fillId="9" borderId="39" xfId="0" applyFont="1" applyFill="1" applyBorder="1" applyAlignment="1">
      <alignment horizontal="left" vertical="top"/>
    </xf>
    <xf numFmtId="49" fontId="1" fillId="7" borderId="17" xfId="0" applyNumberFormat="1" applyFont="1" applyFill="1" applyBorder="1" applyAlignment="1">
      <alignment horizontal="center" vertical="top"/>
    </xf>
    <xf numFmtId="49" fontId="1" fillId="7" borderId="25"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1" fillId="7" borderId="101" xfId="0" applyNumberFormat="1" applyFont="1" applyFill="1" applyBorder="1" applyAlignment="1">
      <alignment horizontal="center" vertical="top"/>
    </xf>
    <xf numFmtId="49" fontId="1" fillId="7" borderId="6"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49" fontId="1" fillId="0" borderId="41" xfId="0" applyNumberFormat="1" applyFont="1" applyFill="1" applyBorder="1" applyAlignment="1">
      <alignment horizontal="center" vertical="top"/>
    </xf>
    <xf numFmtId="165" fontId="1" fillId="7" borderId="33" xfId="0" applyNumberFormat="1" applyFont="1" applyFill="1" applyBorder="1" applyAlignment="1">
      <alignment horizontal="left" vertical="top" wrapText="1"/>
    </xf>
    <xf numFmtId="165" fontId="2" fillId="9" borderId="10"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165" fontId="1" fillId="7" borderId="77"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49" fontId="2" fillId="9" borderId="10" xfId="0" applyNumberFormat="1" applyFont="1" applyFill="1" applyBorder="1" applyAlignment="1">
      <alignment horizontal="center" vertical="top"/>
    </xf>
    <xf numFmtId="165" fontId="26" fillId="7" borderId="5" xfId="0" applyNumberFormat="1" applyFont="1" applyFill="1" applyBorder="1" applyAlignment="1">
      <alignment horizontal="left" vertical="top" wrapText="1"/>
    </xf>
    <xf numFmtId="165" fontId="2" fillId="7" borderId="44" xfId="0" applyNumberFormat="1" applyFont="1" applyFill="1" applyBorder="1" applyAlignment="1">
      <alignment horizontal="center" vertical="top" wrapText="1"/>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0" fontId="26" fillId="10" borderId="0" xfId="0" applyFont="1" applyFill="1" applyBorder="1" applyAlignment="1">
      <alignment vertical="top"/>
    </xf>
    <xf numFmtId="0" fontId="1" fillId="10" borderId="0" xfId="0" applyFont="1" applyFill="1" applyBorder="1" applyAlignment="1">
      <alignment vertical="top" wrapText="1"/>
    </xf>
    <xf numFmtId="3" fontId="26" fillId="10" borderId="20" xfId="0" applyNumberFormat="1" applyFont="1" applyFill="1" applyBorder="1" applyAlignment="1">
      <alignment horizontal="left" vertical="top" wrapText="1"/>
    </xf>
    <xf numFmtId="3" fontId="30" fillId="10" borderId="90" xfId="0" applyNumberFormat="1" applyFont="1" applyFill="1" applyBorder="1" applyAlignment="1">
      <alignment horizontal="left" vertical="top" wrapText="1"/>
    </xf>
    <xf numFmtId="165" fontId="1" fillId="7" borderId="17"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0" fontId="26" fillId="7" borderId="88" xfId="0" applyFont="1" applyFill="1" applyBorder="1" applyAlignment="1">
      <alignment vertical="top" wrapText="1"/>
    </xf>
    <xf numFmtId="165" fontId="26" fillId="7" borderId="69" xfId="0" applyNumberFormat="1" applyFont="1" applyFill="1" applyBorder="1" applyAlignment="1">
      <alignment horizontal="center" vertical="top"/>
    </xf>
    <xf numFmtId="165" fontId="26" fillId="7" borderId="71" xfId="0" applyNumberFormat="1" applyFont="1" applyFill="1" applyBorder="1" applyAlignment="1">
      <alignment horizontal="center" vertical="top"/>
    </xf>
    <xf numFmtId="165" fontId="26" fillId="7" borderId="68" xfId="0" applyNumberFormat="1" applyFont="1" applyFill="1" applyBorder="1" applyAlignment="1">
      <alignment horizontal="center" vertical="top"/>
    </xf>
    <xf numFmtId="165" fontId="26" fillId="7" borderId="4"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165" fontId="1" fillId="7" borderId="5" xfId="0" applyNumberFormat="1" applyFont="1" applyFill="1" applyBorder="1" applyAlignment="1">
      <alignment horizontal="center" vertical="top" wrapText="1"/>
    </xf>
    <xf numFmtId="165" fontId="1" fillId="7" borderId="40" xfId="0" applyNumberFormat="1" applyFont="1" applyFill="1" applyBorder="1" applyAlignment="1">
      <alignment horizontal="center" vertical="top"/>
    </xf>
    <xf numFmtId="0" fontId="6" fillId="0" borderId="0" xfId="0" applyFont="1" applyAlignment="1">
      <alignment vertical="top" wrapText="1"/>
    </xf>
    <xf numFmtId="0" fontId="6" fillId="0" borderId="32" xfId="0" applyFont="1" applyBorder="1" applyAlignment="1">
      <alignment vertical="top" wrapText="1"/>
    </xf>
    <xf numFmtId="165" fontId="26" fillId="7" borderId="52" xfId="0" applyNumberFormat="1" applyFont="1" applyFill="1" applyBorder="1" applyAlignment="1">
      <alignment horizontal="center" vertical="top"/>
    </xf>
    <xf numFmtId="3" fontId="1" fillId="7" borderId="90" xfId="0" applyNumberFormat="1" applyFont="1" applyFill="1" applyBorder="1" applyAlignment="1">
      <alignment horizontal="left" vertical="top" wrapText="1"/>
    </xf>
    <xf numFmtId="165" fontId="6" fillId="0" borderId="0" xfId="0" applyNumberFormat="1" applyFont="1" applyAlignment="1">
      <alignment vertical="top" wrapText="1"/>
    </xf>
    <xf numFmtId="0" fontId="26" fillId="0" borderId="0" xfId="0" applyFont="1" applyBorder="1" applyAlignment="1">
      <alignment vertical="top"/>
    </xf>
    <xf numFmtId="0" fontId="10" fillId="0" borderId="0" xfId="0" applyFont="1" applyBorder="1" applyAlignment="1">
      <alignment horizontal="center" vertical="top"/>
    </xf>
    <xf numFmtId="3" fontId="1" fillId="7" borderId="40" xfId="0" applyNumberFormat="1" applyFont="1" applyFill="1" applyBorder="1" applyAlignment="1">
      <alignment horizontal="left" vertical="top" wrapText="1"/>
    </xf>
    <xf numFmtId="165" fontId="1" fillId="7" borderId="37" xfId="0" applyNumberFormat="1" applyFont="1" applyFill="1" applyBorder="1" applyAlignment="1">
      <alignment vertical="top" wrapText="1"/>
    </xf>
    <xf numFmtId="165" fontId="1" fillId="7" borderId="40" xfId="0" applyNumberFormat="1"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1" fillId="2" borderId="60" xfId="0" applyNumberFormat="1" applyFont="1" applyFill="1" applyBorder="1" applyAlignment="1">
      <alignment horizontal="center" vertical="top" wrapText="1"/>
    </xf>
    <xf numFmtId="165" fontId="1" fillId="7" borderId="77"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0" fontId="1" fillId="7" borderId="67" xfId="0" applyFont="1" applyFill="1" applyBorder="1" applyAlignment="1">
      <alignment vertical="top" wrapText="1"/>
    </xf>
    <xf numFmtId="0" fontId="1" fillId="0" borderId="84" xfId="0" applyFont="1" applyFill="1" applyBorder="1" applyAlignment="1">
      <alignment vertical="top" wrapText="1"/>
    </xf>
    <xf numFmtId="0" fontId="1" fillId="0" borderId="70" xfId="0" applyFont="1" applyFill="1" applyBorder="1" applyAlignment="1">
      <alignment vertical="top" wrapText="1"/>
    </xf>
    <xf numFmtId="0" fontId="1" fillId="7" borderId="26" xfId="0" applyFont="1" applyFill="1" applyBorder="1" applyAlignment="1">
      <alignment vertical="top" wrapText="1"/>
    </xf>
    <xf numFmtId="0" fontId="1" fillId="0" borderId="10" xfId="0" applyFont="1" applyFill="1" applyBorder="1" applyAlignment="1">
      <alignment vertical="top" wrapText="1"/>
    </xf>
    <xf numFmtId="0" fontId="1" fillId="0" borderId="41" xfId="0" applyFont="1" applyBorder="1" applyAlignment="1">
      <alignment horizontal="center" vertical="center" textRotation="90"/>
    </xf>
    <xf numFmtId="0" fontId="1" fillId="7" borderId="41" xfId="0" applyFont="1" applyFill="1" applyBorder="1" applyAlignment="1">
      <alignment vertical="top"/>
    </xf>
    <xf numFmtId="165" fontId="1" fillId="7" borderId="100" xfId="0" applyNumberFormat="1" applyFont="1" applyFill="1" applyBorder="1" applyAlignment="1">
      <alignment vertical="top" wrapText="1"/>
    </xf>
    <xf numFmtId="165" fontId="1" fillId="7" borderId="69" xfId="0" applyNumberFormat="1" applyFont="1" applyFill="1" applyBorder="1" applyAlignment="1">
      <alignment vertical="top" wrapText="1"/>
    </xf>
    <xf numFmtId="0" fontId="6" fillId="7" borderId="6" xfId="0" applyFont="1" applyFill="1" applyBorder="1" applyAlignment="1">
      <alignment horizontal="left" vertical="top" wrapText="1"/>
    </xf>
    <xf numFmtId="165" fontId="1" fillId="7" borderId="69" xfId="0" applyNumberFormat="1" applyFont="1" applyFill="1" applyBorder="1" applyAlignment="1">
      <alignment horizontal="left" vertical="top" wrapText="1"/>
    </xf>
    <xf numFmtId="0" fontId="1" fillId="7" borderId="27" xfId="0" applyFont="1" applyFill="1" applyBorder="1" applyAlignment="1">
      <alignment horizontal="left" vertical="top" wrapText="1"/>
    </xf>
    <xf numFmtId="165" fontId="1" fillId="7" borderId="6" xfId="0" applyNumberFormat="1" applyFont="1" applyFill="1" applyBorder="1" applyAlignment="1">
      <alignment vertical="top" wrapText="1"/>
    </xf>
    <xf numFmtId="0" fontId="1" fillId="7" borderId="69" xfId="0" applyFont="1" applyFill="1" applyBorder="1" applyAlignment="1">
      <alignment vertical="top" wrapText="1"/>
    </xf>
    <xf numFmtId="0" fontId="1" fillId="7" borderId="100" xfId="0" applyFont="1" applyFill="1" applyBorder="1" applyAlignment="1">
      <alignment vertical="top" wrapText="1"/>
    </xf>
    <xf numFmtId="0" fontId="1" fillId="7" borderId="6" xfId="0" applyFont="1" applyFill="1" applyBorder="1" applyAlignment="1">
      <alignment vertical="top" wrapText="1"/>
    </xf>
    <xf numFmtId="3" fontId="1" fillId="7" borderId="106" xfId="0" applyNumberFormat="1" applyFont="1" applyFill="1" applyBorder="1" applyAlignment="1">
      <alignment horizontal="center" vertical="top" wrapText="1"/>
    </xf>
    <xf numFmtId="165" fontId="1" fillId="7" borderId="6" xfId="0" applyNumberFormat="1" applyFont="1" applyFill="1" applyBorder="1" applyAlignment="1">
      <alignment horizontal="left" vertical="top" wrapText="1"/>
    </xf>
    <xf numFmtId="165" fontId="9" fillId="7" borderId="27" xfId="0" applyNumberFormat="1" applyFont="1" applyFill="1" applyBorder="1" applyAlignment="1">
      <alignment vertical="top" wrapText="1"/>
    </xf>
    <xf numFmtId="165" fontId="1" fillId="7" borderId="34" xfId="0" applyNumberFormat="1" applyFont="1" applyFill="1" applyBorder="1" applyAlignment="1">
      <alignment horizontal="left" vertical="top" wrapText="1"/>
    </xf>
    <xf numFmtId="165" fontId="1" fillId="7" borderId="27" xfId="0" applyNumberFormat="1" applyFont="1" applyFill="1" applyBorder="1" applyAlignment="1">
      <alignment vertical="top" wrapText="1"/>
    </xf>
    <xf numFmtId="165" fontId="1" fillId="7" borderId="73" xfId="0" applyNumberFormat="1" applyFont="1" applyFill="1" applyBorder="1" applyAlignment="1">
      <alignment vertical="top" wrapText="1"/>
    </xf>
    <xf numFmtId="165" fontId="1" fillId="7" borderId="66" xfId="0" applyNumberFormat="1" applyFont="1" applyFill="1" applyBorder="1" applyAlignment="1">
      <alignment vertical="top" wrapText="1"/>
    </xf>
    <xf numFmtId="0" fontId="1" fillId="7" borderId="66" xfId="0" applyFont="1" applyFill="1" applyBorder="1" applyAlignment="1">
      <alignment vertical="top" wrapText="1"/>
    </xf>
    <xf numFmtId="165" fontId="1" fillId="7" borderId="73" xfId="0" applyNumberFormat="1" applyFont="1" applyFill="1" applyBorder="1" applyAlignment="1">
      <alignment horizontal="left" vertical="top" wrapText="1"/>
    </xf>
    <xf numFmtId="165" fontId="1" fillId="7" borderId="66" xfId="0" applyNumberFormat="1" applyFont="1" applyFill="1" applyBorder="1" applyAlignment="1">
      <alignment horizontal="left" vertical="top" wrapText="1"/>
    </xf>
    <xf numFmtId="0" fontId="1" fillId="7" borderId="73" xfId="0" applyFont="1" applyFill="1" applyBorder="1" applyAlignment="1">
      <alignment horizontal="left" vertical="top" wrapText="1"/>
    </xf>
    <xf numFmtId="165" fontId="1" fillId="7" borderId="100" xfId="0" applyNumberFormat="1" applyFont="1" applyFill="1" applyBorder="1" applyAlignment="1">
      <alignment horizontal="left" vertical="top" wrapText="1"/>
    </xf>
    <xf numFmtId="165" fontId="1" fillId="8" borderId="15" xfId="0" applyNumberFormat="1" applyFont="1" applyFill="1" applyBorder="1" applyAlignment="1">
      <alignment horizontal="left" vertical="top" wrapText="1"/>
    </xf>
    <xf numFmtId="165" fontId="1" fillId="7" borderId="83" xfId="0" applyNumberFormat="1" applyFont="1" applyFill="1" applyBorder="1" applyAlignment="1">
      <alignment horizontal="left" vertical="top" wrapText="1"/>
    </xf>
    <xf numFmtId="0" fontId="1" fillId="7" borderId="34" xfId="0" applyFont="1" applyFill="1" applyBorder="1" applyAlignment="1">
      <alignment vertical="top" wrapText="1"/>
    </xf>
    <xf numFmtId="0" fontId="1" fillId="7" borderId="83" xfId="0" applyFont="1" applyFill="1" applyBorder="1" applyAlignment="1">
      <alignment vertical="top" wrapText="1"/>
    </xf>
    <xf numFmtId="0" fontId="1" fillId="7" borderId="73" xfId="0" applyFont="1" applyFill="1" applyBorder="1" applyAlignment="1">
      <alignment vertical="top" wrapText="1"/>
    </xf>
    <xf numFmtId="0" fontId="1" fillId="7" borderId="27" xfId="0" applyFont="1" applyFill="1" applyBorder="1" applyAlignment="1">
      <alignment vertical="top" wrapText="1"/>
    </xf>
    <xf numFmtId="0" fontId="12" fillId="7" borderId="34" xfId="0" applyFont="1" applyFill="1" applyBorder="1" applyAlignment="1">
      <alignment vertical="top" wrapText="1"/>
    </xf>
    <xf numFmtId="0" fontId="12" fillId="7" borderId="66" xfId="0" applyFont="1" applyFill="1" applyBorder="1" applyAlignment="1">
      <alignment vertical="top" wrapText="1"/>
    </xf>
    <xf numFmtId="0" fontId="12" fillId="7" borderId="6" xfId="0" applyFont="1" applyFill="1" applyBorder="1" applyAlignment="1">
      <alignment vertical="top" wrapText="1"/>
    </xf>
    <xf numFmtId="0" fontId="12" fillId="7" borderId="83" xfId="0" applyFont="1" applyFill="1" applyBorder="1" applyAlignment="1">
      <alignment vertical="top" wrapText="1"/>
    </xf>
    <xf numFmtId="0" fontId="12" fillId="7" borderId="15" xfId="0" applyFont="1" applyFill="1" applyBorder="1" applyAlignment="1">
      <alignment vertical="top" wrapText="1"/>
    </xf>
    <xf numFmtId="0" fontId="12" fillId="7" borderId="100" xfId="0" applyFont="1" applyFill="1" applyBorder="1" applyAlignment="1">
      <alignment vertical="top" wrapText="1"/>
    </xf>
    <xf numFmtId="0" fontId="12" fillId="7" borderId="27" xfId="0" applyFont="1" applyFill="1" applyBorder="1" applyAlignment="1">
      <alignment vertical="top" wrapText="1"/>
    </xf>
    <xf numFmtId="165" fontId="9" fillId="8" borderId="117" xfId="0" applyNumberFormat="1" applyFont="1" applyFill="1" applyBorder="1" applyAlignment="1">
      <alignment horizontal="left" vertical="top" wrapText="1"/>
    </xf>
    <xf numFmtId="0" fontId="1" fillId="7" borderId="83"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7" borderId="100" xfId="0" applyFont="1" applyFill="1" applyBorder="1" applyAlignment="1">
      <alignment horizontal="left" vertical="top" wrapText="1"/>
    </xf>
    <xf numFmtId="0" fontId="6" fillId="0" borderId="100" xfId="0" applyFont="1" applyBorder="1" applyAlignment="1">
      <alignment horizontal="left" vertical="top" wrapText="1"/>
    </xf>
    <xf numFmtId="165" fontId="1" fillId="7" borderId="34" xfId="0" applyNumberFormat="1" applyFont="1" applyFill="1" applyBorder="1" applyAlignment="1">
      <alignment vertical="top" wrapText="1"/>
    </xf>
    <xf numFmtId="165" fontId="1" fillId="7" borderId="27" xfId="0" applyNumberFormat="1" applyFont="1" applyFill="1" applyBorder="1" applyAlignment="1">
      <alignment horizontal="left" vertical="top" wrapText="1"/>
    </xf>
    <xf numFmtId="165" fontId="1" fillId="7" borderId="4" xfId="0" applyNumberFormat="1" applyFont="1" applyFill="1" applyBorder="1" applyAlignment="1">
      <alignment horizontal="left" vertical="top" wrapText="1"/>
    </xf>
    <xf numFmtId="165" fontId="1" fillId="7" borderId="15" xfId="0" applyNumberFormat="1" applyFont="1" applyFill="1" applyBorder="1" applyAlignment="1">
      <alignment vertical="top" wrapText="1"/>
    </xf>
    <xf numFmtId="165" fontId="6" fillId="7" borderId="4" xfId="0" applyNumberFormat="1" applyFont="1" applyFill="1" applyBorder="1" applyAlignment="1">
      <alignment vertical="top" wrapText="1"/>
    </xf>
    <xf numFmtId="165" fontId="6" fillId="7" borderId="6" xfId="0" applyNumberFormat="1" applyFont="1" applyFill="1" applyBorder="1" applyAlignment="1">
      <alignment vertical="top" wrapText="1"/>
    </xf>
    <xf numFmtId="0" fontId="1" fillId="7" borderId="0" xfId="0" applyFont="1" applyFill="1" applyBorder="1" applyAlignment="1">
      <alignment horizontal="center" vertical="center"/>
    </xf>
    <xf numFmtId="0" fontId="1" fillId="7" borderId="34" xfId="0" applyFont="1" applyFill="1" applyBorder="1" applyAlignment="1">
      <alignment vertical="center" wrapText="1"/>
    </xf>
    <xf numFmtId="0" fontId="1" fillId="7" borderId="73" xfId="0" applyFont="1" applyFill="1" applyBorder="1" applyAlignment="1">
      <alignment vertical="top"/>
    </xf>
    <xf numFmtId="165" fontId="6" fillId="7" borderId="27" xfId="0" applyNumberFormat="1" applyFont="1" applyFill="1" applyBorder="1" applyAlignment="1">
      <alignment vertical="top" wrapText="1"/>
    </xf>
    <xf numFmtId="165" fontId="1" fillId="7" borderId="19" xfId="0" applyNumberFormat="1" applyFont="1" applyFill="1" applyBorder="1" applyAlignment="1">
      <alignment horizontal="left" vertical="top" wrapText="1"/>
    </xf>
    <xf numFmtId="165" fontId="1" fillId="7" borderId="26" xfId="0" applyNumberFormat="1" applyFont="1" applyFill="1" applyBorder="1" applyAlignment="1">
      <alignment horizontal="left" vertical="top" wrapText="1"/>
    </xf>
    <xf numFmtId="49" fontId="4" fillId="6" borderId="63" xfId="0" applyNumberFormat="1" applyFont="1" applyFill="1" applyBorder="1" applyAlignment="1">
      <alignment horizontal="left" vertical="top" wrapText="1"/>
    </xf>
    <xf numFmtId="49" fontId="4" fillId="6" borderId="59" xfId="0" applyNumberFormat="1" applyFont="1" applyFill="1" applyBorder="1" applyAlignment="1">
      <alignment horizontal="left" vertical="top" wrapText="1"/>
    </xf>
    <xf numFmtId="0" fontId="4" fillId="5" borderId="54" xfId="0" applyFont="1" applyFill="1" applyBorder="1" applyAlignment="1">
      <alignment horizontal="left" vertical="top" wrapText="1"/>
    </xf>
    <xf numFmtId="0" fontId="4" fillId="5" borderId="39" xfId="0"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10" xfId="0" applyNumberFormat="1" applyFont="1" applyFill="1" applyBorder="1" applyAlignment="1">
      <alignment horizontal="left" vertical="top" wrapText="1"/>
    </xf>
    <xf numFmtId="0" fontId="2" fillId="9" borderId="54" xfId="0" applyFont="1" applyFill="1" applyBorder="1" applyAlignment="1">
      <alignment horizontal="left" vertical="top"/>
    </xf>
    <xf numFmtId="0" fontId="2" fillId="9" borderId="39" xfId="0" applyFont="1" applyFill="1" applyBorder="1" applyAlignment="1">
      <alignment horizontal="left" vertical="top"/>
    </xf>
    <xf numFmtId="165" fontId="1" fillId="7" borderId="44" xfId="0" applyNumberFormat="1" applyFont="1" applyFill="1" applyBorder="1" applyAlignment="1">
      <alignment horizontal="left" vertical="top" wrapText="1"/>
    </xf>
    <xf numFmtId="165" fontId="2" fillId="7" borderId="20"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165" fontId="1" fillId="7" borderId="10" xfId="0" applyNumberFormat="1" applyFont="1" applyFill="1" applyBorder="1" applyAlignment="1">
      <alignment vertical="top" wrapText="1"/>
    </xf>
    <xf numFmtId="165" fontId="2" fillId="9" borderId="32"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0" fontId="6" fillId="7" borderId="10" xfId="0" applyFont="1" applyFill="1" applyBorder="1" applyAlignment="1">
      <alignment vertical="top" wrapText="1"/>
    </xf>
    <xf numFmtId="165" fontId="1" fillId="7" borderId="10"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68" xfId="0" applyNumberFormat="1" applyFont="1" applyFill="1" applyBorder="1" applyAlignment="1">
      <alignment horizontal="center" vertical="top"/>
    </xf>
    <xf numFmtId="0" fontId="1" fillId="0" borderId="5" xfId="0" applyFont="1" applyBorder="1" applyAlignment="1">
      <alignment vertical="top"/>
    </xf>
    <xf numFmtId="165" fontId="1" fillId="7" borderId="67" xfId="0" applyNumberFormat="1" applyFont="1" applyFill="1" applyBorder="1" applyAlignment="1">
      <alignment horizontal="center" vertical="top"/>
    </xf>
    <xf numFmtId="165" fontId="1" fillId="7" borderId="44" xfId="0" applyNumberFormat="1" applyFont="1" applyFill="1" applyBorder="1" applyAlignment="1">
      <alignment vertical="top" wrapText="1"/>
    </xf>
    <xf numFmtId="165" fontId="1" fillId="7" borderId="43" xfId="0" applyNumberFormat="1" applyFont="1" applyFill="1" applyBorder="1" applyAlignment="1">
      <alignment horizontal="center" vertical="top"/>
    </xf>
    <xf numFmtId="165" fontId="1" fillId="7" borderId="77" xfId="0" applyNumberFormat="1" applyFont="1" applyFill="1" applyBorder="1" applyAlignment="1">
      <alignment horizontal="center" vertical="top"/>
    </xf>
    <xf numFmtId="165" fontId="1" fillId="7" borderId="84" xfId="0" applyNumberFormat="1" applyFont="1" applyFill="1" applyBorder="1" applyAlignment="1">
      <alignment horizontal="left" vertical="top" wrapText="1"/>
    </xf>
    <xf numFmtId="49" fontId="1" fillId="0" borderId="20" xfId="0" applyNumberFormat="1" applyFont="1" applyFill="1" applyBorder="1" applyAlignment="1">
      <alignment horizontal="center" vertical="top"/>
    </xf>
    <xf numFmtId="165" fontId="1" fillId="7" borderId="26" xfId="0" applyNumberFormat="1" applyFont="1" applyFill="1" applyBorder="1" applyAlignment="1">
      <alignmen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2" fillId="7" borderId="26" xfId="0" applyNumberFormat="1" applyFont="1" applyFill="1" applyBorder="1" applyAlignment="1">
      <alignment horizontal="center" vertical="top" wrapText="1"/>
    </xf>
    <xf numFmtId="165" fontId="1" fillId="2" borderId="49" xfId="0" applyNumberFormat="1" applyFont="1" applyFill="1" applyBorder="1" applyAlignment="1">
      <alignment horizontal="center" vertical="top" wrapText="1"/>
    </xf>
    <xf numFmtId="165" fontId="1" fillId="2" borderId="60" xfId="0" applyNumberFormat="1" applyFont="1" applyFill="1" applyBorder="1" applyAlignment="1">
      <alignment horizontal="center" vertical="top" wrapText="1"/>
    </xf>
    <xf numFmtId="165" fontId="1" fillId="2" borderId="61" xfId="0" applyNumberFormat="1" applyFont="1" applyFill="1" applyBorder="1" applyAlignment="1">
      <alignment horizontal="center" vertical="top" wrapText="1"/>
    </xf>
    <xf numFmtId="165" fontId="2" fillId="2" borderId="60" xfId="0" applyNumberFormat="1" applyFont="1" applyFill="1" applyBorder="1" applyAlignment="1">
      <alignment horizontal="left" vertical="top"/>
    </xf>
    <xf numFmtId="165" fontId="2" fillId="2" borderId="61" xfId="0" applyNumberFormat="1" applyFont="1" applyFill="1" applyBorder="1" applyAlignment="1">
      <alignment horizontal="left" vertical="top"/>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2" fillId="7" borderId="23" xfId="0" applyNumberFormat="1" applyFont="1" applyFill="1" applyBorder="1" applyAlignment="1">
      <alignment vertical="top" wrapText="1"/>
    </xf>
    <xf numFmtId="165" fontId="2" fillId="7" borderId="10" xfId="0" applyNumberFormat="1" applyFont="1" applyFill="1" applyBorder="1" applyAlignment="1">
      <alignment vertical="top" wrapText="1"/>
    </xf>
    <xf numFmtId="165" fontId="2" fillId="7" borderId="36" xfId="0" applyNumberFormat="1" applyFont="1" applyFill="1" applyBorder="1" applyAlignment="1">
      <alignment horizontal="center" vertical="top" wrapText="1"/>
    </xf>
    <xf numFmtId="165" fontId="1" fillId="7" borderId="40" xfId="0" applyNumberFormat="1" applyFont="1" applyFill="1" applyBorder="1" applyAlignment="1">
      <alignment horizontal="center" vertical="top" wrapText="1"/>
    </xf>
    <xf numFmtId="165" fontId="1" fillId="9" borderId="60" xfId="0" applyNumberFormat="1" applyFont="1" applyFill="1" applyBorder="1" applyAlignment="1">
      <alignment horizontal="center" vertical="top"/>
    </xf>
    <xf numFmtId="165" fontId="1" fillId="7" borderId="37" xfId="0" applyNumberFormat="1" applyFont="1" applyFill="1" applyBorder="1" applyAlignment="1">
      <alignment horizontal="left" vertical="top" wrapText="1"/>
    </xf>
    <xf numFmtId="165" fontId="1" fillId="7" borderId="5" xfId="0" applyNumberFormat="1" applyFont="1" applyFill="1" applyBorder="1" applyAlignment="1">
      <alignment horizontal="left" vertical="top" wrapText="1"/>
    </xf>
    <xf numFmtId="165" fontId="1" fillId="7" borderId="78"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1" fillId="7" borderId="85" xfId="0" applyNumberFormat="1" applyFont="1" applyFill="1" applyBorder="1" applyAlignment="1">
      <alignment horizontal="left" vertical="top" wrapText="1"/>
    </xf>
    <xf numFmtId="0" fontId="6" fillId="7" borderId="5" xfId="0" applyFont="1" applyFill="1" applyBorder="1" applyAlignment="1">
      <alignment horizontal="left" vertical="top" wrapText="1"/>
    </xf>
    <xf numFmtId="165" fontId="1" fillId="7" borderId="22" xfId="0" applyNumberFormat="1" applyFont="1" applyFill="1" applyBorder="1" applyAlignment="1">
      <alignment horizontal="left" vertical="top" wrapText="1"/>
    </xf>
    <xf numFmtId="0" fontId="1" fillId="7" borderId="22" xfId="0" applyFont="1" applyFill="1" applyBorder="1" applyAlignment="1">
      <alignment horizontal="left" vertical="top" wrapText="1"/>
    </xf>
    <xf numFmtId="165" fontId="1" fillId="7" borderId="5" xfId="0" applyNumberFormat="1" applyFont="1" applyFill="1" applyBorder="1" applyAlignment="1">
      <alignment horizontal="center" vertical="top" wrapText="1"/>
    </xf>
    <xf numFmtId="165" fontId="1" fillId="7" borderId="6"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0" fontId="1" fillId="7" borderId="85" xfId="0" applyFont="1" applyFill="1" applyBorder="1" applyAlignment="1">
      <alignment horizontal="left" vertical="top" wrapText="1"/>
    </xf>
    <xf numFmtId="0" fontId="1" fillId="7" borderId="5" xfId="0" applyFont="1" applyFill="1" applyBorder="1" applyAlignment="1">
      <alignment horizontal="left" vertical="top" wrapText="1"/>
    </xf>
    <xf numFmtId="0" fontId="6" fillId="0" borderId="78" xfId="0" applyFont="1" applyBorder="1" applyAlignment="1">
      <alignment horizontal="left" vertical="top" wrapText="1"/>
    </xf>
    <xf numFmtId="49" fontId="2" fillId="9" borderId="10" xfId="0" applyNumberFormat="1" applyFont="1" applyFill="1" applyBorder="1" applyAlignment="1">
      <alignment horizontal="center" vertical="top"/>
    </xf>
    <xf numFmtId="165" fontId="2" fillId="9" borderId="10"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1" fillId="7" borderId="101" xfId="0" applyNumberFormat="1" applyFont="1" applyFill="1" applyBorder="1" applyAlignment="1">
      <alignment horizontal="center" vertical="top"/>
    </xf>
    <xf numFmtId="165" fontId="1" fillId="7" borderId="85" xfId="0" applyNumberFormat="1" applyFont="1" applyFill="1" applyBorder="1" applyAlignment="1">
      <alignment vertical="top" wrapText="1"/>
    </xf>
    <xf numFmtId="165" fontId="1" fillId="7" borderId="5" xfId="0" applyNumberFormat="1" applyFont="1" applyFill="1" applyBorder="1" applyAlignment="1">
      <alignment vertical="top" wrapText="1"/>
    </xf>
    <xf numFmtId="165" fontId="6" fillId="7" borderId="22" xfId="0" applyNumberFormat="1" applyFont="1" applyFill="1" applyBorder="1" applyAlignment="1">
      <alignment vertical="top" wrapText="1"/>
    </xf>
    <xf numFmtId="0" fontId="1" fillId="7" borderId="7" xfId="0" applyFont="1" applyFill="1" applyBorder="1" applyAlignment="1">
      <alignment vertical="top" wrapText="1"/>
    </xf>
    <xf numFmtId="165" fontId="1" fillId="7" borderId="33" xfId="0" applyNumberFormat="1" applyFont="1" applyFill="1" applyBorder="1" applyAlignment="1">
      <alignment horizontal="left" vertical="top" wrapText="1"/>
    </xf>
    <xf numFmtId="49" fontId="1" fillId="7" borderId="17" xfId="0" applyNumberFormat="1" applyFont="1" applyFill="1" applyBorder="1" applyAlignment="1">
      <alignment horizontal="center" vertical="top"/>
    </xf>
    <xf numFmtId="49" fontId="1" fillId="7" borderId="25" xfId="0" applyNumberFormat="1" applyFont="1" applyFill="1" applyBorder="1" applyAlignment="1">
      <alignment horizontal="center" vertical="top"/>
    </xf>
    <xf numFmtId="49" fontId="1" fillId="7" borderId="6"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0" fontId="1" fillId="7" borderId="78" xfId="0" applyFont="1" applyFill="1" applyBorder="1" applyAlignment="1">
      <alignment horizontal="left" vertical="top" wrapText="1"/>
    </xf>
    <xf numFmtId="165" fontId="2" fillId="7" borderId="44" xfId="0" applyNumberFormat="1" applyFont="1" applyFill="1" applyBorder="1" applyAlignment="1">
      <alignment horizontal="center" vertical="top" wrapText="1"/>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165" fontId="1" fillId="7" borderId="26" xfId="0" applyNumberFormat="1" applyFont="1" applyFill="1" applyBorder="1" applyAlignment="1">
      <alignment horizontal="left" vertical="top" wrapText="1"/>
    </xf>
    <xf numFmtId="165" fontId="2" fillId="7" borderId="10" xfId="0" applyNumberFormat="1" applyFont="1" applyFill="1" applyBorder="1" applyAlignment="1">
      <alignment horizontal="center" vertical="top" wrapText="1"/>
    </xf>
    <xf numFmtId="165" fontId="2" fillId="2" borderId="44"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0" fontId="1" fillId="7" borderId="69" xfId="0" applyNumberFormat="1" applyFont="1" applyFill="1" applyBorder="1" applyAlignment="1">
      <alignment horizontal="center" vertical="top"/>
    </xf>
    <xf numFmtId="0" fontId="1" fillId="7" borderId="100" xfId="0" applyNumberFormat="1" applyFont="1" applyFill="1" applyBorder="1" applyAlignment="1">
      <alignment horizontal="center" vertical="top"/>
    </xf>
    <xf numFmtId="0" fontId="1" fillId="0" borderId="41" xfId="0" applyNumberFormat="1" applyFont="1" applyFill="1" applyBorder="1" applyAlignment="1">
      <alignment horizontal="center" vertical="top"/>
    </xf>
    <xf numFmtId="0" fontId="1" fillId="0" borderId="94" xfId="0" applyNumberFormat="1" applyFont="1" applyFill="1" applyBorder="1" applyAlignment="1">
      <alignment horizontal="center" vertical="top"/>
    </xf>
    <xf numFmtId="0" fontId="1" fillId="7" borderId="94" xfId="0" applyNumberFormat="1" applyFont="1" applyFill="1" applyBorder="1" applyAlignment="1">
      <alignment horizontal="center" vertical="top"/>
    </xf>
    <xf numFmtId="0" fontId="1" fillId="7" borderId="92" xfId="0" applyNumberFormat="1" applyFont="1" applyFill="1" applyBorder="1" applyAlignment="1">
      <alignment horizontal="center" vertical="top"/>
    </xf>
    <xf numFmtId="0" fontId="1" fillId="7" borderId="77" xfId="0" applyNumberFormat="1" applyFont="1" applyFill="1" applyBorder="1" applyAlignment="1">
      <alignment horizontal="center" vertical="top"/>
    </xf>
    <xf numFmtId="0" fontId="1" fillId="0" borderId="65" xfId="0" applyFont="1" applyBorder="1" applyAlignment="1">
      <alignment vertical="top"/>
    </xf>
    <xf numFmtId="0" fontId="22" fillId="7" borderId="70" xfId="0" applyFont="1" applyFill="1" applyBorder="1" applyAlignment="1">
      <alignment vertical="top" wrapText="1"/>
    </xf>
    <xf numFmtId="3" fontId="1" fillId="0" borderId="66" xfId="0" applyNumberFormat="1" applyFont="1" applyFill="1" applyBorder="1" applyAlignment="1">
      <alignment horizontal="center" vertical="top"/>
    </xf>
    <xf numFmtId="3" fontId="1" fillId="7" borderId="76" xfId="0" applyNumberFormat="1" applyFont="1" applyFill="1" applyBorder="1" applyAlignment="1">
      <alignment horizontal="center" vertical="top"/>
    </xf>
    <xf numFmtId="3" fontId="1" fillId="7" borderId="79" xfId="0" applyNumberFormat="1" applyFont="1" applyFill="1" applyBorder="1" applyAlignment="1">
      <alignment horizontal="center" vertical="top"/>
    </xf>
    <xf numFmtId="165" fontId="5" fillId="7" borderId="40" xfId="0" applyNumberFormat="1" applyFont="1" applyFill="1" applyBorder="1" applyAlignment="1">
      <alignment horizontal="center" vertical="top" wrapText="1"/>
    </xf>
    <xf numFmtId="3" fontId="1" fillId="7" borderId="33" xfId="0" applyNumberFormat="1" applyFont="1" applyFill="1" applyBorder="1" applyAlignment="1">
      <alignment horizontal="center" vertical="top"/>
    </xf>
    <xf numFmtId="0" fontId="1" fillId="7" borderId="37" xfId="0" applyFont="1" applyFill="1" applyBorder="1" applyAlignment="1">
      <alignment vertical="top" wrapText="1"/>
    </xf>
    <xf numFmtId="3" fontId="30" fillId="7" borderId="17" xfId="0" applyNumberFormat="1" applyFont="1" applyFill="1" applyBorder="1" applyAlignment="1">
      <alignment horizontal="left" vertical="top"/>
    </xf>
    <xf numFmtId="3" fontId="30" fillId="7" borderId="36" xfId="0" applyNumberFormat="1" applyFont="1" applyFill="1" applyBorder="1" applyAlignment="1">
      <alignment horizontal="left" vertical="top"/>
    </xf>
    <xf numFmtId="3" fontId="1" fillId="7" borderId="7" xfId="0" applyNumberFormat="1" applyFont="1" applyFill="1" applyBorder="1" applyAlignment="1">
      <alignment vertical="top" wrapText="1"/>
    </xf>
    <xf numFmtId="3" fontId="1" fillId="7" borderId="5" xfId="0" applyNumberFormat="1" applyFont="1" applyFill="1" applyBorder="1" applyAlignment="1">
      <alignment vertical="top" wrapText="1"/>
    </xf>
    <xf numFmtId="0" fontId="1" fillId="7" borderId="0" xfId="0" applyNumberFormat="1" applyFont="1" applyFill="1" applyBorder="1" applyAlignment="1">
      <alignment horizontal="center" vertical="top"/>
    </xf>
    <xf numFmtId="3" fontId="26" fillId="7" borderId="83" xfId="0" applyNumberFormat="1" applyFont="1" applyFill="1" applyBorder="1" applyAlignment="1">
      <alignment horizontal="center" vertical="top"/>
    </xf>
    <xf numFmtId="3" fontId="26" fillId="7" borderId="114" xfId="0" applyNumberFormat="1" applyFont="1" applyFill="1" applyBorder="1" applyAlignment="1">
      <alignment horizontal="center" vertical="top"/>
    </xf>
    <xf numFmtId="0" fontId="26" fillId="7" borderId="83" xfId="0" applyNumberFormat="1" applyFont="1" applyFill="1" applyBorder="1" applyAlignment="1">
      <alignment horizontal="center" vertical="top"/>
    </xf>
    <xf numFmtId="3" fontId="26" fillId="7" borderId="73" xfId="0" applyNumberFormat="1" applyFont="1" applyFill="1" applyBorder="1" applyAlignment="1">
      <alignment horizontal="center" vertical="top"/>
    </xf>
    <xf numFmtId="3" fontId="26" fillId="7" borderId="80" xfId="0" applyNumberFormat="1" applyFont="1" applyFill="1" applyBorder="1" applyAlignment="1">
      <alignment horizontal="center" vertical="top"/>
    </xf>
    <xf numFmtId="0" fontId="26" fillId="7" borderId="7" xfId="0" applyFont="1" applyFill="1" applyBorder="1" applyAlignment="1">
      <alignment horizontal="center" vertical="top"/>
    </xf>
    <xf numFmtId="165" fontId="26" fillId="7" borderId="34" xfId="0" applyNumberFormat="1" applyFont="1" applyFill="1" applyBorder="1" applyAlignment="1">
      <alignment horizontal="center" vertical="top"/>
    </xf>
    <xf numFmtId="165" fontId="26" fillId="7" borderId="92" xfId="0" applyNumberFormat="1" applyFont="1" applyFill="1" applyBorder="1" applyAlignment="1">
      <alignment horizontal="center" vertical="top"/>
    </xf>
    <xf numFmtId="165" fontId="26" fillId="7" borderId="114" xfId="0" applyNumberFormat="1" applyFont="1" applyFill="1" applyBorder="1" applyAlignment="1">
      <alignment horizontal="center" vertical="top"/>
    </xf>
    <xf numFmtId="165" fontId="26" fillId="7" borderId="85" xfId="0" applyNumberFormat="1" applyFont="1" applyFill="1" applyBorder="1" applyAlignment="1">
      <alignment horizontal="center" vertical="top"/>
    </xf>
    <xf numFmtId="165" fontId="26" fillId="7" borderId="78" xfId="0" applyNumberFormat="1" applyFont="1" applyFill="1" applyBorder="1" applyAlignment="1">
      <alignment horizontal="center" vertical="top"/>
    </xf>
    <xf numFmtId="165" fontId="26" fillId="7" borderId="36" xfId="0" applyNumberFormat="1" applyFont="1" applyFill="1" applyBorder="1" applyAlignment="1">
      <alignment horizontal="center" vertical="top"/>
    </xf>
    <xf numFmtId="0" fontId="26" fillId="7" borderId="104" xfId="0" applyNumberFormat="1" applyFont="1" applyFill="1" applyBorder="1" applyAlignment="1">
      <alignment horizontal="center" vertical="top"/>
    </xf>
    <xf numFmtId="0" fontId="26" fillId="7" borderId="115" xfId="0" applyNumberFormat="1" applyFont="1" applyFill="1" applyBorder="1" applyAlignment="1">
      <alignment horizontal="center" vertical="top"/>
    </xf>
    <xf numFmtId="0" fontId="26" fillId="7" borderId="95" xfId="0" applyNumberFormat="1" applyFont="1" applyFill="1" applyBorder="1" applyAlignment="1">
      <alignment horizontal="center" vertical="top"/>
    </xf>
    <xf numFmtId="0" fontId="26" fillId="7" borderId="91" xfId="0" applyNumberFormat="1" applyFont="1" applyFill="1" applyBorder="1" applyAlignment="1">
      <alignment horizontal="center" vertical="top"/>
    </xf>
    <xf numFmtId="0" fontId="26" fillId="7" borderId="74" xfId="0" applyNumberFormat="1" applyFont="1" applyFill="1" applyBorder="1" applyAlignment="1">
      <alignment horizontal="center" vertical="top"/>
    </xf>
    <xf numFmtId="0" fontId="26" fillId="7" borderId="80" xfId="0" applyNumberFormat="1" applyFont="1" applyFill="1" applyBorder="1" applyAlignment="1">
      <alignment horizontal="center" vertical="top"/>
    </xf>
    <xf numFmtId="0" fontId="26" fillId="7" borderId="96" xfId="0" applyNumberFormat="1" applyFont="1" applyFill="1" applyBorder="1" applyAlignment="1">
      <alignment horizontal="center" vertical="top"/>
    </xf>
    <xf numFmtId="0" fontId="26" fillId="7" borderId="97" xfId="0" applyNumberFormat="1" applyFont="1" applyFill="1" applyBorder="1" applyAlignment="1">
      <alignment horizontal="center" vertical="top"/>
    </xf>
    <xf numFmtId="165" fontId="26" fillId="7" borderId="46" xfId="0" applyNumberFormat="1" applyFont="1" applyFill="1" applyBorder="1" applyAlignment="1">
      <alignment horizontal="center" vertical="top"/>
    </xf>
    <xf numFmtId="165" fontId="26" fillId="7" borderId="23" xfId="0" applyNumberFormat="1" applyFont="1" applyFill="1" applyBorder="1" applyAlignment="1">
      <alignment horizontal="center" vertical="top"/>
    </xf>
    <xf numFmtId="165" fontId="26" fillId="7" borderId="113" xfId="0" applyNumberFormat="1" applyFont="1" applyFill="1" applyBorder="1" applyAlignment="1">
      <alignment horizontal="center" vertical="top"/>
    </xf>
    <xf numFmtId="3" fontId="26" fillId="7" borderId="15" xfId="0" applyNumberFormat="1" applyFont="1" applyFill="1" applyBorder="1" applyAlignment="1">
      <alignment horizontal="center" vertical="top" wrapText="1"/>
    </xf>
    <xf numFmtId="3" fontId="26" fillId="7" borderId="16" xfId="0" applyNumberFormat="1" applyFont="1" applyFill="1" applyBorder="1" applyAlignment="1">
      <alignment horizontal="center" vertical="top" wrapText="1"/>
    </xf>
    <xf numFmtId="165" fontId="26" fillId="7" borderId="15" xfId="0" applyNumberFormat="1" applyFont="1" applyFill="1" applyBorder="1" applyAlignment="1">
      <alignment horizontal="center" vertical="top"/>
    </xf>
    <xf numFmtId="3" fontId="1" fillId="7" borderId="39" xfId="0" applyNumberFormat="1" applyFont="1" applyFill="1" applyBorder="1" applyAlignment="1">
      <alignment horizontal="left" vertical="top" wrapText="1"/>
    </xf>
    <xf numFmtId="3" fontId="1" fillId="7" borderId="37" xfId="0" applyNumberFormat="1" applyFont="1" applyFill="1" applyBorder="1" applyAlignment="1">
      <alignment vertical="top" wrapText="1"/>
    </xf>
    <xf numFmtId="3" fontId="1" fillId="7" borderId="22" xfId="0" applyNumberFormat="1" applyFont="1" applyFill="1" applyBorder="1" applyAlignment="1">
      <alignment vertical="top" wrapText="1"/>
    </xf>
    <xf numFmtId="165" fontId="26" fillId="7" borderId="84" xfId="0" applyNumberFormat="1" applyFont="1" applyFill="1" applyBorder="1" applyAlignment="1">
      <alignment horizontal="center" vertical="top"/>
    </xf>
    <xf numFmtId="165" fontId="26" fillId="7" borderId="83" xfId="0" applyNumberFormat="1" applyFont="1" applyFill="1" applyBorder="1" applyAlignment="1">
      <alignment horizontal="center" vertical="top"/>
    </xf>
    <xf numFmtId="0" fontId="26" fillId="7" borderId="83" xfId="0" applyFont="1" applyFill="1" applyBorder="1" applyAlignment="1">
      <alignment horizontal="center" vertical="center"/>
    </xf>
    <xf numFmtId="0" fontId="26" fillId="7" borderId="114" xfId="0" applyFont="1" applyFill="1" applyBorder="1" applyAlignment="1">
      <alignment horizontal="center" vertical="center"/>
    </xf>
    <xf numFmtId="3" fontId="1" fillId="7" borderId="66" xfId="0" applyNumberFormat="1" applyFont="1" applyFill="1" applyBorder="1" applyAlignment="1">
      <alignment vertical="top"/>
    </xf>
    <xf numFmtId="3" fontId="1" fillId="7" borderId="114" xfId="0" applyNumberFormat="1" applyFont="1" applyFill="1" applyBorder="1" applyAlignment="1">
      <alignment vertical="top"/>
    </xf>
    <xf numFmtId="3" fontId="1" fillId="7" borderId="85" xfId="0" applyNumberFormat="1" applyFont="1" applyFill="1" applyBorder="1" applyAlignment="1">
      <alignment vertical="top" wrapText="1"/>
    </xf>
    <xf numFmtId="0" fontId="26" fillId="7" borderId="5" xfId="0" applyFont="1" applyFill="1" applyBorder="1" applyAlignment="1">
      <alignment horizontal="center" vertical="center"/>
    </xf>
    <xf numFmtId="0" fontId="26" fillId="7" borderId="5" xfId="0" applyFont="1" applyFill="1" applyBorder="1" applyAlignment="1">
      <alignment horizontal="center" vertical="top"/>
    </xf>
    <xf numFmtId="0" fontId="1" fillId="7" borderId="83" xfId="0" applyNumberFormat="1" applyFont="1" applyFill="1" applyBorder="1" applyAlignment="1">
      <alignment horizontal="center" vertical="top"/>
    </xf>
    <xf numFmtId="0" fontId="1" fillId="7" borderId="70" xfId="0" applyNumberFormat="1" applyFont="1" applyFill="1" applyBorder="1" applyAlignment="1">
      <alignment horizontal="center" vertical="top"/>
    </xf>
    <xf numFmtId="0" fontId="1" fillId="7" borderId="71" xfId="0" applyNumberFormat="1" applyFont="1" applyFill="1" applyBorder="1" applyAlignment="1">
      <alignment horizontal="center" vertical="top"/>
    </xf>
    <xf numFmtId="0" fontId="26" fillId="7" borderId="34" xfId="0" applyNumberFormat="1" applyFont="1" applyFill="1" applyBorder="1" applyAlignment="1">
      <alignment horizontal="center" vertical="top"/>
    </xf>
    <xf numFmtId="0" fontId="26" fillId="7" borderId="20" xfId="0" applyNumberFormat="1" applyFont="1" applyFill="1" applyBorder="1" applyAlignment="1">
      <alignment horizontal="center" vertical="top"/>
    </xf>
    <xf numFmtId="0" fontId="26" fillId="7" borderId="19" xfId="0" applyNumberFormat="1" applyFont="1" applyFill="1" applyBorder="1" applyAlignment="1">
      <alignment horizontal="center" vertical="top"/>
    </xf>
    <xf numFmtId="165" fontId="27" fillId="7" borderId="96" xfId="0" applyNumberFormat="1" applyFont="1" applyFill="1" applyBorder="1" applyAlignment="1">
      <alignment horizontal="center" vertical="top"/>
    </xf>
    <xf numFmtId="165" fontId="27" fillId="7" borderId="43" xfId="0" applyNumberFormat="1" applyFont="1" applyFill="1" applyBorder="1" applyAlignment="1">
      <alignment vertical="top"/>
    </xf>
    <xf numFmtId="165" fontId="27" fillId="7" borderId="19" xfId="0" applyNumberFormat="1" applyFont="1" applyFill="1" applyBorder="1" applyAlignment="1">
      <alignment vertical="top"/>
    </xf>
    <xf numFmtId="165" fontId="27" fillId="7" borderId="40" xfId="0" applyNumberFormat="1" applyFont="1" applyFill="1" applyBorder="1" applyAlignment="1">
      <alignment vertical="top"/>
    </xf>
    <xf numFmtId="165" fontId="27" fillId="7" borderId="27" xfId="0" applyNumberFormat="1" applyFont="1" applyFill="1" applyBorder="1" applyAlignment="1">
      <alignment vertical="top"/>
    </xf>
    <xf numFmtId="165" fontId="27" fillId="7" borderId="27" xfId="0" applyNumberFormat="1" applyFont="1" applyFill="1" applyBorder="1" applyAlignment="1">
      <alignment horizontal="center" vertical="center"/>
    </xf>
    <xf numFmtId="165" fontId="27" fillId="7" borderId="25" xfId="0" applyNumberFormat="1" applyFont="1" applyFill="1" applyBorder="1" applyAlignment="1">
      <alignment horizontal="center" vertical="center"/>
    </xf>
    <xf numFmtId="165" fontId="27" fillId="7" borderId="18" xfId="0" applyNumberFormat="1" applyFont="1" applyFill="1" applyBorder="1" applyAlignment="1">
      <alignment horizontal="center" vertical="center"/>
    </xf>
    <xf numFmtId="0" fontId="27" fillId="0" borderId="100" xfId="0" applyFont="1" applyBorder="1" applyAlignment="1">
      <alignment vertical="top"/>
    </xf>
    <xf numFmtId="167" fontId="27" fillId="0" borderId="0" xfId="0" applyNumberFormat="1" applyFont="1" applyBorder="1" applyAlignment="1">
      <alignment horizontal="center" vertical="top"/>
    </xf>
    <xf numFmtId="167" fontId="27" fillId="0" borderId="79" xfId="0" applyNumberFormat="1" applyFont="1" applyBorder="1" applyAlignment="1">
      <alignment horizontal="center" vertical="top"/>
    </xf>
    <xf numFmtId="0" fontId="27" fillId="0" borderId="6" xfId="0" applyFont="1" applyBorder="1" applyAlignment="1">
      <alignment vertical="top"/>
    </xf>
    <xf numFmtId="0" fontId="27" fillId="0" borderId="10" xfId="0" applyFont="1" applyBorder="1" applyAlignment="1">
      <alignment vertical="top"/>
    </xf>
    <xf numFmtId="0" fontId="27" fillId="0" borderId="43" xfId="0" applyFont="1" applyBorder="1" applyAlignment="1">
      <alignment vertical="top"/>
    </xf>
    <xf numFmtId="0" fontId="27" fillId="0" borderId="40" xfId="0" applyFont="1" applyBorder="1" applyAlignment="1">
      <alignment vertical="top"/>
    </xf>
    <xf numFmtId="0" fontId="27" fillId="7" borderId="83" xfId="0" applyFont="1" applyFill="1" applyBorder="1" applyAlignment="1">
      <alignment horizontal="center" vertical="center"/>
    </xf>
    <xf numFmtId="0" fontId="27" fillId="7" borderId="114" xfId="0" applyFont="1" applyFill="1" applyBorder="1" applyAlignment="1">
      <alignment horizontal="center" vertical="center"/>
    </xf>
    <xf numFmtId="167" fontId="27" fillId="7" borderId="92" xfId="0" applyNumberFormat="1" applyFont="1" applyFill="1" applyBorder="1" applyAlignment="1">
      <alignment horizontal="center" vertical="center"/>
    </xf>
    <xf numFmtId="167" fontId="27" fillId="7" borderId="90" xfId="0" applyNumberFormat="1" applyFont="1" applyFill="1" applyBorder="1" applyAlignment="1">
      <alignment horizontal="center" vertical="center"/>
    </xf>
    <xf numFmtId="167" fontId="27" fillId="7" borderId="43" xfId="0" applyNumberFormat="1" applyFont="1" applyFill="1" applyBorder="1" applyAlignment="1">
      <alignment horizontal="center" vertical="center"/>
    </xf>
    <xf numFmtId="167" fontId="27" fillId="7" borderId="40" xfId="0" applyNumberFormat="1" applyFont="1" applyFill="1" applyBorder="1" applyAlignment="1">
      <alignment horizontal="center" vertical="center"/>
    </xf>
    <xf numFmtId="0" fontId="27" fillId="7" borderId="27" xfId="0" applyFont="1" applyFill="1" applyBorder="1" applyAlignment="1">
      <alignment horizontal="center" vertical="center"/>
    </xf>
    <xf numFmtId="167" fontId="27" fillId="7" borderId="18" xfId="0" applyNumberFormat="1" applyFont="1" applyFill="1" applyBorder="1" applyAlignment="1">
      <alignment horizontal="center" vertical="center"/>
    </xf>
    <xf numFmtId="167" fontId="27" fillId="7" borderId="47" xfId="0" applyNumberFormat="1" applyFont="1" applyFill="1" applyBorder="1" applyAlignment="1">
      <alignment horizontal="center" vertical="center"/>
    </xf>
    <xf numFmtId="165" fontId="27" fillId="7" borderId="83" xfId="0" applyNumberFormat="1" applyFont="1" applyFill="1" applyBorder="1" applyAlignment="1">
      <alignment horizontal="center" vertical="top"/>
    </xf>
    <xf numFmtId="0" fontId="27" fillId="0" borderId="114" xfId="0" applyFont="1" applyBorder="1" applyAlignment="1">
      <alignment vertical="top"/>
    </xf>
    <xf numFmtId="165" fontId="2" fillId="7" borderId="19" xfId="0" applyNumberFormat="1" applyFont="1" applyFill="1" applyBorder="1" applyAlignment="1">
      <alignment horizontal="center" vertical="top" wrapText="1"/>
    </xf>
    <xf numFmtId="165" fontId="1" fillId="7" borderId="43"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1" fillId="7" borderId="5" xfId="0" applyNumberFormat="1" applyFont="1" applyFill="1" applyBorder="1" applyAlignment="1">
      <alignment horizontal="center" vertical="top" wrapText="1"/>
    </xf>
    <xf numFmtId="0" fontId="26" fillId="0" borderId="32" xfId="0" applyFont="1" applyBorder="1" applyAlignment="1">
      <alignment vertical="top" wrapText="1"/>
    </xf>
    <xf numFmtId="0" fontId="26" fillId="0" borderId="0" xfId="0" applyFont="1" applyBorder="1" applyAlignment="1">
      <alignment vertical="top" wrapText="1"/>
    </xf>
    <xf numFmtId="3" fontId="26" fillId="7" borderId="96" xfId="0" applyNumberFormat="1" applyFont="1" applyFill="1" applyBorder="1" applyAlignment="1">
      <alignment horizontal="center" vertical="top"/>
    </xf>
    <xf numFmtId="0" fontId="26" fillId="7" borderId="41" xfId="0"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165" fontId="1" fillId="7" borderId="26" xfId="0" applyNumberFormat="1" applyFont="1" applyFill="1" applyBorder="1" applyAlignment="1">
      <alignment horizontal="left" vertical="top" wrapText="1"/>
    </xf>
    <xf numFmtId="0" fontId="16" fillId="0" borderId="0" xfId="0" applyFont="1" applyAlignment="1">
      <alignment horizontal="center" vertical="top" wrapText="1"/>
    </xf>
    <xf numFmtId="0" fontId="17" fillId="0" borderId="0" xfId="0" applyFont="1" applyBorder="1" applyAlignment="1">
      <alignment horizontal="center" vertical="top" wrapText="1"/>
    </xf>
    <xf numFmtId="0" fontId="10" fillId="0" borderId="0" xfId="0" applyFont="1" applyBorder="1" applyAlignment="1">
      <alignment horizontal="center" vertical="top"/>
    </xf>
    <xf numFmtId="0" fontId="1" fillId="0" borderId="30" xfId="0" applyFont="1" applyBorder="1" applyAlignment="1">
      <alignment horizontal="right" vertical="top"/>
    </xf>
    <xf numFmtId="3" fontId="1" fillId="0" borderId="4" xfId="0" applyNumberFormat="1" applyFont="1" applyBorder="1" applyAlignment="1">
      <alignment horizontal="center" vertical="center" textRotation="90" shrinkToFit="1"/>
    </xf>
    <xf numFmtId="3" fontId="1" fillId="0" borderId="6" xfId="0" applyNumberFormat="1" applyFont="1" applyBorder="1" applyAlignment="1">
      <alignment horizontal="center" vertical="center" textRotation="90" shrinkToFit="1"/>
    </xf>
    <xf numFmtId="3" fontId="1" fillId="0" borderId="8"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10" xfId="0" applyNumberFormat="1" applyFont="1" applyBorder="1" applyAlignment="1">
      <alignment horizontal="center" vertical="center" textRotation="90" shrinkToFit="1"/>
    </xf>
    <xf numFmtId="3" fontId="1" fillId="0" borderId="28" xfId="0" applyNumberFormat="1" applyFont="1" applyBorder="1" applyAlignment="1">
      <alignment horizontal="center" vertical="center" textRotation="90" shrinkToFit="1"/>
    </xf>
    <xf numFmtId="3" fontId="1" fillId="0" borderId="38" xfId="0" applyNumberFormat="1" applyFont="1" applyBorder="1" applyAlignment="1">
      <alignment horizontal="center" vertical="center" shrinkToFit="1"/>
    </xf>
    <xf numFmtId="3" fontId="1" fillId="0" borderId="44" xfId="0" applyNumberFormat="1" applyFont="1" applyBorder="1" applyAlignment="1">
      <alignment horizontal="center" vertical="center" shrinkToFit="1"/>
    </xf>
    <xf numFmtId="3" fontId="1" fillId="0" borderId="50" xfId="0" applyNumberFormat="1" applyFont="1" applyBorder="1" applyAlignment="1">
      <alignment horizontal="center" vertical="center" shrinkToFit="1"/>
    </xf>
    <xf numFmtId="0" fontId="1" fillId="0" borderId="46"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2" fillId="0" borderId="58" xfId="0" applyFont="1" applyBorder="1" applyAlignment="1">
      <alignment horizontal="center" vertical="center"/>
    </xf>
    <xf numFmtId="0" fontId="2" fillId="0" borderId="63" xfId="0" applyFont="1" applyBorder="1" applyAlignment="1">
      <alignment horizontal="center" vertical="center"/>
    </xf>
    <xf numFmtId="0" fontId="2" fillId="0" borderId="59" xfId="0" applyFont="1" applyBorder="1" applyAlignment="1">
      <alignment horizontal="center" vertical="center"/>
    </xf>
    <xf numFmtId="0" fontId="1" fillId="0" borderId="3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4" xfId="0" applyFont="1" applyBorder="1" applyAlignment="1">
      <alignment horizontal="center" vertical="center"/>
    </xf>
    <xf numFmtId="0" fontId="1" fillId="0" borderId="39" xfId="0" applyFont="1" applyBorder="1" applyAlignment="1">
      <alignment horizontal="center" vertical="center"/>
    </xf>
    <xf numFmtId="49" fontId="4" fillId="6" borderId="58" xfId="0" applyNumberFormat="1" applyFont="1" applyFill="1" applyBorder="1" applyAlignment="1">
      <alignment horizontal="left" vertical="top" wrapText="1"/>
    </xf>
    <xf numFmtId="49" fontId="4" fillId="6" borderId="63" xfId="0" applyNumberFormat="1" applyFont="1" applyFill="1" applyBorder="1" applyAlignment="1">
      <alignment horizontal="left" vertical="top" wrapText="1"/>
    </xf>
    <xf numFmtId="49" fontId="4" fillId="6" borderId="59" xfId="0" applyNumberFormat="1" applyFont="1" applyFill="1" applyBorder="1" applyAlignment="1">
      <alignment horizontal="left" vertical="top" wrapText="1"/>
    </xf>
    <xf numFmtId="0" fontId="4" fillId="5" borderId="57" xfId="0" applyFont="1" applyFill="1" applyBorder="1" applyAlignment="1">
      <alignment horizontal="left" vertical="top" wrapText="1"/>
    </xf>
    <xf numFmtId="0" fontId="4" fillId="5" borderId="54" xfId="0" applyFont="1" applyFill="1" applyBorder="1" applyAlignment="1">
      <alignment horizontal="left" vertical="top" wrapText="1"/>
    </xf>
    <xf numFmtId="0" fontId="4" fillId="5" borderId="39" xfId="0" applyFont="1" applyFill="1" applyBorder="1" applyAlignment="1">
      <alignment horizontal="left" vertical="top" wrapText="1"/>
    </xf>
    <xf numFmtId="3" fontId="1" fillId="0" borderId="38" xfId="0" applyNumberFormat="1" applyFont="1" applyBorder="1" applyAlignment="1">
      <alignment horizontal="center" vertical="center" textRotation="90" shrinkToFit="1"/>
    </xf>
    <xf numFmtId="3" fontId="1" fillId="0" borderId="44" xfId="0" applyNumberFormat="1" applyFont="1" applyBorder="1" applyAlignment="1">
      <alignment horizontal="center" vertical="center" textRotation="90" shrinkToFit="1"/>
    </xf>
    <xf numFmtId="3" fontId="1" fillId="0" borderId="50" xfId="0" applyNumberFormat="1" applyFont="1" applyBorder="1" applyAlignment="1">
      <alignment horizontal="center" vertical="center" textRotation="90" shrinkToFit="1"/>
    </xf>
    <xf numFmtId="3" fontId="1" fillId="0" borderId="37" xfId="0" applyNumberFormat="1" applyFont="1" applyBorder="1" applyAlignment="1">
      <alignment horizontal="center" vertical="center" textRotation="90" wrapText="1" shrinkToFit="1"/>
    </xf>
    <xf numFmtId="3" fontId="1" fillId="0" borderId="5" xfId="0" applyNumberFormat="1" applyFont="1" applyBorder="1" applyAlignment="1">
      <alignment horizontal="center" vertical="center" textRotation="90" wrapText="1" shrinkToFit="1"/>
    </xf>
    <xf numFmtId="3" fontId="1" fillId="0" borderId="56" xfId="0" applyNumberFormat="1" applyFont="1" applyBorder="1" applyAlignment="1">
      <alignment horizontal="center" vertical="center" textRotation="90" wrapText="1" shrinkToFit="1"/>
    </xf>
    <xf numFmtId="0" fontId="1" fillId="0" borderId="23"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165" fontId="2" fillId="9" borderId="6"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10" xfId="0" applyNumberFormat="1" applyFont="1" applyFill="1" applyBorder="1" applyAlignment="1">
      <alignment horizontal="left" vertical="top" wrapText="1"/>
    </xf>
    <xf numFmtId="0" fontId="2" fillId="9" borderId="35" xfId="0" applyFont="1" applyFill="1" applyBorder="1" applyAlignment="1">
      <alignment horizontal="left" vertical="top"/>
    </xf>
    <xf numFmtId="0" fontId="2" fillId="9" borderId="54" xfId="0" applyFont="1" applyFill="1" applyBorder="1" applyAlignment="1">
      <alignment horizontal="left" vertical="top"/>
    </xf>
    <xf numFmtId="0" fontId="2" fillId="9" borderId="39" xfId="0" applyFont="1" applyFill="1" applyBorder="1" applyAlignment="1">
      <alignment horizontal="left" vertical="top"/>
    </xf>
    <xf numFmtId="0" fontId="2" fillId="2" borderId="35"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52" xfId="0" applyFont="1" applyFill="1" applyBorder="1" applyAlignment="1">
      <alignment horizontal="left" vertical="top" wrapText="1"/>
    </xf>
    <xf numFmtId="0" fontId="2" fillId="2" borderId="36" xfId="0" applyFont="1" applyFill="1" applyBorder="1" applyAlignment="1">
      <alignment horizontal="left" vertical="top" wrapText="1"/>
    </xf>
    <xf numFmtId="0" fontId="1" fillId="7" borderId="19" xfId="0" applyFont="1" applyFill="1" applyBorder="1" applyAlignment="1">
      <alignment vertical="top" wrapText="1"/>
    </xf>
    <xf numFmtId="0" fontId="1" fillId="7" borderId="10" xfId="0" applyFont="1" applyFill="1" applyBorder="1" applyAlignment="1">
      <alignment vertical="top" wrapText="1"/>
    </xf>
    <xf numFmtId="165" fontId="1" fillId="7" borderId="42" xfId="0" applyNumberFormat="1" applyFont="1" applyFill="1" applyBorder="1" applyAlignment="1">
      <alignment horizontal="left" vertical="top" wrapText="1"/>
    </xf>
    <xf numFmtId="165" fontId="1" fillId="7" borderId="44" xfId="0" applyNumberFormat="1" applyFont="1" applyFill="1" applyBorder="1" applyAlignment="1">
      <alignment horizontal="left" vertical="top" wrapText="1"/>
    </xf>
    <xf numFmtId="165" fontId="1" fillId="7" borderId="83" xfId="0" applyNumberFormat="1" applyFont="1" applyFill="1" applyBorder="1" applyAlignment="1">
      <alignment vertical="top" wrapText="1"/>
    </xf>
    <xf numFmtId="165" fontId="1" fillId="7" borderId="6" xfId="0" applyNumberFormat="1" applyFont="1" applyFill="1" applyBorder="1" applyAlignment="1">
      <alignment vertical="top" wrapText="1"/>
    </xf>
    <xf numFmtId="165" fontId="1" fillId="7" borderId="100" xfId="0" applyNumberFormat="1" applyFont="1" applyFill="1" applyBorder="1" applyAlignment="1">
      <alignment vertical="top" wrapText="1"/>
    </xf>
    <xf numFmtId="165" fontId="2" fillId="7" borderId="20"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49" fontId="1" fillId="8" borderId="10" xfId="0" applyNumberFormat="1" applyFont="1" applyFill="1" applyBorder="1" applyAlignment="1">
      <alignment horizontal="center" vertical="center" textRotation="90" wrapText="1"/>
    </xf>
    <xf numFmtId="49" fontId="1" fillId="8" borderId="26" xfId="0" applyNumberFormat="1" applyFont="1" applyFill="1" applyBorder="1" applyAlignment="1">
      <alignment horizontal="center" vertical="center" textRotation="90" wrapText="1"/>
    </xf>
    <xf numFmtId="165" fontId="1" fillId="7" borderId="19" xfId="0" applyNumberFormat="1" applyFont="1" applyFill="1" applyBorder="1" applyAlignment="1">
      <alignment vertical="top" wrapText="1"/>
    </xf>
    <xf numFmtId="165" fontId="1" fillId="7" borderId="10" xfId="0" applyNumberFormat="1" applyFont="1" applyFill="1" applyBorder="1" applyAlignment="1">
      <alignment vertical="top" wrapText="1"/>
    </xf>
    <xf numFmtId="165" fontId="1" fillId="7" borderId="34"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165" fontId="1" fillId="7" borderId="100" xfId="0" applyNumberFormat="1" applyFont="1" applyFill="1" applyBorder="1" applyAlignment="1">
      <alignment horizontal="left" vertical="top" wrapText="1"/>
    </xf>
    <xf numFmtId="165" fontId="1" fillId="7" borderId="34" xfId="3" applyNumberFormat="1" applyFont="1" applyFill="1" applyBorder="1" applyAlignment="1">
      <alignment horizontal="left" vertical="top" wrapText="1"/>
    </xf>
    <xf numFmtId="165" fontId="1" fillId="7" borderId="6" xfId="3" applyNumberFormat="1" applyFont="1" applyFill="1" applyBorder="1" applyAlignment="1">
      <alignment horizontal="left" vertical="top" wrapText="1"/>
    </xf>
    <xf numFmtId="165" fontId="1" fillId="7" borderId="27" xfId="3" applyNumberFormat="1" applyFont="1" applyFill="1" applyBorder="1" applyAlignment="1">
      <alignment horizontal="left" vertical="top" wrapText="1"/>
    </xf>
    <xf numFmtId="0" fontId="1" fillId="7" borderId="84" xfId="0" applyNumberFormat="1" applyFont="1" applyFill="1" applyBorder="1" applyAlignment="1">
      <alignment horizontal="center" vertical="top" wrapText="1"/>
    </xf>
    <xf numFmtId="49" fontId="1" fillId="7" borderId="10" xfId="0" applyNumberFormat="1" applyFont="1" applyFill="1" applyBorder="1" applyAlignment="1">
      <alignment horizontal="center" vertical="top" wrapText="1"/>
    </xf>
    <xf numFmtId="49" fontId="1" fillId="7" borderId="26" xfId="0" applyNumberFormat="1" applyFont="1" applyFill="1" applyBorder="1" applyAlignment="1">
      <alignment horizontal="center" vertical="top" wrapText="1"/>
    </xf>
    <xf numFmtId="49" fontId="1" fillId="7" borderId="114" xfId="0" applyNumberFormat="1" applyFont="1" applyFill="1" applyBorder="1" applyAlignment="1">
      <alignment horizontal="center" vertical="top" wrapText="1"/>
    </xf>
    <xf numFmtId="49" fontId="1" fillId="7" borderId="17" xfId="0" applyNumberFormat="1" applyFont="1" applyFill="1" applyBorder="1" applyAlignment="1">
      <alignment horizontal="center" vertical="top" wrapText="1"/>
    </xf>
    <xf numFmtId="49" fontId="1" fillId="7" borderId="25" xfId="0" applyNumberFormat="1" applyFont="1" applyFill="1" applyBorder="1" applyAlignment="1">
      <alignment horizontal="center" vertical="top" wrapText="1"/>
    </xf>
    <xf numFmtId="165" fontId="2" fillId="9" borderId="32"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1" fillId="8" borderId="19" xfId="0" applyNumberFormat="1" applyFont="1" applyFill="1" applyBorder="1" applyAlignment="1">
      <alignment horizontal="center" vertical="center" textRotation="90" wrapText="1"/>
    </xf>
    <xf numFmtId="165" fontId="1" fillId="8" borderId="10" xfId="0" applyNumberFormat="1" applyFont="1" applyFill="1" applyBorder="1" applyAlignment="1">
      <alignment horizontal="center" vertical="center" textRotation="90" wrapText="1"/>
    </xf>
    <xf numFmtId="165" fontId="1" fillId="8" borderId="26" xfId="0" applyNumberFormat="1" applyFont="1" applyFill="1" applyBorder="1" applyAlignment="1">
      <alignment horizontal="center" vertical="center" textRotation="90" wrapText="1"/>
    </xf>
    <xf numFmtId="0" fontId="6" fillId="7" borderId="6" xfId="0" applyFont="1" applyFill="1" applyBorder="1" applyAlignment="1">
      <alignment horizontal="left" vertical="top" wrapText="1"/>
    </xf>
    <xf numFmtId="165" fontId="1" fillId="0" borderId="19" xfId="0" applyNumberFormat="1" applyFont="1" applyFill="1" applyBorder="1" applyAlignment="1">
      <alignment horizontal="left" vertical="top" wrapText="1"/>
    </xf>
    <xf numFmtId="165" fontId="1" fillId="0" borderId="26" xfId="0" applyNumberFormat="1" applyFont="1" applyFill="1" applyBorder="1" applyAlignment="1">
      <alignment horizontal="left" vertical="top" wrapText="1"/>
    </xf>
    <xf numFmtId="0" fontId="1" fillId="7" borderId="34" xfId="0" applyFont="1" applyFill="1" applyBorder="1" applyAlignment="1">
      <alignment horizontal="left" vertical="top" wrapText="1"/>
    </xf>
    <xf numFmtId="0" fontId="1" fillId="7" borderId="6" xfId="0" applyFont="1" applyFill="1" applyBorder="1" applyAlignment="1">
      <alignment horizontal="left" vertical="top" wrapText="1"/>
    </xf>
    <xf numFmtId="0" fontId="6" fillId="0" borderId="100" xfId="0" applyFont="1" applyBorder="1" applyAlignment="1">
      <alignment horizontal="left" vertical="top" wrapText="1"/>
    </xf>
    <xf numFmtId="0" fontId="1" fillId="7" borderId="83"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7" borderId="92" xfId="0" applyNumberFormat="1" applyFont="1" applyFill="1" applyBorder="1" applyAlignment="1">
      <alignment horizontal="center" vertical="top" wrapText="1"/>
    </xf>
    <xf numFmtId="49" fontId="1" fillId="7" borderId="43" xfId="0" applyNumberFormat="1" applyFont="1" applyFill="1" applyBorder="1" applyAlignment="1">
      <alignment horizontal="center" vertical="top" wrapText="1"/>
    </xf>
    <xf numFmtId="49" fontId="1" fillId="7" borderId="18" xfId="0" applyNumberFormat="1" applyFont="1" applyFill="1" applyBorder="1" applyAlignment="1">
      <alignment horizontal="center" vertical="top" wrapText="1"/>
    </xf>
    <xf numFmtId="165" fontId="1" fillId="0" borderId="19" xfId="0" applyNumberFormat="1" applyFont="1" applyFill="1" applyBorder="1" applyAlignment="1">
      <alignment vertical="top" wrapText="1"/>
    </xf>
    <xf numFmtId="165" fontId="1" fillId="0" borderId="26" xfId="0" applyNumberFormat="1" applyFont="1" applyFill="1" applyBorder="1" applyAlignment="1">
      <alignment vertical="top" wrapText="1"/>
    </xf>
    <xf numFmtId="0" fontId="6" fillId="7" borderId="10" xfId="0" applyFont="1" applyFill="1" applyBorder="1" applyAlignment="1">
      <alignment vertical="top" wrapText="1"/>
    </xf>
    <xf numFmtId="0" fontId="6" fillId="7" borderId="26" xfId="0" applyFont="1" applyFill="1" applyBorder="1" applyAlignment="1">
      <alignment vertical="top" wrapText="1"/>
    </xf>
    <xf numFmtId="165" fontId="6" fillId="7" borderId="27" xfId="0" applyNumberFormat="1" applyFont="1" applyFill="1" applyBorder="1" applyAlignment="1">
      <alignment horizontal="left" vertical="top" wrapText="1"/>
    </xf>
    <xf numFmtId="165" fontId="6" fillId="7" borderId="26" xfId="0" applyNumberFormat="1" applyFont="1" applyFill="1" applyBorder="1" applyAlignment="1">
      <alignment horizontal="left" vertical="top" wrapText="1"/>
    </xf>
    <xf numFmtId="165" fontId="2" fillId="0" borderId="20" xfId="0" applyNumberFormat="1" applyFont="1" applyFill="1" applyBorder="1" applyAlignment="1">
      <alignment horizontal="center" vertical="top" wrapText="1"/>
    </xf>
    <xf numFmtId="165" fontId="2" fillId="0" borderId="25" xfId="0" applyNumberFormat="1" applyFont="1" applyFill="1" applyBorder="1" applyAlignment="1">
      <alignment horizontal="center" vertical="top" wrapText="1"/>
    </xf>
    <xf numFmtId="165" fontId="1" fillId="7" borderId="10"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68" xfId="0" applyNumberFormat="1" applyFont="1" applyFill="1" applyBorder="1" applyAlignment="1">
      <alignment horizontal="center" vertical="top"/>
    </xf>
    <xf numFmtId="165" fontId="1" fillId="7" borderId="27" xfId="0" applyNumberFormat="1" applyFont="1" applyFill="1" applyBorder="1" applyAlignment="1">
      <alignment horizontal="left" vertical="top" wrapText="1"/>
    </xf>
    <xf numFmtId="165" fontId="1" fillId="7" borderId="6" xfId="0" applyNumberFormat="1" applyFont="1" applyFill="1" applyBorder="1" applyAlignment="1">
      <alignment horizontal="center" vertical="top" wrapText="1"/>
    </xf>
    <xf numFmtId="165" fontId="1" fillId="7" borderId="100" xfId="0" applyNumberFormat="1" applyFont="1" applyFill="1" applyBorder="1" applyAlignment="1">
      <alignment horizontal="center" vertical="top" wrapText="1"/>
    </xf>
    <xf numFmtId="0" fontId="1" fillId="0" borderId="5" xfId="0" applyFont="1" applyBorder="1" applyAlignment="1">
      <alignment vertical="top"/>
    </xf>
    <xf numFmtId="0" fontId="1" fillId="0" borderId="78" xfId="0" applyFont="1" applyBorder="1" applyAlignment="1">
      <alignment vertical="top"/>
    </xf>
    <xf numFmtId="165" fontId="1" fillId="7" borderId="67" xfId="0" applyNumberFormat="1" applyFont="1" applyFill="1" applyBorder="1" applyAlignment="1">
      <alignment horizontal="center" vertical="top"/>
    </xf>
    <xf numFmtId="165" fontId="1" fillId="7" borderId="44" xfId="0" applyNumberFormat="1" applyFont="1" applyFill="1" applyBorder="1" applyAlignment="1">
      <alignment vertical="top" wrapText="1"/>
    </xf>
    <xf numFmtId="165" fontId="1" fillId="3" borderId="19" xfId="0" applyNumberFormat="1" applyFont="1" applyFill="1" applyBorder="1" applyAlignment="1">
      <alignment vertical="top" wrapText="1"/>
    </xf>
    <xf numFmtId="165" fontId="1" fillId="3" borderId="26" xfId="0" applyNumberFormat="1" applyFont="1" applyFill="1" applyBorder="1" applyAlignment="1">
      <alignment vertical="top" wrapText="1"/>
    </xf>
    <xf numFmtId="165" fontId="1" fillId="7" borderId="43" xfId="0" applyNumberFormat="1" applyFont="1" applyFill="1" applyBorder="1" applyAlignment="1">
      <alignment horizontal="center" vertical="top"/>
    </xf>
    <xf numFmtId="165" fontId="1" fillId="7" borderId="77" xfId="0" applyNumberFormat="1" applyFont="1" applyFill="1" applyBorder="1" applyAlignment="1">
      <alignment horizontal="center" vertical="top"/>
    </xf>
    <xf numFmtId="165" fontId="1" fillId="7" borderId="84" xfId="0" applyNumberFormat="1" applyFont="1" applyFill="1" applyBorder="1" applyAlignment="1">
      <alignment horizontal="left" vertical="top" wrapText="1"/>
    </xf>
    <xf numFmtId="165" fontId="1" fillId="7" borderId="67" xfId="0" applyNumberFormat="1" applyFont="1" applyFill="1" applyBorder="1" applyAlignment="1">
      <alignment horizontal="left" vertical="top" wrapText="1"/>
    </xf>
    <xf numFmtId="0" fontId="3" fillId="7" borderId="43" xfId="0" applyFont="1" applyFill="1" applyBorder="1" applyAlignment="1">
      <alignment horizontal="center" vertical="center" textRotation="90" wrapText="1"/>
    </xf>
    <xf numFmtId="49" fontId="1" fillId="7" borderId="84" xfId="0" applyNumberFormat="1" applyFont="1" applyFill="1" applyBorder="1" applyAlignment="1">
      <alignment vertical="top" wrapText="1"/>
    </xf>
    <xf numFmtId="0" fontId="6" fillId="7" borderId="27" xfId="0" applyFont="1" applyFill="1" applyBorder="1" applyAlignment="1">
      <alignment horizontal="left" vertical="top" wrapText="1"/>
    </xf>
    <xf numFmtId="0" fontId="1" fillId="0" borderId="84" xfId="0" applyNumberFormat="1" applyFont="1" applyFill="1" applyBorder="1" applyAlignment="1">
      <alignment horizontal="left" vertical="top" wrapText="1"/>
    </xf>
    <xf numFmtId="0" fontId="1" fillId="0" borderId="10" xfId="0" applyNumberFormat="1" applyFont="1" applyFill="1" applyBorder="1" applyAlignment="1">
      <alignment horizontal="left" vertical="top" wrapText="1"/>
    </xf>
    <xf numFmtId="0" fontId="1" fillId="0" borderId="67" xfId="0" applyNumberFormat="1" applyFont="1" applyFill="1" applyBorder="1" applyAlignment="1">
      <alignment horizontal="left" vertical="top" wrapText="1"/>
    </xf>
    <xf numFmtId="0" fontId="1" fillId="7" borderId="84" xfId="0" applyNumberFormat="1" applyFont="1" applyFill="1" applyBorder="1" applyAlignment="1">
      <alignment horizontal="left" vertical="top" wrapText="1"/>
    </xf>
    <xf numFmtId="0" fontId="1" fillId="7" borderId="67" xfId="0" applyNumberFormat="1" applyFont="1" applyFill="1" applyBorder="1" applyAlignment="1">
      <alignment horizontal="left" vertical="top" wrapText="1"/>
    </xf>
    <xf numFmtId="0" fontId="1" fillId="7" borderId="84" xfId="0" applyFont="1" applyFill="1" applyBorder="1" applyAlignment="1">
      <alignment horizontal="left" vertical="top" wrapText="1"/>
    </xf>
    <xf numFmtId="0" fontId="1" fillId="7" borderId="26" xfId="0" applyFont="1" applyFill="1" applyBorder="1" applyAlignment="1">
      <alignment horizontal="left" vertical="top" wrapText="1"/>
    </xf>
    <xf numFmtId="165" fontId="2" fillId="2" borderId="64" xfId="0" applyNumberFormat="1" applyFont="1" applyFill="1" applyBorder="1" applyAlignment="1">
      <alignment horizontal="right" vertical="top"/>
    </xf>
    <xf numFmtId="165" fontId="2" fillId="2" borderId="60" xfId="0" applyNumberFormat="1" applyFont="1" applyFill="1" applyBorder="1" applyAlignment="1">
      <alignment horizontal="right" vertical="top"/>
    </xf>
    <xf numFmtId="165" fontId="2" fillId="2" borderId="61" xfId="0" applyNumberFormat="1" applyFont="1" applyFill="1" applyBorder="1" applyAlignment="1">
      <alignment horizontal="right" vertical="top"/>
    </xf>
    <xf numFmtId="165" fontId="2" fillId="2" borderId="3" xfId="0" applyNumberFormat="1" applyFont="1" applyFill="1" applyBorder="1" applyAlignment="1">
      <alignment horizontal="left" vertical="top"/>
    </xf>
    <xf numFmtId="165" fontId="2" fillId="2" borderId="23" xfId="0" applyNumberFormat="1" applyFont="1" applyFill="1" applyBorder="1" applyAlignment="1">
      <alignment horizontal="left" vertical="top"/>
    </xf>
    <xf numFmtId="165" fontId="2" fillId="2" borderId="64" xfId="0" applyNumberFormat="1" applyFont="1" applyFill="1" applyBorder="1" applyAlignment="1">
      <alignment horizontal="left" vertical="top"/>
    </xf>
    <xf numFmtId="165" fontId="2" fillId="2" borderId="105" xfId="0" applyNumberFormat="1" applyFont="1" applyFill="1" applyBorder="1" applyAlignment="1">
      <alignment horizontal="left" vertical="top"/>
    </xf>
    <xf numFmtId="165" fontId="1" fillId="7" borderId="76" xfId="0" applyNumberFormat="1" applyFont="1" applyFill="1" applyBorder="1" applyAlignment="1">
      <alignment horizontal="left" vertical="top" wrapText="1"/>
    </xf>
    <xf numFmtId="165" fontId="7" fillId="7" borderId="24" xfId="0" applyNumberFormat="1" applyFont="1" applyFill="1" applyBorder="1" applyAlignment="1">
      <alignment horizontal="center" vertical="top" wrapText="1"/>
    </xf>
    <xf numFmtId="165" fontId="7" fillId="7" borderId="17" xfId="0" applyNumberFormat="1" applyFont="1" applyFill="1" applyBorder="1" applyAlignment="1">
      <alignment horizontal="center" vertical="top" wrapText="1"/>
    </xf>
    <xf numFmtId="0" fontId="1" fillId="7" borderId="0" xfId="0" applyNumberFormat="1" applyFont="1" applyFill="1" applyBorder="1" applyAlignment="1">
      <alignment horizontal="center" vertical="top"/>
    </xf>
    <xf numFmtId="49" fontId="1" fillId="7" borderId="65"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49" fontId="1" fillId="0" borderId="26"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165" fontId="1" fillId="7" borderId="26" xfId="0" applyNumberFormat="1" applyFont="1" applyFill="1" applyBorder="1" applyAlignment="1">
      <alignmen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42" xfId="0" applyNumberFormat="1" applyFont="1" applyFill="1" applyBorder="1" applyAlignment="1">
      <alignment vertical="top" wrapText="1"/>
    </xf>
    <xf numFmtId="165" fontId="2" fillId="7" borderId="26" xfId="0" applyNumberFormat="1" applyFont="1" applyFill="1" applyBorder="1" applyAlignment="1">
      <alignment horizontal="center" vertical="top" wrapText="1"/>
    </xf>
    <xf numFmtId="165" fontId="1" fillId="0" borderId="34" xfId="0" applyNumberFormat="1" applyFont="1" applyFill="1" applyBorder="1" applyAlignment="1">
      <alignment horizontal="left" vertical="top" wrapText="1"/>
    </xf>
    <xf numFmtId="165" fontId="1" fillId="0" borderId="27" xfId="0" applyNumberFormat="1" applyFont="1" applyFill="1" applyBorder="1" applyAlignment="1">
      <alignment horizontal="left" vertical="top" wrapText="1"/>
    </xf>
    <xf numFmtId="165" fontId="1" fillId="2" borderId="49" xfId="0" applyNumberFormat="1" applyFont="1" applyFill="1" applyBorder="1" applyAlignment="1">
      <alignment horizontal="center" vertical="top" wrapText="1"/>
    </xf>
    <xf numFmtId="165" fontId="1" fillId="2" borderId="60" xfId="0" applyNumberFormat="1" applyFont="1" applyFill="1" applyBorder="1" applyAlignment="1">
      <alignment horizontal="center" vertical="top" wrapText="1"/>
    </xf>
    <xf numFmtId="165" fontId="1" fillId="2" borderId="61" xfId="0" applyNumberFormat="1" applyFont="1" applyFill="1" applyBorder="1" applyAlignment="1">
      <alignment horizontal="center" vertical="top" wrapText="1"/>
    </xf>
    <xf numFmtId="165" fontId="2" fillId="2" borderId="60" xfId="0" applyNumberFormat="1" applyFont="1" applyFill="1" applyBorder="1" applyAlignment="1">
      <alignment horizontal="left" vertical="top"/>
    </xf>
    <xf numFmtId="165" fontId="2" fillId="2" borderId="61" xfId="0" applyNumberFormat="1" applyFont="1" applyFill="1" applyBorder="1" applyAlignment="1">
      <alignment horizontal="left" vertical="top"/>
    </xf>
    <xf numFmtId="0" fontId="1" fillId="7" borderId="19" xfId="0" applyFont="1" applyFill="1" applyBorder="1" applyAlignment="1">
      <alignment horizontal="left" vertical="top" wrapText="1"/>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1" fillId="7" borderId="33" xfId="0" applyNumberFormat="1" applyFont="1" applyFill="1" applyBorder="1" applyAlignment="1">
      <alignment vertical="top" wrapText="1"/>
    </xf>
    <xf numFmtId="0" fontId="1" fillId="7" borderId="34" xfId="0" applyFont="1" applyFill="1" applyBorder="1" applyAlignment="1">
      <alignment vertical="top" wrapText="1"/>
    </xf>
    <xf numFmtId="0" fontId="6" fillId="7" borderId="100" xfId="0" applyFont="1" applyFill="1" applyBorder="1" applyAlignment="1">
      <alignment vertical="top" wrapText="1"/>
    </xf>
    <xf numFmtId="0" fontId="1" fillId="0" borderId="10" xfId="0" applyFont="1" applyBorder="1" applyAlignment="1">
      <alignment horizontal="left" vertical="top"/>
    </xf>
    <xf numFmtId="0" fontId="1" fillId="0" borderId="67" xfId="0" applyFont="1" applyBorder="1" applyAlignment="1">
      <alignment horizontal="left" vertical="top"/>
    </xf>
    <xf numFmtId="0" fontId="1" fillId="0" borderId="6" xfId="0" applyFont="1" applyBorder="1" applyAlignment="1">
      <alignment horizontal="left" vertical="top" wrapText="1"/>
    </xf>
    <xf numFmtId="165" fontId="6" fillId="7" borderId="27" xfId="0" applyNumberFormat="1" applyFont="1" applyFill="1" applyBorder="1" applyAlignment="1">
      <alignment vertical="top" wrapText="1"/>
    </xf>
    <xf numFmtId="165" fontId="2" fillId="7" borderId="23" xfId="0" applyNumberFormat="1" applyFont="1" applyFill="1" applyBorder="1" applyAlignment="1">
      <alignment vertical="top" wrapText="1"/>
    </xf>
    <xf numFmtId="165" fontId="2" fillId="7" borderId="10" xfId="0" applyNumberFormat="1" applyFont="1" applyFill="1" applyBorder="1" applyAlignment="1">
      <alignment vertical="top" wrapText="1"/>
    </xf>
    <xf numFmtId="165" fontId="7" fillId="7" borderId="23" xfId="0" applyNumberFormat="1" applyFont="1" applyFill="1" applyBorder="1" applyAlignment="1">
      <alignment horizontal="center" vertical="top" wrapText="1"/>
    </xf>
    <xf numFmtId="165" fontId="7" fillId="7" borderId="10" xfId="0" applyNumberFormat="1" applyFont="1" applyFill="1" applyBorder="1" applyAlignment="1">
      <alignment horizontal="center" vertical="top" wrapText="1"/>
    </xf>
    <xf numFmtId="0" fontId="13" fillId="0" borderId="26" xfId="0" applyFont="1" applyBorder="1" applyAlignment="1">
      <alignment horizontal="center" wrapText="1"/>
    </xf>
    <xf numFmtId="165" fontId="2" fillId="7" borderId="23" xfId="0" applyNumberFormat="1" applyFont="1" applyFill="1" applyBorder="1" applyAlignment="1">
      <alignment horizontal="left" vertical="top" wrapText="1"/>
    </xf>
    <xf numFmtId="165" fontId="2" fillId="7" borderId="10" xfId="0" applyNumberFormat="1" applyFont="1" applyFill="1" applyBorder="1" applyAlignment="1">
      <alignment horizontal="left" vertical="top" wrapText="1"/>
    </xf>
    <xf numFmtId="165" fontId="2" fillId="7" borderId="26" xfId="0" applyNumberFormat="1" applyFont="1" applyFill="1" applyBorder="1" applyAlignment="1">
      <alignment horizontal="left" vertical="top" wrapText="1"/>
    </xf>
    <xf numFmtId="165" fontId="7" fillId="7" borderId="19" xfId="0" applyNumberFormat="1" applyFont="1" applyFill="1" applyBorder="1" applyAlignment="1">
      <alignment horizontal="center" vertical="top" wrapText="1"/>
    </xf>
    <xf numFmtId="165" fontId="5" fillId="7" borderId="10" xfId="0" applyNumberFormat="1" applyFont="1" applyFill="1" applyBorder="1" applyAlignment="1">
      <alignment horizontal="center" vertical="top" wrapText="1"/>
    </xf>
    <xf numFmtId="0" fontId="24" fillId="7" borderId="26" xfId="0" applyFont="1" applyFill="1" applyBorder="1" applyAlignment="1">
      <alignment horizontal="center" vertical="top" wrapText="1"/>
    </xf>
    <xf numFmtId="0" fontId="1" fillId="0" borderId="84" xfId="0" applyFont="1" applyBorder="1" applyAlignment="1">
      <alignment horizontal="left" vertical="top" wrapText="1"/>
    </xf>
    <xf numFmtId="0" fontId="1" fillId="0" borderId="10" xfId="0" applyFont="1" applyBorder="1" applyAlignment="1">
      <alignment horizontal="left" vertical="top" wrapText="1"/>
    </xf>
    <xf numFmtId="0" fontId="1" fillId="0" borderId="26" xfId="0" applyFont="1" applyBorder="1" applyAlignment="1">
      <alignment horizontal="left" vertical="top" wrapText="1"/>
    </xf>
    <xf numFmtId="165" fontId="1" fillId="3" borderId="55" xfId="0" applyNumberFormat="1" applyFont="1" applyFill="1" applyBorder="1" applyAlignment="1">
      <alignment horizontal="left" vertical="top" wrapText="1"/>
    </xf>
    <xf numFmtId="165" fontId="1" fillId="3" borderId="65" xfId="0" applyNumberFormat="1" applyFont="1" applyFill="1" applyBorder="1" applyAlignment="1">
      <alignment horizontal="left" vertical="top" wrapText="1"/>
    </xf>
    <xf numFmtId="165" fontId="1" fillId="3" borderId="47" xfId="0" applyNumberFormat="1" applyFont="1" applyFill="1" applyBorder="1" applyAlignment="1">
      <alignment horizontal="left" vertical="top" wrapText="1"/>
    </xf>
    <xf numFmtId="3" fontId="2" fillId="0" borderId="49"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2" fillId="0" borderId="61" xfId="0" applyNumberFormat="1" applyFont="1" applyBorder="1" applyAlignment="1">
      <alignment horizontal="center" vertical="center" wrapText="1"/>
    </xf>
    <xf numFmtId="165" fontId="2" fillId="5" borderId="58" xfId="0" applyNumberFormat="1" applyFont="1" applyFill="1" applyBorder="1" applyAlignment="1">
      <alignment horizontal="right" vertical="top" wrapText="1"/>
    </xf>
    <xf numFmtId="165" fontId="2" fillId="5" borderId="63" xfId="0" applyNumberFormat="1" applyFont="1" applyFill="1" applyBorder="1" applyAlignment="1">
      <alignment horizontal="right" vertical="top" wrapText="1"/>
    </xf>
    <xf numFmtId="165" fontId="2" fillId="5" borderId="59" xfId="0" applyNumberFormat="1" applyFont="1" applyFill="1" applyBorder="1" applyAlignment="1">
      <alignment horizontal="right" vertical="top" wrapText="1"/>
    </xf>
    <xf numFmtId="165" fontId="2" fillId="8" borderId="57" xfId="0" applyNumberFormat="1" applyFont="1" applyFill="1" applyBorder="1" applyAlignment="1">
      <alignment horizontal="right" vertical="top" wrapText="1"/>
    </xf>
    <xf numFmtId="165" fontId="6" fillId="8" borderId="54" xfId="0" applyNumberFormat="1" applyFont="1" applyFill="1" applyBorder="1" applyAlignment="1">
      <alignment horizontal="right" vertical="top" wrapText="1"/>
    </xf>
    <xf numFmtId="165" fontId="6" fillId="8" borderId="39" xfId="0" applyNumberFormat="1" applyFont="1" applyFill="1" applyBorder="1" applyAlignment="1">
      <alignment horizontal="right" vertical="top" wrapText="1"/>
    </xf>
    <xf numFmtId="165" fontId="1" fillId="7" borderId="55" xfId="0" applyNumberFormat="1" applyFont="1" applyFill="1" applyBorder="1" applyAlignment="1">
      <alignment horizontal="left" vertical="top" wrapText="1"/>
    </xf>
    <xf numFmtId="165" fontId="1" fillId="7" borderId="65" xfId="0" applyNumberFormat="1" applyFont="1" applyFill="1" applyBorder="1" applyAlignment="1">
      <alignment horizontal="left" vertical="top" wrapText="1"/>
    </xf>
    <xf numFmtId="165" fontId="1" fillId="7" borderId="47" xfId="0" applyNumberFormat="1" applyFont="1" applyFill="1" applyBorder="1" applyAlignment="1">
      <alignment horizontal="left" vertical="top" wrapText="1"/>
    </xf>
    <xf numFmtId="165" fontId="2" fillId="7" borderId="36" xfId="0" applyNumberFormat="1" applyFont="1" applyFill="1" applyBorder="1" applyAlignment="1">
      <alignment horizontal="center" vertical="top" wrapText="1"/>
    </xf>
    <xf numFmtId="165" fontId="1" fillId="7" borderId="40" xfId="0" applyNumberFormat="1" applyFont="1" applyFill="1" applyBorder="1" applyAlignment="1">
      <alignment horizontal="center" vertical="top" wrapText="1"/>
    </xf>
    <xf numFmtId="165" fontId="2" fillId="9" borderId="64" xfId="0" applyNumberFormat="1" applyFont="1" applyFill="1" applyBorder="1" applyAlignment="1">
      <alignment horizontal="right" vertical="top"/>
    </xf>
    <xf numFmtId="165" fontId="2" fillId="9" borderId="60" xfId="0" applyNumberFormat="1" applyFont="1" applyFill="1" applyBorder="1" applyAlignment="1">
      <alignment horizontal="right" vertical="top"/>
    </xf>
    <xf numFmtId="165" fontId="2" fillId="9" borderId="61" xfId="0" applyNumberFormat="1" applyFont="1" applyFill="1" applyBorder="1" applyAlignment="1">
      <alignment horizontal="right" vertical="top"/>
    </xf>
    <xf numFmtId="165" fontId="1" fillId="9" borderId="60" xfId="0" applyNumberFormat="1" applyFont="1" applyFill="1" applyBorder="1" applyAlignment="1">
      <alignment horizontal="center" vertical="top"/>
    </xf>
    <xf numFmtId="165" fontId="1" fillId="9" borderId="61" xfId="0" applyNumberFormat="1" applyFont="1" applyFill="1" applyBorder="1" applyAlignment="1">
      <alignment horizontal="center" vertical="top"/>
    </xf>
    <xf numFmtId="165" fontId="2" fillId="5" borderId="64" xfId="0" applyNumberFormat="1" applyFont="1" applyFill="1" applyBorder="1" applyAlignment="1">
      <alignment horizontal="right" vertical="top"/>
    </xf>
    <xf numFmtId="165" fontId="2" fillId="5" borderId="60" xfId="0" applyNumberFormat="1" applyFont="1" applyFill="1" applyBorder="1" applyAlignment="1">
      <alignment horizontal="right" vertical="top"/>
    </xf>
    <xf numFmtId="165" fontId="2" fillId="5" borderId="61" xfId="0" applyNumberFormat="1" applyFont="1" applyFill="1" applyBorder="1" applyAlignment="1">
      <alignment horizontal="right" vertical="top"/>
    </xf>
    <xf numFmtId="165" fontId="1" fillId="5" borderId="60" xfId="0" applyNumberFormat="1" applyFont="1" applyFill="1" applyBorder="1" applyAlignment="1">
      <alignment horizontal="center" vertical="top"/>
    </xf>
    <xf numFmtId="165" fontId="1" fillId="5" borderId="61" xfId="0" applyNumberFormat="1" applyFont="1" applyFill="1" applyBorder="1" applyAlignment="1">
      <alignment horizontal="center" vertical="top"/>
    </xf>
    <xf numFmtId="165" fontId="1" fillId="7" borderId="83" xfId="0" applyNumberFormat="1" applyFont="1" applyFill="1" applyBorder="1" applyAlignment="1">
      <alignment horizontal="left" vertical="top" wrapText="1"/>
    </xf>
    <xf numFmtId="165" fontId="2" fillId="4" borderId="62" xfId="0" applyNumberFormat="1" applyFont="1" applyFill="1" applyBorder="1" applyAlignment="1">
      <alignment horizontal="right" vertical="top" wrapText="1"/>
    </xf>
    <xf numFmtId="165" fontId="2" fillId="4" borderId="30" xfId="0" applyNumberFormat="1" applyFont="1" applyFill="1" applyBorder="1" applyAlignment="1">
      <alignment horizontal="right" vertical="top" wrapText="1"/>
    </xf>
    <xf numFmtId="165" fontId="2" fillId="4" borderId="31" xfId="0" applyNumberFormat="1" applyFont="1" applyFill="1" applyBorder="1" applyAlignment="1">
      <alignment horizontal="right" vertical="top" wrapText="1"/>
    </xf>
    <xf numFmtId="0" fontId="16" fillId="0" borderId="0" xfId="0" applyFont="1" applyFill="1" applyAlignment="1">
      <alignment horizontal="left" vertical="top" wrapText="1"/>
    </xf>
    <xf numFmtId="49" fontId="1" fillId="7" borderId="83" xfId="0" applyNumberFormat="1" applyFont="1" applyFill="1" applyBorder="1" applyAlignment="1">
      <alignment horizontal="left" vertical="top" wrapText="1"/>
    </xf>
    <xf numFmtId="49" fontId="1" fillId="7" borderId="27" xfId="0" applyNumberFormat="1" applyFont="1" applyFill="1" applyBorder="1" applyAlignment="1">
      <alignment horizontal="left" vertical="top" wrapText="1"/>
    </xf>
    <xf numFmtId="165" fontId="1" fillId="8" borderId="57" xfId="0" applyNumberFormat="1" applyFont="1" applyFill="1" applyBorder="1" applyAlignment="1">
      <alignment vertical="top" wrapText="1"/>
    </xf>
    <xf numFmtId="165" fontId="6" fillId="8" borderId="54" xfId="0" applyNumberFormat="1" applyFont="1" applyFill="1" applyBorder="1" applyAlignment="1">
      <alignment vertical="top" wrapText="1"/>
    </xf>
    <xf numFmtId="165" fontId="6" fillId="8" borderId="39" xfId="0" applyNumberFormat="1" applyFont="1" applyFill="1" applyBorder="1" applyAlignment="1">
      <alignment vertical="top" wrapText="1"/>
    </xf>
    <xf numFmtId="165" fontId="2" fillId="5" borderId="57" xfId="0" applyNumberFormat="1" applyFont="1" applyFill="1" applyBorder="1" applyAlignment="1">
      <alignment horizontal="right" vertical="top" wrapText="1"/>
    </xf>
    <xf numFmtId="165" fontId="2" fillId="5" borderId="54" xfId="0" applyNumberFormat="1" applyFont="1" applyFill="1" applyBorder="1" applyAlignment="1">
      <alignment horizontal="right" vertical="top" wrapText="1"/>
    </xf>
    <xf numFmtId="165" fontId="2" fillId="5" borderId="39" xfId="0" applyNumberFormat="1" applyFont="1" applyFill="1" applyBorder="1" applyAlignment="1">
      <alignment horizontal="right" vertical="top" wrapText="1"/>
    </xf>
    <xf numFmtId="165" fontId="1" fillId="3" borderId="57" xfId="0" applyNumberFormat="1" applyFont="1" applyFill="1" applyBorder="1" applyAlignment="1">
      <alignment horizontal="left" vertical="top" wrapText="1"/>
    </xf>
    <xf numFmtId="165" fontId="1" fillId="3" borderId="54" xfId="0" applyNumberFormat="1" applyFont="1" applyFill="1" applyBorder="1" applyAlignment="1">
      <alignment horizontal="left" vertical="top" wrapText="1"/>
    </xf>
    <xf numFmtId="165" fontId="1" fillId="3" borderId="39" xfId="0" applyNumberFormat="1" applyFont="1" applyFill="1" applyBorder="1" applyAlignment="1">
      <alignment horizontal="left" vertical="top" wrapText="1"/>
    </xf>
    <xf numFmtId="165" fontId="1" fillId="0" borderId="57" xfId="0" applyNumberFormat="1" applyFont="1" applyBorder="1" applyAlignment="1">
      <alignment horizontal="left" vertical="top" wrapText="1"/>
    </xf>
    <xf numFmtId="165" fontId="1" fillId="0" borderId="54" xfId="0" applyNumberFormat="1" applyFont="1" applyBorder="1" applyAlignment="1">
      <alignment horizontal="left" vertical="top" wrapText="1"/>
    </xf>
    <xf numFmtId="165" fontId="1" fillId="0" borderId="39" xfId="0" applyNumberFormat="1" applyFont="1" applyBorder="1" applyAlignment="1">
      <alignment horizontal="left" vertical="top" wrapText="1"/>
    </xf>
    <xf numFmtId="0" fontId="1" fillId="3" borderId="55" xfId="0" applyFont="1" applyFill="1" applyBorder="1" applyAlignment="1">
      <alignment horizontal="left" vertical="top" wrapText="1"/>
    </xf>
    <xf numFmtId="0" fontId="1" fillId="3" borderId="65" xfId="0" applyFont="1" applyFill="1" applyBorder="1" applyAlignment="1">
      <alignment horizontal="left" vertical="top" wrapText="1"/>
    </xf>
    <xf numFmtId="0" fontId="1" fillId="3" borderId="47" xfId="0" applyFont="1" applyFill="1" applyBorder="1" applyAlignment="1">
      <alignment horizontal="left" vertical="top" wrapText="1"/>
    </xf>
    <xf numFmtId="165" fontId="1" fillId="7" borderId="57" xfId="0" applyNumberFormat="1" applyFont="1" applyFill="1" applyBorder="1" applyAlignment="1">
      <alignment horizontal="left" vertical="top" wrapText="1"/>
    </xf>
    <xf numFmtId="165" fontId="1" fillId="7" borderId="54" xfId="0" applyNumberFormat="1" applyFont="1" applyFill="1" applyBorder="1" applyAlignment="1">
      <alignment horizontal="left" vertical="top" wrapText="1"/>
    </xf>
    <xf numFmtId="165" fontId="1" fillId="7" borderId="39" xfId="0" applyNumberFormat="1" applyFont="1" applyFill="1" applyBorder="1" applyAlignment="1">
      <alignment horizontal="left" vertical="top" wrapText="1"/>
    </xf>
    <xf numFmtId="165" fontId="1" fillId="8" borderId="57" xfId="0" applyNumberFormat="1" applyFont="1" applyFill="1" applyBorder="1" applyAlignment="1">
      <alignment horizontal="left" vertical="top" wrapText="1"/>
    </xf>
    <xf numFmtId="165" fontId="1" fillId="8" borderId="54" xfId="0" applyNumberFormat="1" applyFont="1" applyFill="1" applyBorder="1" applyAlignment="1">
      <alignment horizontal="left" vertical="top" wrapText="1"/>
    </xf>
    <xf numFmtId="165" fontId="1" fillId="8" borderId="39" xfId="0" applyNumberFormat="1" applyFont="1" applyFill="1" applyBorder="1" applyAlignment="1">
      <alignment horizontal="left" vertical="top" wrapText="1"/>
    </xf>
    <xf numFmtId="165" fontId="2" fillId="8" borderId="57" xfId="0" applyNumberFormat="1" applyFont="1" applyFill="1" applyBorder="1" applyAlignment="1">
      <alignment horizontal="left" vertical="top" wrapText="1"/>
    </xf>
    <xf numFmtId="165" fontId="2" fillId="8" borderId="54" xfId="0" applyNumberFormat="1" applyFont="1" applyFill="1" applyBorder="1" applyAlignment="1">
      <alignment horizontal="left" vertical="top" wrapText="1"/>
    </xf>
    <xf numFmtId="165" fontId="2" fillId="8" borderId="39" xfId="0" applyNumberFormat="1" applyFont="1" applyFill="1" applyBorder="1" applyAlignment="1">
      <alignment horizontal="left" vertical="top" wrapText="1"/>
    </xf>
    <xf numFmtId="165" fontId="1" fillId="0" borderId="46" xfId="0" applyNumberFormat="1" applyFont="1" applyFill="1" applyBorder="1" applyAlignment="1">
      <alignment horizontal="left" vertical="top" wrapText="1"/>
    </xf>
    <xf numFmtId="165" fontId="2" fillId="0" borderId="30" xfId="0" applyNumberFormat="1" applyFont="1" applyFill="1" applyBorder="1" applyAlignment="1">
      <alignment horizontal="center" vertical="top" wrapText="1"/>
    </xf>
    <xf numFmtId="3" fontId="1" fillId="7" borderId="7" xfId="0" applyNumberFormat="1" applyFont="1" applyFill="1" applyBorder="1" applyAlignment="1">
      <alignment horizontal="left" vertical="top" wrapText="1"/>
    </xf>
    <xf numFmtId="3" fontId="1" fillId="7" borderId="22" xfId="0" applyNumberFormat="1" applyFont="1" applyFill="1" applyBorder="1" applyAlignment="1">
      <alignment horizontal="left" vertical="top" wrapText="1"/>
    </xf>
    <xf numFmtId="3" fontId="30" fillId="7" borderId="7" xfId="0" applyNumberFormat="1" applyFont="1" applyFill="1" applyBorder="1" applyAlignment="1">
      <alignment horizontal="left" vertical="top" wrapText="1"/>
    </xf>
    <xf numFmtId="3" fontId="30" fillId="7" borderId="5" xfId="0" applyNumberFormat="1" applyFont="1" applyFill="1" applyBorder="1" applyAlignment="1">
      <alignment horizontal="left" vertical="top" wrapText="1"/>
    </xf>
    <xf numFmtId="3" fontId="30" fillId="7" borderId="22"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1" fillId="7" borderId="5" xfId="0" applyNumberFormat="1" applyFont="1" applyFill="1" applyBorder="1" applyAlignment="1">
      <alignment horizontal="left" vertical="top" wrapText="1"/>
    </xf>
    <xf numFmtId="3" fontId="1" fillId="7" borderId="7" xfId="0" applyNumberFormat="1" applyFont="1" applyFill="1" applyBorder="1" applyAlignment="1">
      <alignment vertical="top" wrapText="1"/>
    </xf>
    <xf numFmtId="3" fontId="1" fillId="7" borderId="5" xfId="0" applyNumberFormat="1" applyFont="1" applyFill="1" applyBorder="1" applyAlignment="1">
      <alignment vertical="top" wrapText="1"/>
    </xf>
    <xf numFmtId="3" fontId="1" fillId="7" borderId="78" xfId="0" applyNumberFormat="1" applyFont="1" applyFill="1" applyBorder="1" applyAlignment="1">
      <alignment vertical="top" wrapText="1"/>
    </xf>
    <xf numFmtId="3" fontId="12" fillId="7" borderId="22" xfId="0" applyNumberFormat="1" applyFont="1" applyFill="1" applyBorder="1" applyAlignment="1">
      <alignment horizontal="left" vertical="top" wrapText="1"/>
    </xf>
    <xf numFmtId="165" fontId="1" fillId="7" borderId="78" xfId="0" applyNumberFormat="1" applyFont="1" applyFill="1" applyBorder="1" applyAlignment="1">
      <alignment horizontal="left" vertical="top" wrapText="1"/>
    </xf>
    <xf numFmtId="165" fontId="1" fillId="7" borderId="7" xfId="3" applyNumberFormat="1" applyFont="1" applyFill="1" applyBorder="1" applyAlignment="1">
      <alignment horizontal="left" vertical="top" wrapText="1"/>
    </xf>
    <xf numFmtId="165" fontId="1" fillId="7" borderId="5" xfId="3" applyNumberFormat="1" applyFont="1" applyFill="1" applyBorder="1" applyAlignment="1">
      <alignment horizontal="left" vertical="top" wrapText="1"/>
    </xf>
    <xf numFmtId="165" fontId="1" fillId="7" borderId="22" xfId="3" applyNumberFormat="1" applyFont="1" applyFill="1" applyBorder="1" applyAlignment="1">
      <alignment horizontal="left" vertical="top" wrapText="1"/>
    </xf>
    <xf numFmtId="49" fontId="1" fillId="7" borderId="7" xfId="0" applyNumberFormat="1" applyFont="1" applyFill="1" applyBorder="1" applyAlignment="1">
      <alignment horizontal="left" vertical="top" wrapText="1"/>
    </xf>
    <xf numFmtId="49" fontId="1" fillId="7" borderId="78" xfId="0" applyNumberFormat="1" applyFont="1" applyFill="1" applyBorder="1" applyAlignment="1">
      <alignment horizontal="left" vertical="top" wrapText="1"/>
    </xf>
    <xf numFmtId="165" fontId="30" fillId="7" borderId="85" xfId="0" applyNumberFormat="1" applyFont="1" applyFill="1" applyBorder="1" applyAlignment="1">
      <alignment horizontal="left" vertical="top" wrapText="1"/>
    </xf>
    <xf numFmtId="165" fontId="30" fillId="7" borderId="5" xfId="0" applyNumberFormat="1" applyFont="1" applyFill="1" applyBorder="1" applyAlignment="1">
      <alignment horizontal="left" vertical="top" wrapText="1"/>
    </xf>
    <xf numFmtId="49" fontId="30" fillId="7" borderId="7" xfId="0" applyNumberFormat="1" applyFont="1" applyFill="1" applyBorder="1" applyAlignment="1">
      <alignment horizontal="left" vertical="top" wrapText="1"/>
    </xf>
    <xf numFmtId="49" fontId="30" fillId="7" borderId="5" xfId="0" applyNumberFormat="1" applyFont="1" applyFill="1" applyBorder="1" applyAlignment="1">
      <alignment horizontal="left" vertical="top" wrapText="1"/>
    </xf>
    <xf numFmtId="49" fontId="30" fillId="7" borderId="22" xfId="0" applyNumberFormat="1" applyFont="1" applyFill="1" applyBorder="1" applyAlignment="1">
      <alignment horizontal="left" vertical="top" wrapText="1"/>
    </xf>
    <xf numFmtId="49" fontId="1" fillId="7" borderId="22" xfId="0" applyNumberFormat="1" applyFont="1" applyFill="1" applyBorder="1" applyAlignment="1">
      <alignment horizontal="left" vertical="top" wrapText="1"/>
    </xf>
    <xf numFmtId="3" fontId="1" fillId="7" borderId="85" xfId="0" applyNumberFormat="1" applyFont="1" applyFill="1" applyBorder="1" applyAlignment="1">
      <alignment horizontal="left" vertical="top" wrapText="1"/>
    </xf>
    <xf numFmtId="3" fontId="1" fillId="7" borderId="5" xfId="0" applyNumberFormat="1" applyFont="1" applyFill="1" applyBorder="1" applyAlignment="1">
      <alignment horizontal="left" vertical="top" wrapText="1"/>
    </xf>
    <xf numFmtId="0" fontId="6" fillId="7" borderId="5" xfId="0" applyFont="1" applyFill="1" applyBorder="1" applyAlignment="1">
      <alignment horizontal="left" vertical="top" wrapText="1"/>
    </xf>
    <xf numFmtId="49" fontId="1" fillId="7" borderId="5" xfId="0" applyNumberFormat="1" applyFont="1" applyFill="1" applyBorder="1" applyAlignment="1">
      <alignment horizontal="left" vertical="top" wrapText="1"/>
    </xf>
    <xf numFmtId="0" fontId="1" fillId="7" borderId="7"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22" xfId="0" applyFont="1" applyFill="1" applyBorder="1" applyAlignment="1">
      <alignment horizontal="left" vertical="top" wrapText="1"/>
    </xf>
    <xf numFmtId="165" fontId="1" fillId="7" borderId="6"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0" fontId="6" fillId="0" borderId="5" xfId="0" applyFont="1" applyBorder="1" applyAlignment="1">
      <alignment vertical="top" wrapText="1"/>
    </xf>
    <xf numFmtId="0" fontId="6" fillId="0" borderId="22" xfId="0" applyFont="1" applyBorder="1" applyAlignment="1">
      <alignment vertical="top" wrapText="1"/>
    </xf>
    <xf numFmtId="3" fontId="1" fillId="0" borderId="7" xfId="0" applyNumberFormat="1" applyFont="1" applyFill="1" applyBorder="1" applyAlignment="1">
      <alignment horizontal="left" vertical="top" wrapText="1"/>
    </xf>
    <xf numFmtId="3" fontId="1" fillId="0" borderId="5" xfId="0" applyNumberFormat="1" applyFont="1" applyFill="1" applyBorder="1" applyAlignment="1">
      <alignment horizontal="left" vertical="top" wrapText="1"/>
    </xf>
    <xf numFmtId="3" fontId="1" fillId="0" borderId="22" xfId="0" applyNumberFormat="1" applyFont="1" applyFill="1" applyBorder="1" applyAlignment="1">
      <alignment horizontal="left" vertical="top" wrapText="1"/>
    </xf>
    <xf numFmtId="0" fontId="1" fillId="7" borderId="85" xfId="0" applyFont="1" applyFill="1" applyBorder="1" applyAlignment="1">
      <alignment horizontal="left" vertical="top" wrapText="1"/>
    </xf>
    <xf numFmtId="165" fontId="6" fillId="7" borderId="22" xfId="0" applyNumberFormat="1" applyFont="1" applyFill="1" applyBorder="1" applyAlignment="1">
      <alignment horizontal="left" vertical="top" wrapText="1"/>
    </xf>
    <xf numFmtId="49" fontId="1" fillId="7" borderId="92" xfId="0" applyNumberFormat="1" applyFont="1" applyFill="1" applyBorder="1" applyAlignment="1">
      <alignment horizontal="center" vertical="top" wrapText="1"/>
    </xf>
    <xf numFmtId="0" fontId="6" fillId="0" borderId="78" xfId="0" applyFont="1" applyBorder="1" applyAlignment="1">
      <alignment horizontal="left" vertical="top" wrapText="1"/>
    </xf>
    <xf numFmtId="49" fontId="2" fillId="9" borderId="10" xfId="0" applyNumberFormat="1" applyFont="1" applyFill="1" applyBorder="1" applyAlignment="1">
      <alignment horizontal="center" vertical="top"/>
    </xf>
    <xf numFmtId="0" fontId="21" fillId="7" borderId="19" xfId="0" applyFont="1" applyFill="1" applyBorder="1" applyAlignment="1">
      <alignment horizontal="left" vertical="top" wrapText="1"/>
    </xf>
    <xf numFmtId="0" fontId="21" fillId="7" borderId="10" xfId="0" applyFont="1" applyFill="1" applyBorder="1" applyAlignment="1">
      <alignment horizontal="left" vertical="top" wrapText="1"/>
    </xf>
    <xf numFmtId="0" fontId="1" fillId="0" borderId="85" xfId="0" applyFont="1" applyBorder="1" applyAlignment="1">
      <alignment horizontal="left" vertical="top" wrapText="1"/>
    </xf>
    <xf numFmtId="0" fontId="1" fillId="0" borderId="5" xfId="0" applyFont="1" applyBorder="1" applyAlignment="1">
      <alignment horizontal="left" vertical="top" wrapText="1"/>
    </xf>
    <xf numFmtId="165" fontId="2" fillId="9" borderId="10" xfId="0" applyNumberFormat="1" applyFont="1" applyFill="1" applyBorder="1" applyAlignment="1">
      <alignment horizontal="center" vertical="top"/>
    </xf>
    <xf numFmtId="0" fontId="1" fillId="7" borderId="7" xfId="0" applyFont="1" applyFill="1" applyBorder="1" applyAlignment="1">
      <alignment vertical="top" wrapText="1"/>
    </xf>
    <xf numFmtId="0" fontId="6" fillId="7" borderId="78" xfId="0" applyFont="1" applyFill="1" applyBorder="1" applyAlignment="1">
      <alignment vertical="top" wrapText="1"/>
    </xf>
    <xf numFmtId="165" fontId="1" fillId="7" borderId="22" xfId="0" applyNumberFormat="1" applyFont="1" applyFill="1" applyBorder="1" applyAlignment="1">
      <alignment horizontal="left" vertical="top" wrapText="1"/>
    </xf>
    <xf numFmtId="49" fontId="1" fillId="7" borderId="85" xfId="0" applyNumberFormat="1" applyFont="1" applyFill="1" applyBorder="1" applyAlignment="1">
      <alignment horizontal="left" vertical="top" wrapText="1"/>
    </xf>
    <xf numFmtId="165" fontId="1" fillId="7" borderId="40" xfId="0" applyNumberFormat="1" applyFont="1" applyFill="1" applyBorder="1" applyAlignment="1">
      <alignment horizontal="center" vertical="top"/>
    </xf>
    <xf numFmtId="165" fontId="1" fillId="7" borderId="101" xfId="0" applyNumberFormat="1" applyFont="1" applyFill="1" applyBorder="1" applyAlignment="1">
      <alignment horizontal="center" vertical="top"/>
    </xf>
    <xf numFmtId="165" fontId="1" fillId="7" borderId="5" xfId="0" applyNumberFormat="1" applyFont="1" applyFill="1" applyBorder="1" applyAlignment="1">
      <alignment horizontal="center" vertical="top" wrapText="1"/>
    </xf>
    <xf numFmtId="165" fontId="1" fillId="7" borderId="78" xfId="0" applyNumberFormat="1" applyFont="1" applyFill="1" applyBorder="1" applyAlignment="1">
      <alignment horizontal="center" vertical="top" wrapText="1"/>
    </xf>
    <xf numFmtId="165" fontId="1" fillId="7" borderId="10" xfId="0" applyNumberFormat="1" applyFont="1" applyFill="1" applyBorder="1" applyAlignment="1">
      <alignment horizontal="center" vertical="top" wrapText="1"/>
    </xf>
    <xf numFmtId="0" fontId="6" fillId="7" borderId="26" xfId="0" applyFont="1" applyFill="1" applyBorder="1" applyAlignment="1">
      <alignment horizontal="center" vertical="top" wrapText="1"/>
    </xf>
    <xf numFmtId="165" fontId="1" fillId="0" borderId="7" xfId="0" applyNumberFormat="1" applyFont="1" applyFill="1" applyBorder="1" applyAlignment="1">
      <alignment horizontal="left" vertical="top" wrapText="1"/>
    </xf>
    <xf numFmtId="165" fontId="1" fillId="0" borderId="22" xfId="0" applyNumberFormat="1" applyFont="1" applyFill="1" applyBorder="1" applyAlignment="1">
      <alignment horizontal="left" vertical="top" wrapText="1"/>
    </xf>
    <xf numFmtId="165" fontId="1" fillId="7" borderId="5" xfId="0" applyNumberFormat="1" applyFont="1" applyFill="1" applyBorder="1" applyAlignment="1">
      <alignment vertical="top" wrapText="1"/>
    </xf>
    <xf numFmtId="165" fontId="6" fillId="7" borderId="22" xfId="0" applyNumberFormat="1" applyFont="1" applyFill="1" applyBorder="1" applyAlignment="1">
      <alignment vertical="top" wrapText="1"/>
    </xf>
    <xf numFmtId="0" fontId="2" fillId="2" borderId="124" xfId="0" applyFont="1" applyFill="1" applyBorder="1" applyAlignment="1">
      <alignment horizontal="left" vertical="top" wrapText="1"/>
    </xf>
    <xf numFmtId="0" fontId="2" fillId="2" borderId="51" xfId="0" applyFont="1" applyFill="1" applyBorder="1" applyAlignment="1">
      <alignment horizontal="left" vertical="top" wrapText="1"/>
    </xf>
    <xf numFmtId="165" fontId="1" fillId="7" borderId="85" xfId="0" applyNumberFormat="1" applyFont="1" applyFill="1" applyBorder="1" applyAlignment="1">
      <alignment vertical="top" wrapText="1"/>
    </xf>
    <xf numFmtId="165" fontId="1" fillId="7" borderId="78" xfId="0" applyNumberFormat="1" applyFont="1" applyFill="1" applyBorder="1" applyAlignment="1">
      <alignment vertical="top" wrapText="1"/>
    </xf>
    <xf numFmtId="0" fontId="1" fillId="0" borderId="7" xfId="0" applyFont="1" applyBorder="1" applyAlignment="1">
      <alignment horizontal="center" vertical="center" wrapText="1"/>
    </xf>
    <xf numFmtId="0" fontId="1" fillId="0" borderId="56" xfId="0" applyFont="1" applyBorder="1" applyAlignment="1">
      <alignment horizontal="center" vertical="center" wrapText="1"/>
    </xf>
    <xf numFmtId="0" fontId="2" fillId="0" borderId="24" xfId="0" applyFont="1" applyBorder="1" applyAlignment="1">
      <alignment horizontal="center" vertical="center" textRotation="90" shrinkToFit="1"/>
    </xf>
    <xf numFmtId="0" fontId="2" fillId="0" borderId="17" xfId="0" applyFont="1" applyBorder="1" applyAlignment="1">
      <alignment horizontal="center" vertical="center" textRotation="90" shrinkToFit="1"/>
    </xf>
    <xf numFmtId="0" fontId="1" fillId="0" borderId="38"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165" fontId="1" fillId="9" borderId="49" xfId="0" applyNumberFormat="1" applyFont="1" applyFill="1" applyBorder="1" applyAlignment="1">
      <alignment horizontal="center" vertical="top"/>
    </xf>
    <xf numFmtId="165" fontId="1" fillId="5" borderId="49" xfId="0" applyNumberFormat="1" applyFont="1" applyFill="1" applyBorder="1" applyAlignment="1">
      <alignment horizontal="center" vertical="top"/>
    </xf>
    <xf numFmtId="165" fontId="1" fillId="7" borderId="126" xfId="0" applyNumberFormat="1" applyFont="1" applyFill="1" applyBorder="1" applyAlignment="1">
      <alignment horizontal="left" vertical="top" wrapText="1"/>
    </xf>
    <xf numFmtId="165" fontId="1" fillId="7" borderId="35" xfId="0" applyNumberFormat="1" applyFont="1" applyFill="1" applyBorder="1" applyAlignment="1">
      <alignment horizontal="left" vertical="top" wrapText="1"/>
    </xf>
    <xf numFmtId="165" fontId="1" fillId="3" borderId="33" xfId="0" applyNumberFormat="1" applyFont="1" applyFill="1" applyBorder="1" applyAlignment="1">
      <alignment horizontal="left" vertical="top" wrapText="1"/>
    </xf>
    <xf numFmtId="165" fontId="1" fillId="0" borderId="38" xfId="0" applyNumberFormat="1" applyFont="1" applyFill="1" applyBorder="1" applyAlignment="1">
      <alignment horizontal="left" vertical="top" wrapText="1"/>
    </xf>
    <xf numFmtId="165" fontId="2" fillId="0" borderId="50" xfId="0" applyNumberFormat="1" applyFont="1" applyFill="1" applyBorder="1" applyAlignment="1">
      <alignment horizontal="center" vertical="top" wrapText="1"/>
    </xf>
    <xf numFmtId="3" fontId="2" fillId="0" borderId="64" xfId="0" applyNumberFormat="1" applyFont="1" applyBorder="1" applyAlignment="1">
      <alignment horizontal="center" vertical="center" wrapText="1"/>
    </xf>
    <xf numFmtId="165" fontId="2" fillId="5" borderId="13" xfId="0" applyNumberFormat="1" applyFont="1" applyFill="1" applyBorder="1" applyAlignment="1">
      <alignment horizontal="right" vertical="top" wrapText="1"/>
    </xf>
    <xf numFmtId="165" fontId="2" fillId="8" borderId="35" xfId="0" applyNumberFormat="1" applyFont="1" applyFill="1" applyBorder="1" applyAlignment="1">
      <alignment horizontal="right" vertical="top" wrapText="1"/>
    </xf>
    <xf numFmtId="165" fontId="1" fillId="7" borderId="33" xfId="0" applyNumberFormat="1" applyFont="1" applyFill="1" applyBorder="1" applyAlignment="1">
      <alignment horizontal="left" vertical="top" wrapText="1"/>
    </xf>
    <xf numFmtId="165" fontId="2" fillId="4" borderId="50" xfId="0" applyNumberFormat="1" applyFont="1" applyFill="1" applyBorder="1" applyAlignment="1">
      <alignment horizontal="right" vertical="top" wrapText="1"/>
    </xf>
    <xf numFmtId="0" fontId="2" fillId="0" borderId="98" xfId="0" applyFont="1" applyBorder="1" applyAlignment="1">
      <alignment horizontal="center" vertical="center" textRotation="90" shrinkToFit="1"/>
    </xf>
    <xf numFmtId="0" fontId="2" fillId="0" borderId="40" xfId="0" applyFont="1" applyBorder="1" applyAlignment="1">
      <alignment horizontal="center" vertical="center" textRotation="90" shrinkToFit="1"/>
    </xf>
    <xf numFmtId="165" fontId="1" fillId="8" borderId="35" xfId="0" applyNumberFormat="1" applyFont="1" applyFill="1" applyBorder="1" applyAlignment="1">
      <alignment vertical="top" wrapText="1"/>
    </xf>
    <xf numFmtId="165" fontId="2" fillId="5" borderId="35" xfId="0" applyNumberFormat="1" applyFont="1" applyFill="1" applyBorder="1" applyAlignment="1">
      <alignment horizontal="right" vertical="top" wrapText="1"/>
    </xf>
    <xf numFmtId="165" fontId="1" fillId="3" borderId="35" xfId="0" applyNumberFormat="1" applyFont="1" applyFill="1" applyBorder="1" applyAlignment="1">
      <alignment horizontal="left" vertical="top" wrapText="1"/>
    </xf>
    <xf numFmtId="165" fontId="1" fillId="0" borderId="35" xfId="0" applyNumberFormat="1" applyFont="1" applyBorder="1" applyAlignment="1">
      <alignment horizontal="left" vertical="top" wrapText="1"/>
    </xf>
    <xf numFmtId="0" fontId="1" fillId="3" borderId="33" xfId="0" applyFont="1" applyFill="1" applyBorder="1" applyAlignment="1">
      <alignment horizontal="left" vertical="top" wrapText="1"/>
    </xf>
    <xf numFmtId="165" fontId="1" fillId="8" borderId="35" xfId="0" applyNumberFormat="1" applyFont="1" applyFill="1" applyBorder="1" applyAlignment="1">
      <alignment horizontal="left" vertical="top" wrapText="1"/>
    </xf>
    <xf numFmtId="165" fontId="2" fillId="8" borderId="35" xfId="0" applyNumberFormat="1" applyFont="1" applyFill="1" applyBorder="1" applyAlignment="1">
      <alignment horizontal="left" vertical="top" wrapText="1"/>
    </xf>
    <xf numFmtId="0" fontId="25" fillId="0" borderId="0" xfId="0" applyFont="1" applyFill="1" applyAlignment="1">
      <alignment horizontal="right" vertical="top"/>
    </xf>
    <xf numFmtId="49" fontId="1" fillId="7" borderId="114" xfId="0" applyNumberFormat="1" applyFont="1" applyFill="1" applyBorder="1" applyAlignment="1">
      <alignment horizontal="left" vertical="top" wrapText="1"/>
    </xf>
    <xf numFmtId="49" fontId="1" fillId="7" borderId="17" xfId="0" applyNumberFormat="1" applyFont="1" applyFill="1" applyBorder="1" applyAlignment="1">
      <alignment horizontal="left" vertical="top" wrapText="1"/>
    </xf>
    <xf numFmtId="49" fontId="1" fillId="7" borderId="25" xfId="0" applyNumberFormat="1" applyFont="1" applyFill="1" applyBorder="1" applyAlignment="1">
      <alignment horizontal="left" vertical="top" wrapText="1"/>
    </xf>
    <xf numFmtId="0" fontId="2" fillId="0" borderId="37" xfId="0" applyFont="1" applyBorder="1" applyAlignment="1">
      <alignment horizontal="center" vertical="center"/>
    </xf>
    <xf numFmtId="0" fontId="2" fillId="0" borderId="5" xfId="0" applyFont="1" applyBorder="1" applyAlignment="1">
      <alignment horizontal="center" vertical="center"/>
    </xf>
    <xf numFmtId="49" fontId="1" fillId="7" borderId="17" xfId="0" applyNumberFormat="1" applyFont="1" applyFill="1" applyBorder="1" applyAlignment="1">
      <alignment horizontal="center" vertical="top"/>
    </xf>
    <xf numFmtId="49" fontId="1" fillId="7" borderId="25" xfId="0" applyNumberFormat="1" applyFont="1" applyFill="1" applyBorder="1" applyAlignment="1">
      <alignment horizontal="center" vertical="top"/>
    </xf>
    <xf numFmtId="49" fontId="1" fillId="0" borderId="17" xfId="0" applyNumberFormat="1" applyFont="1" applyFill="1" applyBorder="1" applyAlignment="1">
      <alignment horizontal="center" vertical="top"/>
    </xf>
    <xf numFmtId="49" fontId="1" fillId="7" borderId="90" xfId="0" applyNumberFormat="1" applyFont="1" applyFill="1" applyBorder="1" applyAlignment="1">
      <alignment horizontal="center" vertical="top" wrapText="1"/>
    </xf>
    <xf numFmtId="49" fontId="1" fillId="7" borderId="40" xfId="0" applyNumberFormat="1" applyFont="1" applyFill="1" applyBorder="1" applyAlignment="1">
      <alignment horizontal="center" vertical="top" wrapText="1"/>
    </xf>
    <xf numFmtId="49" fontId="1" fillId="7" borderId="47" xfId="0" applyNumberFormat="1" applyFont="1" applyFill="1" applyBorder="1" applyAlignment="1">
      <alignment horizontal="center" vertical="top" wrapText="1"/>
    </xf>
    <xf numFmtId="49" fontId="1" fillId="0" borderId="36" xfId="0" applyNumberFormat="1" applyFont="1" applyFill="1" applyBorder="1" applyAlignment="1">
      <alignment horizontal="center" vertical="top"/>
    </xf>
    <xf numFmtId="49" fontId="1" fillId="0" borderId="47" xfId="0" applyNumberFormat="1" applyFont="1" applyFill="1" applyBorder="1" applyAlignment="1">
      <alignment horizontal="center" vertical="top"/>
    </xf>
    <xf numFmtId="49" fontId="1" fillId="7" borderId="6"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49" fontId="1" fillId="0" borderId="43" xfId="0" applyNumberFormat="1" applyFont="1" applyFill="1" applyBorder="1" applyAlignment="1">
      <alignment horizontal="center" vertical="top"/>
    </xf>
    <xf numFmtId="49" fontId="1" fillId="0" borderId="18" xfId="0" applyNumberFormat="1" applyFont="1" applyFill="1" applyBorder="1" applyAlignment="1">
      <alignment horizontal="center" vertical="top"/>
    </xf>
    <xf numFmtId="49" fontId="1" fillId="0" borderId="41" xfId="0" applyNumberFormat="1" applyFont="1" applyFill="1" applyBorder="1" applyAlignment="1">
      <alignment horizontal="center" vertical="top"/>
    </xf>
    <xf numFmtId="0" fontId="6" fillId="7" borderId="22" xfId="0" applyFont="1" applyFill="1" applyBorder="1" applyAlignment="1">
      <alignment horizontal="left" vertical="top" wrapText="1"/>
    </xf>
    <xf numFmtId="0" fontId="1" fillId="7" borderId="10" xfId="0" applyNumberFormat="1" applyFont="1" applyFill="1" applyBorder="1" applyAlignment="1">
      <alignment horizontal="left" vertical="top" wrapText="1"/>
    </xf>
    <xf numFmtId="3" fontId="1" fillId="7" borderId="78" xfId="0" applyNumberFormat="1" applyFont="1" applyFill="1" applyBorder="1" applyAlignment="1">
      <alignment horizontal="left" vertical="top" wrapText="1"/>
    </xf>
    <xf numFmtId="0" fontId="1" fillId="7" borderId="7" xfId="0" applyNumberFormat="1" applyFont="1" applyFill="1" applyBorder="1" applyAlignment="1">
      <alignment horizontal="left" vertical="top" wrapText="1"/>
    </xf>
    <xf numFmtId="0" fontId="1" fillId="7" borderId="22" xfId="0" applyNumberFormat="1" applyFont="1" applyFill="1" applyBorder="1" applyAlignment="1">
      <alignment horizontal="left" vertical="top" wrapText="1"/>
    </xf>
    <xf numFmtId="165" fontId="1" fillId="7" borderId="85" xfId="0" applyNumberFormat="1" applyFont="1" applyFill="1" applyBorder="1" applyAlignment="1">
      <alignment horizontal="left" vertical="top" wrapText="1"/>
    </xf>
    <xf numFmtId="165" fontId="26" fillId="7" borderId="5" xfId="0" applyNumberFormat="1" applyFont="1" applyFill="1" applyBorder="1" applyAlignment="1">
      <alignment horizontal="left" vertical="top" wrapText="1"/>
    </xf>
    <xf numFmtId="165" fontId="26" fillId="7" borderId="22" xfId="0" applyNumberFormat="1" applyFont="1" applyFill="1" applyBorder="1" applyAlignment="1">
      <alignment horizontal="left" vertical="top" wrapText="1"/>
    </xf>
    <xf numFmtId="165" fontId="1" fillId="7" borderId="37" xfId="0" applyNumberFormat="1" applyFont="1" applyFill="1" applyBorder="1" applyAlignment="1">
      <alignment horizontal="left" vertical="top" wrapText="1"/>
    </xf>
    <xf numFmtId="0" fontId="2" fillId="0" borderId="122" xfId="0" applyFont="1" applyBorder="1" applyAlignment="1">
      <alignment horizontal="center" vertical="center"/>
    </xf>
    <xf numFmtId="0" fontId="2" fillId="0" borderId="32"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65" xfId="0" applyFont="1" applyBorder="1" applyAlignment="1">
      <alignment horizontal="center" vertical="center"/>
    </xf>
    <xf numFmtId="0" fontId="1" fillId="0" borderId="47" xfId="0" applyFont="1" applyBorder="1" applyAlignment="1">
      <alignment horizontal="center" vertical="center"/>
    </xf>
    <xf numFmtId="3" fontId="26" fillId="7" borderId="85" xfId="0" applyNumberFormat="1" applyFont="1" applyFill="1" applyBorder="1" applyAlignment="1">
      <alignment horizontal="left" vertical="top" wrapText="1"/>
    </xf>
    <xf numFmtId="3" fontId="26" fillId="7" borderId="5" xfId="0" applyNumberFormat="1" applyFont="1" applyFill="1" applyBorder="1" applyAlignment="1">
      <alignment horizontal="left" vertical="top" wrapText="1"/>
    </xf>
    <xf numFmtId="3" fontId="26" fillId="7" borderId="78" xfId="0" applyNumberFormat="1" applyFont="1" applyFill="1" applyBorder="1" applyAlignment="1">
      <alignment horizontal="left" vertical="top" wrapText="1"/>
    </xf>
    <xf numFmtId="165" fontId="26" fillId="7" borderId="7" xfId="0" applyNumberFormat="1" applyFont="1" applyFill="1" applyBorder="1" applyAlignment="1">
      <alignment horizontal="left" vertical="top" wrapText="1"/>
    </xf>
    <xf numFmtId="3" fontId="1" fillId="10" borderId="7" xfId="0" applyNumberFormat="1" applyFont="1" applyFill="1" applyBorder="1" applyAlignment="1">
      <alignment vertical="top" wrapText="1"/>
    </xf>
    <xf numFmtId="3" fontId="1" fillId="10" borderId="5" xfId="0" applyNumberFormat="1" applyFont="1" applyFill="1" applyBorder="1" applyAlignment="1">
      <alignment vertical="top" wrapText="1"/>
    </xf>
    <xf numFmtId="3" fontId="1" fillId="10" borderId="78" xfId="0" applyNumberFormat="1" applyFont="1" applyFill="1" applyBorder="1" applyAlignment="1">
      <alignment vertical="top" wrapText="1"/>
    </xf>
    <xf numFmtId="0" fontId="26" fillId="10" borderId="32" xfId="0" applyFont="1" applyFill="1" applyBorder="1" applyAlignment="1">
      <alignment vertical="top" wrapText="1"/>
    </xf>
    <xf numFmtId="0" fontId="26" fillId="10" borderId="0" xfId="0" applyFont="1" applyFill="1" applyBorder="1" applyAlignment="1">
      <alignment vertical="top" wrapText="1"/>
    </xf>
    <xf numFmtId="49" fontId="26" fillId="10" borderId="7" xfId="0" applyNumberFormat="1" applyFont="1" applyFill="1" applyBorder="1" applyAlignment="1">
      <alignment horizontal="left" vertical="top" wrapText="1"/>
    </xf>
    <xf numFmtId="49" fontId="26" fillId="10" borderId="5" xfId="0" applyNumberFormat="1" applyFont="1" applyFill="1" applyBorder="1" applyAlignment="1">
      <alignment horizontal="left" vertical="top" wrapText="1"/>
    </xf>
    <xf numFmtId="49" fontId="26" fillId="10" borderId="22" xfId="0" applyNumberFormat="1" applyFont="1" applyFill="1" applyBorder="1" applyAlignment="1">
      <alignment horizontal="left" vertical="top" wrapText="1"/>
    </xf>
    <xf numFmtId="0" fontId="34" fillId="0" borderId="32" xfId="0" applyFont="1" applyBorder="1" applyAlignment="1">
      <alignment vertical="top" wrapText="1"/>
    </xf>
    <xf numFmtId="0" fontId="33" fillId="10" borderId="32" xfId="0" applyFont="1" applyFill="1" applyBorder="1" applyAlignment="1">
      <alignment vertical="top" wrapText="1"/>
    </xf>
    <xf numFmtId="0" fontId="0" fillId="0" borderId="0" xfId="0" applyAlignment="1">
      <alignment vertical="top"/>
    </xf>
    <xf numFmtId="0" fontId="0" fillId="0" borderId="32" xfId="0" applyBorder="1" applyAlignment="1">
      <alignment vertical="top" wrapText="1"/>
    </xf>
    <xf numFmtId="3" fontId="26" fillId="7" borderId="7" xfId="0" applyNumberFormat="1" applyFont="1" applyFill="1" applyBorder="1" applyAlignment="1">
      <alignment horizontal="left" vertical="top" wrapText="1"/>
    </xf>
    <xf numFmtId="0" fontId="0" fillId="0" borderId="5" xfId="0" applyBorder="1" applyAlignment="1">
      <alignment vertical="top" wrapText="1"/>
    </xf>
    <xf numFmtId="0" fontId="0" fillId="0" borderId="22" xfId="0" applyBorder="1" applyAlignment="1">
      <alignment vertical="top" wrapText="1"/>
    </xf>
    <xf numFmtId="3" fontId="33" fillId="10" borderId="7" xfId="0" applyNumberFormat="1" applyFont="1" applyFill="1" applyBorder="1" applyAlignment="1">
      <alignment horizontal="left" vertical="top" wrapText="1"/>
    </xf>
    <xf numFmtId="3" fontId="33" fillId="10" borderId="22" xfId="0" applyNumberFormat="1" applyFont="1" applyFill="1" applyBorder="1" applyAlignment="1">
      <alignment horizontal="left" vertical="top" wrapText="1"/>
    </xf>
    <xf numFmtId="49" fontId="1" fillId="7" borderId="84" xfId="0" applyNumberFormat="1" applyFont="1" applyFill="1" applyBorder="1" applyAlignment="1">
      <alignment horizontal="center" vertical="top" wrapText="1"/>
    </xf>
    <xf numFmtId="165" fontId="26" fillId="0" borderId="19" xfId="0" applyNumberFormat="1" applyFont="1" applyFill="1" applyBorder="1" applyAlignment="1">
      <alignment horizontal="left" vertical="top" wrapText="1"/>
    </xf>
    <xf numFmtId="165" fontId="26" fillId="0" borderId="26" xfId="0" applyNumberFormat="1" applyFont="1" applyFill="1" applyBorder="1" applyAlignment="1">
      <alignment horizontal="left" vertical="top" wrapText="1"/>
    </xf>
    <xf numFmtId="3" fontId="26" fillId="7" borderId="22" xfId="0" applyNumberFormat="1" applyFont="1" applyFill="1" applyBorder="1" applyAlignment="1">
      <alignment horizontal="left" vertical="top" wrapText="1"/>
    </xf>
    <xf numFmtId="165" fontId="30" fillId="7" borderId="7" xfId="0" applyNumberFormat="1" applyFont="1" applyFill="1" applyBorder="1" applyAlignment="1">
      <alignment horizontal="left" vertical="top" wrapText="1"/>
    </xf>
    <xf numFmtId="165" fontId="30" fillId="7" borderId="22" xfId="0" applyNumberFormat="1" applyFont="1" applyFill="1" applyBorder="1" applyAlignment="1">
      <alignment horizontal="left" vertical="top" wrapText="1"/>
    </xf>
    <xf numFmtId="0" fontId="34" fillId="0" borderId="0" xfId="0" applyFont="1" applyAlignment="1">
      <alignment vertical="top" wrapText="1"/>
    </xf>
    <xf numFmtId="3" fontId="30" fillId="10" borderId="85" xfId="0" applyNumberFormat="1" applyFont="1" applyFill="1" applyBorder="1" applyAlignment="1">
      <alignment horizontal="left" vertical="top" wrapText="1"/>
    </xf>
    <xf numFmtId="3" fontId="30" fillId="10" borderId="5" xfId="0" applyNumberFormat="1" applyFont="1" applyFill="1" applyBorder="1" applyAlignment="1">
      <alignment horizontal="left" vertical="top" wrapText="1"/>
    </xf>
    <xf numFmtId="3" fontId="30" fillId="10" borderId="78" xfId="0" applyNumberFormat="1" applyFont="1" applyFill="1" applyBorder="1" applyAlignment="1">
      <alignment horizontal="left" vertical="top" wrapText="1"/>
    </xf>
    <xf numFmtId="3" fontId="30" fillId="7" borderId="85" xfId="0" applyNumberFormat="1" applyFont="1" applyFill="1" applyBorder="1" applyAlignment="1">
      <alignment horizontal="left" vertical="top" wrapText="1"/>
    </xf>
    <xf numFmtId="0" fontId="26" fillId="10" borderId="32" xfId="0" applyFont="1" applyFill="1" applyBorder="1" applyAlignment="1">
      <alignment horizontal="center" vertical="top" wrapText="1"/>
    </xf>
    <xf numFmtId="0" fontId="26" fillId="10" borderId="0" xfId="0" applyFont="1" applyFill="1" applyBorder="1" applyAlignment="1">
      <alignment horizontal="center" vertical="top" wrapText="1"/>
    </xf>
    <xf numFmtId="49" fontId="26" fillId="7" borderId="7" xfId="0" applyNumberFormat="1" applyFont="1" applyFill="1" applyBorder="1" applyAlignment="1">
      <alignment horizontal="left" vertical="top" wrapText="1"/>
    </xf>
    <xf numFmtId="49" fontId="26" fillId="7" borderId="78" xfId="0" applyNumberFormat="1" applyFont="1" applyFill="1" applyBorder="1" applyAlignment="1">
      <alignment horizontal="left" vertical="top" wrapText="1"/>
    </xf>
    <xf numFmtId="165" fontId="30" fillId="10" borderId="7" xfId="0" applyNumberFormat="1" applyFont="1" applyFill="1" applyBorder="1" applyAlignment="1">
      <alignment horizontal="left" vertical="top" wrapText="1"/>
    </xf>
    <xf numFmtId="165" fontId="30" fillId="10" borderId="5" xfId="0" applyNumberFormat="1" applyFont="1" applyFill="1" applyBorder="1" applyAlignment="1">
      <alignment horizontal="left" vertical="top" wrapText="1"/>
    </xf>
    <xf numFmtId="165" fontId="30" fillId="10" borderId="78" xfId="0" applyNumberFormat="1" applyFont="1" applyFill="1" applyBorder="1" applyAlignment="1">
      <alignment horizontal="left" vertical="top" wrapText="1"/>
    </xf>
    <xf numFmtId="165" fontId="26" fillId="10" borderId="32" xfId="0" applyNumberFormat="1" applyFont="1" applyFill="1" applyBorder="1" applyAlignment="1">
      <alignment horizontal="left" vertical="top" wrapText="1"/>
    </xf>
    <xf numFmtId="165" fontId="27" fillId="10" borderId="0" xfId="0" applyNumberFormat="1" applyFont="1" applyFill="1" applyBorder="1" applyAlignment="1">
      <alignment horizontal="left" vertical="top" wrapText="1"/>
    </xf>
    <xf numFmtId="165" fontId="27" fillId="10" borderId="32" xfId="0" applyNumberFormat="1" applyFont="1" applyFill="1" applyBorder="1" applyAlignment="1">
      <alignment horizontal="left" vertical="top" wrapText="1"/>
    </xf>
    <xf numFmtId="3" fontId="30" fillId="10" borderId="7" xfId="0" applyNumberFormat="1" applyFont="1" applyFill="1" applyBorder="1" applyAlignment="1">
      <alignment horizontal="left" vertical="top" wrapText="1"/>
    </xf>
    <xf numFmtId="3" fontId="30" fillId="10" borderId="22" xfId="0" applyNumberFormat="1" applyFont="1" applyFill="1" applyBorder="1" applyAlignment="1">
      <alignment horizontal="left" vertical="top" wrapText="1"/>
    </xf>
    <xf numFmtId="3" fontId="26" fillId="10" borderId="7" xfId="0" applyNumberFormat="1" applyFont="1" applyFill="1" applyBorder="1" applyAlignment="1">
      <alignment horizontal="left" vertical="top" wrapText="1"/>
    </xf>
    <xf numFmtId="3" fontId="26" fillId="10" borderId="5" xfId="0" applyNumberFormat="1" applyFont="1" applyFill="1" applyBorder="1" applyAlignment="1">
      <alignment horizontal="left" vertical="top" wrapText="1"/>
    </xf>
    <xf numFmtId="3" fontId="26" fillId="10" borderId="22" xfId="0" applyNumberFormat="1" applyFont="1" applyFill="1" applyBorder="1" applyAlignment="1">
      <alignment horizontal="left" vertical="top" wrapText="1"/>
    </xf>
    <xf numFmtId="165" fontId="30" fillId="7" borderId="19" xfId="0" applyNumberFormat="1" applyFont="1" applyFill="1" applyBorder="1" applyAlignment="1">
      <alignment horizontal="left" vertical="top" wrapText="1"/>
    </xf>
    <xf numFmtId="165" fontId="30" fillId="7" borderId="10" xfId="0" applyNumberFormat="1" applyFont="1" applyFill="1" applyBorder="1" applyAlignment="1">
      <alignment horizontal="left" vertical="top" wrapText="1"/>
    </xf>
    <xf numFmtId="165" fontId="30" fillId="7" borderId="26" xfId="0" applyNumberFormat="1" applyFont="1" applyFill="1" applyBorder="1" applyAlignment="1">
      <alignment horizontal="left" vertical="top" wrapText="1"/>
    </xf>
    <xf numFmtId="165" fontId="32" fillId="7" borderId="36" xfId="0" applyNumberFormat="1" applyFont="1" applyFill="1" applyBorder="1" applyAlignment="1">
      <alignment horizontal="center" vertical="top" wrapText="1"/>
    </xf>
    <xf numFmtId="165" fontId="30" fillId="7" borderId="40" xfId="0" applyNumberFormat="1" applyFont="1" applyFill="1" applyBorder="1" applyAlignment="1">
      <alignment horizontal="center" vertical="top" wrapText="1"/>
    </xf>
    <xf numFmtId="3" fontId="30" fillId="0" borderId="7" xfId="0" applyNumberFormat="1" applyFont="1" applyFill="1" applyBorder="1" applyAlignment="1">
      <alignment horizontal="left" vertical="top" wrapText="1"/>
    </xf>
    <xf numFmtId="3" fontId="30" fillId="0" borderId="5" xfId="0" applyNumberFormat="1" applyFont="1" applyFill="1" applyBorder="1" applyAlignment="1">
      <alignment horizontal="left" vertical="top" wrapText="1"/>
    </xf>
    <xf numFmtId="3" fontId="30" fillId="0" borderId="22" xfId="0" applyNumberFormat="1" applyFont="1" applyFill="1" applyBorder="1" applyAlignment="1">
      <alignment horizontal="left" vertical="top" wrapText="1"/>
    </xf>
    <xf numFmtId="165" fontId="30" fillId="7" borderId="126" xfId="0" applyNumberFormat="1" applyFont="1" applyFill="1" applyBorder="1" applyAlignment="1">
      <alignment horizontal="left" vertical="top" wrapText="1"/>
    </xf>
    <xf numFmtId="165" fontId="30" fillId="7" borderId="55" xfId="0" applyNumberFormat="1" applyFont="1" applyFill="1" applyBorder="1" applyAlignment="1">
      <alignment horizontal="left" vertical="top" wrapText="1"/>
    </xf>
    <xf numFmtId="0" fontId="6" fillId="7" borderId="78" xfId="0" applyFont="1" applyFill="1" applyBorder="1" applyAlignment="1">
      <alignment horizontal="left" vertical="top" wrapText="1"/>
    </xf>
    <xf numFmtId="165" fontId="1" fillId="7" borderId="17" xfId="0" applyNumberFormat="1" applyFont="1" applyFill="1" applyBorder="1" applyAlignment="1">
      <alignment horizontal="center" vertical="top" wrapText="1"/>
    </xf>
    <xf numFmtId="0" fontId="6" fillId="0" borderId="17" xfId="0" applyFont="1" applyBorder="1" applyAlignment="1">
      <alignment horizontal="center" vertical="top" wrapText="1"/>
    </xf>
    <xf numFmtId="0" fontId="6" fillId="0" borderId="22" xfId="0" applyFont="1" applyBorder="1" applyAlignment="1">
      <alignment horizontal="left" vertical="top" wrapText="1"/>
    </xf>
    <xf numFmtId="165" fontId="1" fillId="7" borderId="20" xfId="0" applyNumberFormat="1" applyFont="1" applyFill="1" applyBorder="1" applyAlignment="1">
      <alignment horizontal="center" vertical="center" wrapText="1"/>
    </xf>
    <xf numFmtId="165" fontId="1" fillId="7" borderId="17" xfId="0" applyNumberFormat="1" applyFont="1" applyFill="1" applyBorder="1" applyAlignment="1">
      <alignment horizontal="center" vertical="center" wrapText="1"/>
    </xf>
    <xf numFmtId="165" fontId="1" fillId="7" borderId="25" xfId="0" applyNumberFormat="1" applyFont="1" applyFill="1" applyBorder="1" applyAlignment="1">
      <alignment horizontal="center" vertical="center" wrapText="1"/>
    </xf>
    <xf numFmtId="165" fontId="2" fillId="0" borderId="42" xfId="0" applyNumberFormat="1" applyFont="1" applyFill="1" applyBorder="1" applyAlignment="1">
      <alignment horizontal="center" vertical="top" wrapText="1"/>
    </xf>
    <xf numFmtId="165" fontId="2" fillId="0" borderId="33" xfId="0" applyNumberFormat="1" applyFont="1" applyFill="1" applyBorder="1" applyAlignment="1">
      <alignment horizontal="center" vertical="top" wrapText="1"/>
    </xf>
    <xf numFmtId="165" fontId="1" fillId="7" borderId="20" xfId="0" applyNumberFormat="1" applyFont="1" applyFill="1" applyBorder="1" applyAlignment="1">
      <alignment horizontal="center" vertical="top" wrapText="1"/>
    </xf>
    <xf numFmtId="165" fontId="1" fillId="7" borderId="25" xfId="0" applyNumberFormat="1" applyFont="1" applyFill="1" applyBorder="1" applyAlignment="1">
      <alignment horizontal="center" vertical="top" wrapText="1"/>
    </xf>
    <xf numFmtId="0" fontId="6" fillId="7" borderId="17" xfId="0" applyFont="1" applyFill="1" applyBorder="1" applyAlignment="1">
      <alignment horizontal="center" vertical="top"/>
    </xf>
    <xf numFmtId="0" fontId="6" fillId="7" borderId="25" xfId="0" applyFont="1" applyFill="1" applyBorder="1" applyAlignment="1">
      <alignment horizontal="center" vertical="top"/>
    </xf>
    <xf numFmtId="49" fontId="2" fillId="7" borderId="19"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7" borderId="42" xfId="0" applyNumberFormat="1" applyFont="1" applyFill="1" applyBorder="1" applyAlignment="1">
      <alignment horizontal="center" vertical="top"/>
    </xf>
    <xf numFmtId="49" fontId="2" fillId="7" borderId="33" xfId="0" applyNumberFormat="1" applyFont="1" applyFill="1" applyBorder="1" applyAlignment="1">
      <alignment horizontal="center" vertical="top"/>
    </xf>
    <xf numFmtId="165" fontId="2" fillId="7" borderId="42"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top" wrapText="1"/>
    </xf>
    <xf numFmtId="0" fontId="16" fillId="0" borderId="0" xfId="0" applyFont="1" applyFill="1" applyAlignment="1">
      <alignment horizontal="right" vertical="top" wrapText="1"/>
    </xf>
    <xf numFmtId="165" fontId="6" fillId="7" borderId="33" xfId="0" applyNumberFormat="1" applyFont="1" applyFill="1" applyBorder="1" applyAlignment="1">
      <alignment horizontal="left" vertical="top" wrapText="1"/>
    </xf>
    <xf numFmtId="49" fontId="1" fillId="0" borderId="23" xfId="0" applyNumberFormat="1" applyFont="1" applyBorder="1" applyAlignment="1">
      <alignment horizontal="center" vertical="center" textRotation="90" shrinkToFit="1"/>
    </xf>
    <xf numFmtId="49" fontId="1" fillId="0" borderId="10" xfId="0" applyNumberFormat="1" applyFont="1" applyBorder="1" applyAlignment="1">
      <alignment horizontal="center" vertical="center" textRotation="90" shrinkToFit="1"/>
    </xf>
    <xf numFmtId="49" fontId="1" fillId="0" borderId="28" xfId="0" applyNumberFormat="1" applyFont="1" applyBorder="1" applyAlignment="1">
      <alignment horizontal="center" vertical="center" textRotation="90" shrinkToFit="1"/>
    </xf>
    <xf numFmtId="0" fontId="1" fillId="0" borderId="4"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109"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29" xfId="0" applyFont="1" applyBorder="1" applyAlignment="1">
      <alignment horizontal="center" vertical="center" textRotation="90" wrapText="1"/>
    </xf>
    <xf numFmtId="3" fontId="1" fillId="0" borderId="24" xfId="0" applyNumberFormat="1" applyFont="1" applyFill="1" applyBorder="1" applyAlignment="1">
      <alignment horizontal="center" vertical="center" wrapText="1" shrinkToFit="1"/>
    </xf>
    <xf numFmtId="3" fontId="1" fillId="0" borderId="17" xfId="0" applyNumberFormat="1" applyFont="1" applyFill="1" applyBorder="1" applyAlignment="1">
      <alignment horizontal="center" vertical="center" wrapText="1" shrinkToFit="1"/>
    </xf>
    <xf numFmtId="3" fontId="1" fillId="0" borderId="29" xfId="0" applyNumberFormat="1" applyFont="1" applyFill="1" applyBorder="1" applyAlignment="1">
      <alignment horizontal="center" vertical="center" wrapText="1" shrinkToFit="1"/>
    </xf>
    <xf numFmtId="0" fontId="6" fillId="7" borderId="17" xfId="0"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165" fontId="1" fillId="3" borderId="10" xfId="0" applyNumberFormat="1" applyFont="1" applyFill="1" applyBorder="1" applyAlignment="1">
      <alignment vertical="top" wrapText="1"/>
    </xf>
    <xf numFmtId="0" fontId="6" fillId="0" borderId="10" xfId="0" applyFont="1" applyBorder="1" applyAlignment="1">
      <alignment vertical="top" wrapText="1"/>
    </xf>
    <xf numFmtId="49" fontId="2" fillId="7" borderId="26" xfId="0" applyNumberFormat="1" applyFont="1" applyFill="1" applyBorder="1" applyAlignment="1">
      <alignment horizontal="center" vertical="top"/>
    </xf>
    <xf numFmtId="49" fontId="1" fillId="8" borderId="19" xfId="0" applyNumberFormat="1" applyFont="1" applyFill="1" applyBorder="1" applyAlignment="1">
      <alignment horizontal="center" vertical="center" textRotation="90" wrapText="1"/>
    </xf>
    <xf numFmtId="0" fontId="1" fillId="7" borderId="17" xfId="0" applyFont="1" applyFill="1" applyBorder="1" applyAlignment="1">
      <alignment horizontal="center" vertical="top" wrapText="1"/>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49" fontId="1" fillId="0" borderId="10" xfId="0" applyNumberFormat="1" applyFont="1" applyFill="1" applyBorder="1" applyAlignment="1">
      <alignment horizontal="center" vertical="top"/>
    </xf>
    <xf numFmtId="165" fontId="12" fillId="7" borderId="17" xfId="0" applyNumberFormat="1" applyFont="1" applyFill="1" applyBorder="1" applyAlignment="1">
      <alignment horizontal="center" vertical="top" wrapText="1"/>
    </xf>
    <xf numFmtId="165" fontId="12" fillId="7" borderId="25" xfId="0" applyNumberFormat="1" applyFont="1" applyFill="1" applyBorder="1" applyAlignment="1">
      <alignment horizontal="center" vertical="top" wrapText="1"/>
    </xf>
    <xf numFmtId="165" fontId="1" fillId="7" borderId="114" xfId="0" applyNumberFormat="1" applyFont="1" applyFill="1" applyBorder="1" applyAlignment="1">
      <alignment horizontal="center" vertical="top" wrapText="1"/>
    </xf>
    <xf numFmtId="165" fontId="1" fillId="7" borderId="68" xfId="0" applyNumberFormat="1" applyFont="1" applyFill="1" applyBorder="1" applyAlignment="1">
      <alignment horizontal="center" vertical="top" wrapText="1"/>
    </xf>
    <xf numFmtId="49" fontId="2" fillId="0" borderId="19" xfId="0" applyNumberFormat="1" applyFont="1" applyBorder="1" applyAlignment="1">
      <alignment horizontal="center" vertical="top"/>
    </xf>
    <xf numFmtId="49" fontId="2" fillId="0" borderId="26" xfId="0" applyNumberFormat="1" applyFont="1" applyBorder="1" applyAlignment="1">
      <alignment horizontal="center" vertical="top"/>
    </xf>
    <xf numFmtId="0" fontId="1" fillId="0" borderId="19" xfId="0" applyFont="1" applyBorder="1" applyAlignment="1">
      <alignment horizontal="left" vertical="top"/>
    </xf>
    <xf numFmtId="165" fontId="1" fillId="7" borderId="20" xfId="0" applyNumberFormat="1" applyFont="1" applyFill="1" applyBorder="1" applyAlignment="1">
      <alignment horizontal="center" wrapText="1"/>
    </xf>
    <xf numFmtId="165" fontId="1" fillId="7" borderId="17" xfId="0" applyNumberFormat="1" applyFont="1" applyFill="1" applyBorder="1" applyAlignment="1">
      <alignment horizontal="center" wrapText="1"/>
    </xf>
    <xf numFmtId="49" fontId="2" fillId="0" borderId="10" xfId="0" applyNumberFormat="1" applyFont="1" applyBorder="1" applyAlignment="1">
      <alignment horizontal="center" vertical="top"/>
    </xf>
    <xf numFmtId="49" fontId="1" fillId="7" borderId="83" xfId="0" applyNumberFormat="1" applyFont="1" applyFill="1" applyBorder="1" applyAlignment="1">
      <alignment horizontal="center" vertical="top" wrapText="1"/>
    </xf>
    <xf numFmtId="49" fontId="1" fillId="7" borderId="6" xfId="0" applyNumberFormat="1" applyFont="1" applyFill="1" applyBorder="1" applyAlignment="1">
      <alignment horizontal="center" vertical="top" wrapText="1"/>
    </xf>
    <xf numFmtId="49" fontId="1" fillId="7" borderId="27" xfId="0" applyNumberFormat="1" applyFont="1" applyFill="1" applyBorder="1" applyAlignment="1">
      <alignment horizontal="center" vertical="top" wrapText="1"/>
    </xf>
    <xf numFmtId="0" fontId="1" fillId="0" borderId="6" xfId="0" applyFont="1" applyBorder="1" applyAlignment="1">
      <alignment horizontal="center" vertical="top"/>
    </xf>
    <xf numFmtId="0" fontId="1" fillId="0" borderId="100" xfId="0" applyFont="1" applyBorder="1" applyAlignment="1">
      <alignment horizontal="center" vertical="top"/>
    </xf>
    <xf numFmtId="49" fontId="1" fillId="7" borderId="0" xfId="0" applyNumberFormat="1" applyFont="1" applyFill="1" applyBorder="1" applyAlignment="1">
      <alignment horizontal="center" vertical="top"/>
    </xf>
    <xf numFmtId="165" fontId="12" fillId="7" borderId="20" xfId="0" applyNumberFormat="1" applyFont="1" applyFill="1" applyBorder="1" applyAlignment="1">
      <alignment horizontal="center" vertical="top" wrapText="1"/>
    </xf>
    <xf numFmtId="0" fontId="18" fillId="7" borderId="17" xfId="0" applyFont="1" applyFill="1" applyBorder="1" applyAlignment="1">
      <alignment vertical="top" wrapText="1"/>
    </xf>
    <xf numFmtId="0" fontId="1" fillId="0" borderId="3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top" wrapText="1"/>
    </xf>
    <xf numFmtId="165" fontId="1" fillId="7" borderId="114" xfId="0" applyNumberFormat="1" applyFont="1" applyFill="1" applyBorder="1" applyAlignment="1">
      <alignment horizontal="center" vertical="center" wrapText="1"/>
    </xf>
  </cellXfs>
  <cellStyles count="4">
    <cellStyle name="Excel Built-in Normal" xfId="3"/>
    <cellStyle name="Įprastas" xfId="0" builtinId="0"/>
    <cellStyle name="Įprastas 2" xfId="2"/>
    <cellStyle name="Kablelis" xfId="1" builtinId="3"/>
  </cellStyles>
  <dxfs count="0"/>
  <tableStyles count="0" defaultTableStyle="TableStyleMedium2" defaultPivotStyle="PivotStyleLight16"/>
  <colors>
    <mruColors>
      <color rgb="FFCCFFCC"/>
      <color rgb="FFFFCCFF"/>
      <color rgb="FFFFFFCC"/>
      <color rgb="FF99FF99"/>
      <color rgb="FFE9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5"/>
  <sheetViews>
    <sheetView tabSelected="1" zoomScaleNormal="100" zoomScaleSheetLayoutView="100" workbookViewId="0">
      <selection activeCell="J287" sqref="J287"/>
    </sheetView>
  </sheetViews>
  <sheetFormatPr defaultColWidth="9.1796875" defaultRowHeight="13" x14ac:dyDescent="0.25"/>
  <cols>
    <col min="1" max="3" width="2.81640625" style="2" customWidth="1"/>
    <col min="4" max="4" width="39.54296875" style="2" customWidth="1"/>
    <col min="5" max="5" width="4.453125" style="182" customWidth="1"/>
    <col min="6" max="6" width="8.81640625" style="3" customWidth="1"/>
    <col min="7" max="7" width="11.1796875" style="2" customWidth="1"/>
    <col min="8" max="8" width="11" style="2" customWidth="1"/>
    <col min="9" max="9" width="10.1796875" style="2" customWidth="1"/>
    <col min="10" max="10" width="39.81640625" style="2" customWidth="1"/>
    <col min="11" max="11" width="5.1796875" style="2" customWidth="1"/>
    <col min="12" max="12" width="5" style="2" customWidth="1"/>
    <col min="13" max="13" width="4.81640625" style="2" customWidth="1"/>
    <col min="14" max="15" width="9.1796875" style="1"/>
    <col min="16" max="16" width="11.54296875" style="1101" hidden="1" customWidth="1"/>
    <col min="17" max="19" width="9.1796875" style="1101" hidden="1" customWidth="1"/>
    <col min="20" max="20" width="0" style="1" hidden="1" customWidth="1"/>
    <col min="21" max="16384" width="9.1796875" style="1"/>
  </cols>
  <sheetData>
    <row r="1" spans="1:28" ht="36" customHeight="1" x14ac:dyDescent="0.25">
      <c r="E1" s="174"/>
      <c r="G1" s="3"/>
      <c r="H1" s="3"/>
      <c r="I1" s="3"/>
      <c r="J1" s="1923" t="s">
        <v>397</v>
      </c>
      <c r="K1" s="1923"/>
      <c r="L1" s="1923"/>
      <c r="M1" s="1923"/>
    </row>
    <row r="2" spans="1:28" ht="15.75" customHeight="1" x14ac:dyDescent="0.25">
      <c r="E2" s="174"/>
      <c r="G2" s="3"/>
      <c r="H2" s="3"/>
      <c r="I2" s="3"/>
      <c r="J2" s="1923" t="s">
        <v>398</v>
      </c>
      <c r="K2" s="1923"/>
      <c r="L2" s="1923"/>
      <c r="M2" s="1923"/>
    </row>
    <row r="3" spans="1:28" ht="16.5" customHeight="1" x14ac:dyDescent="0.25">
      <c r="E3" s="174"/>
      <c r="G3" s="3"/>
      <c r="H3" s="3"/>
      <c r="I3" s="3"/>
      <c r="J3" s="787"/>
      <c r="K3" s="787"/>
      <c r="L3" s="787"/>
      <c r="M3" s="787"/>
    </row>
    <row r="4" spans="1:28" s="2" customFormat="1" ht="15" customHeight="1" x14ac:dyDescent="0.25">
      <c r="A4" s="1716" t="s">
        <v>380</v>
      </c>
      <c r="B4" s="1716"/>
      <c r="C4" s="1716"/>
      <c r="D4" s="1716"/>
      <c r="E4" s="1716"/>
      <c r="F4" s="1716"/>
      <c r="G4" s="1716"/>
      <c r="H4" s="1716"/>
      <c r="I4" s="1716"/>
      <c r="J4" s="1716"/>
      <c r="K4" s="1716"/>
      <c r="L4" s="1716"/>
      <c r="M4" s="1716"/>
      <c r="P4" s="1102"/>
      <c r="Q4" s="1102"/>
      <c r="R4" s="1102"/>
      <c r="S4" s="1102"/>
    </row>
    <row r="5" spans="1:28" ht="15.75" customHeight="1" x14ac:dyDescent="0.25">
      <c r="A5" s="1717" t="s">
        <v>26</v>
      </c>
      <c r="B5" s="1717"/>
      <c r="C5" s="1717"/>
      <c r="D5" s="1717"/>
      <c r="E5" s="1717"/>
      <c r="F5" s="1717"/>
      <c r="G5" s="1717"/>
      <c r="H5" s="1717"/>
      <c r="I5" s="1717"/>
      <c r="J5" s="1717"/>
      <c r="K5" s="1717"/>
      <c r="L5" s="1717"/>
      <c r="M5" s="1717"/>
    </row>
    <row r="6" spans="1:28" ht="15" customHeight="1" x14ac:dyDescent="0.25">
      <c r="A6" s="1718" t="s">
        <v>15</v>
      </c>
      <c r="B6" s="1718"/>
      <c r="C6" s="1718"/>
      <c r="D6" s="1718"/>
      <c r="E6" s="1718"/>
      <c r="F6" s="1718"/>
      <c r="G6" s="1718"/>
      <c r="H6" s="1718"/>
      <c r="I6" s="1718"/>
      <c r="J6" s="1718"/>
      <c r="K6" s="1718"/>
      <c r="L6" s="1718"/>
      <c r="M6" s="1718"/>
    </row>
    <row r="7" spans="1:28" ht="15" customHeight="1" x14ac:dyDescent="0.25">
      <c r="A7" s="1469"/>
      <c r="B7" s="1469"/>
      <c r="C7" s="1469"/>
      <c r="D7" s="1469"/>
      <c r="E7" s="1469"/>
      <c r="F7" s="1469"/>
      <c r="G7" s="1469"/>
      <c r="H7" s="1469"/>
      <c r="I7" s="1469"/>
      <c r="J7" s="1469"/>
      <c r="K7" s="1469"/>
      <c r="L7" s="1469"/>
      <c r="M7" s="1469"/>
    </row>
    <row r="8" spans="1:28" ht="15" customHeight="1" thickBot="1" x14ac:dyDescent="0.3">
      <c r="A8" s="11"/>
      <c r="B8" s="11"/>
      <c r="C8" s="11"/>
      <c r="D8" s="11"/>
      <c r="E8" s="175"/>
      <c r="F8" s="53"/>
      <c r="G8" s="11"/>
      <c r="H8" s="11"/>
      <c r="I8" s="11"/>
      <c r="J8" s="1719" t="s">
        <v>74</v>
      </c>
      <c r="K8" s="1719"/>
      <c r="L8" s="1719"/>
      <c r="M8" s="1719"/>
    </row>
    <row r="9" spans="1:28" s="14" customFormat="1" ht="27.75" customHeight="1" x14ac:dyDescent="0.25">
      <c r="A9" s="1720" t="s">
        <v>16</v>
      </c>
      <c r="B9" s="1723" t="s">
        <v>0</v>
      </c>
      <c r="C9" s="1723" t="s">
        <v>1</v>
      </c>
      <c r="D9" s="1726" t="s">
        <v>10</v>
      </c>
      <c r="E9" s="1744" t="s">
        <v>2</v>
      </c>
      <c r="F9" s="1747" t="s">
        <v>3</v>
      </c>
      <c r="G9" s="1729" t="s">
        <v>419</v>
      </c>
      <c r="H9" s="1750" t="s">
        <v>420</v>
      </c>
      <c r="I9" s="1729" t="s">
        <v>421</v>
      </c>
      <c r="J9" s="1731" t="s">
        <v>422</v>
      </c>
      <c r="K9" s="1732"/>
      <c r="L9" s="1732"/>
      <c r="M9" s="1733"/>
      <c r="P9" s="1103"/>
      <c r="Q9" s="1103"/>
      <c r="R9" s="1103"/>
      <c r="S9" s="1103"/>
    </row>
    <row r="10" spans="1:28" s="14" customFormat="1" ht="22.5" customHeight="1" x14ac:dyDescent="0.25">
      <c r="A10" s="1721"/>
      <c r="B10" s="1724"/>
      <c r="C10" s="1724"/>
      <c r="D10" s="1727"/>
      <c r="E10" s="1745"/>
      <c r="F10" s="1748"/>
      <c r="G10" s="1730"/>
      <c r="H10" s="1751"/>
      <c r="I10" s="1730"/>
      <c r="J10" s="1734" t="s">
        <v>10</v>
      </c>
      <c r="K10" s="1736" t="s">
        <v>423</v>
      </c>
      <c r="L10" s="1736"/>
      <c r="M10" s="1737"/>
      <c r="P10" s="1103"/>
      <c r="Q10" s="1103"/>
      <c r="R10" s="1103"/>
      <c r="S10" s="1103"/>
    </row>
    <row r="11" spans="1:28" s="14" customFormat="1" ht="98.15" customHeight="1" thickBot="1" x14ac:dyDescent="0.3">
      <c r="A11" s="1722"/>
      <c r="B11" s="1725"/>
      <c r="C11" s="1725"/>
      <c r="D11" s="1728"/>
      <c r="E11" s="1746"/>
      <c r="F11" s="1749"/>
      <c r="G11" s="1730"/>
      <c r="H11" s="1752"/>
      <c r="I11" s="1730"/>
      <c r="J11" s="1735"/>
      <c r="K11" s="390" t="s">
        <v>249</v>
      </c>
      <c r="L11" s="883" t="s">
        <v>250</v>
      </c>
      <c r="M11" s="389" t="s">
        <v>251</v>
      </c>
      <c r="P11" s="1103"/>
      <c r="Q11" s="1103"/>
      <c r="R11" s="1103"/>
      <c r="S11" s="1103"/>
    </row>
    <row r="12" spans="1:28" s="7" customFormat="1" ht="14.25" customHeight="1" x14ac:dyDescent="0.25">
      <c r="A12" s="1738" t="s">
        <v>51</v>
      </c>
      <c r="B12" s="1739"/>
      <c r="C12" s="1739"/>
      <c r="D12" s="1739"/>
      <c r="E12" s="1739"/>
      <c r="F12" s="1739"/>
      <c r="G12" s="1739"/>
      <c r="H12" s="1739"/>
      <c r="I12" s="1739"/>
      <c r="J12" s="1739"/>
      <c r="K12" s="1739"/>
      <c r="L12" s="1739"/>
      <c r="M12" s="1740"/>
      <c r="P12" s="1104"/>
      <c r="Q12" s="1104"/>
      <c r="R12" s="1104"/>
      <c r="S12" s="1104"/>
    </row>
    <row r="13" spans="1:28" s="7" customFormat="1" ht="14.25" customHeight="1" x14ac:dyDescent="0.25">
      <c r="A13" s="1741" t="s">
        <v>23</v>
      </c>
      <c r="B13" s="1742"/>
      <c r="C13" s="1742"/>
      <c r="D13" s="1742"/>
      <c r="E13" s="1742"/>
      <c r="F13" s="1742"/>
      <c r="G13" s="1742"/>
      <c r="H13" s="1742"/>
      <c r="I13" s="1742"/>
      <c r="J13" s="1742"/>
      <c r="K13" s="1742"/>
      <c r="L13" s="1742"/>
      <c r="M13" s="1743"/>
      <c r="P13" s="1104"/>
      <c r="Q13" s="1104"/>
      <c r="R13" s="1104"/>
      <c r="S13" s="1104"/>
    </row>
    <row r="14" spans="1:28" ht="16.5" customHeight="1" x14ac:dyDescent="0.25">
      <c r="A14" s="13" t="s">
        <v>4</v>
      </c>
      <c r="B14" s="1757" t="s">
        <v>27</v>
      </c>
      <c r="C14" s="1758"/>
      <c r="D14" s="1758"/>
      <c r="E14" s="1758"/>
      <c r="F14" s="1758"/>
      <c r="G14" s="1758"/>
      <c r="H14" s="1758"/>
      <c r="I14" s="1758"/>
      <c r="J14" s="1758"/>
      <c r="K14" s="1758"/>
      <c r="L14" s="1758"/>
      <c r="M14" s="1759"/>
    </row>
    <row r="15" spans="1:28" ht="15" customHeight="1" x14ac:dyDescent="0.25">
      <c r="A15" s="52" t="s">
        <v>4</v>
      </c>
      <c r="B15" s="9" t="s">
        <v>4</v>
      </c>
      <c r="C15" s="1760" t="s">
        <v>191</v>
      </c>
      <c r="D15" s="1761"/>
      <c r="E15" s="1761"/>
      <c r="F15" s="1761"/>
      <c r="G15" s="1761"/>
      <c r="H15" s="1761"/>
      <c r="I15" s="1761"/>
      <c r="J15" s="1761"/>
      <c r="K15" s="1762"/>
      <c r="L15" s="1762"/>
      <c r="M15" s="1763"/>
    </row>
    <row r="16" spans="1:28" ht="13.5" customHeight="1" x14ac:dyDescent="0.25">
      <c r="A16" s="1048" t="s">
        <v>4</v>
      </c>
      <c r="B16" s="1049" t="s">
        <v>4</v>
      </c>
      <c r="C16" s="1050" t="s">
        <v>4</v>
      </c>
      <c r="D16" s="1764" t="s">
        <v>167</v>
      </c>
      <c r="E16" s="842" t="s">
        <v>41</v>
      </c>
      <c r="F16" s="95" t="s">
        <v>22</v>
      </c>
      <c r="G16" s="226">
        <f>3860.4-20+250+291.2+316+187.5</f>
        <v>4885.1000000000004</v>
      </c>
      <c r="H16" s="213">
        <f>3925.7+355+370.6+6.7</f>
        <v>4658</v>
      </c>
      <c r="I16" s="215">
        <f>4149.9-5.7</f>
        <v>4144.2</v>
      </c>
      <c r="J16" s="899"/>
      <c r="K16" s="1484"/>
      <c r="L16" s="324"/>
      <c r="M16" s="321"/>
      <c r="P16" s="1105">
        <f>+G30+G36+G39+G47+G52+G54+G57+G59+G62+G69+G73+G75+G77+G82+G84+G91+G92+G97+G115+G117+G120+G121+G124+G126+G127+G138+G141+G144+G147+G155</f>
        <v>3860.4</v>
      </c>
      <c r="Q16" s="1105">
        <f>+H30+H36+H39+H47+H52+H54+H57+H59+H62+H69+H73+H75+H77+H82+H84+H91+H92+H97+H115+H117+H120+H121+H124+H127+H138+H141+H144+H147+H155</f>
        <v>3925.7</v>
      </c>
      <c r="R16" s="1105">
        <f>+I30+I36+I39+I47+I52+I54+I57+I59+I62+I69+I73+I75+I77+I82+I84+I91+I92+I97+I115+I117+I120+I121+I124+I127+I138+I141+I144+I147+I155</f>
        <v>4149.8999999999996</v>
      </c>
      <c r="U16" s="16"/>
      <c r="V16" s="16"/>
      <c r="W16" s="16"/>
      <c r="AB16" s="1468"/>
    </row>
    <row r="17" spans="1:28" ht="13.5" customHeight="1" x14ac:dyDescent="0.25">
      <c r="A17" s="1048"/>
      <c r="B17" s="127"/>
      <c r="C17" s="1050"/>
      <c r="D17" s="1765"/>
      <c r="E17" s="843" t="s">
        <v>178</v>
      </c>
      <c r="F17" s="20" t="s">
        <v>367</v>
      </c>
      <c r="G17" s="32">
        <v>414.1</v>
      </c>
      <c r="H17" s="1038"/>
      <c r="I17" s="1056"/>
      <c r="J17" s="899"/>
      <c r="K17" s="796"/>
      <c r="L17" s="797"/>
      <c r="M17" s="798"/>
      <c r="P17" s="1105">
        <f>+G48+G53+G63</f>
        <v>414.1</v>
      </c>
      <c r="Q17" s="1105">
        <f>+H48+H53+H63</f>
        <v>0</v>
      </c>
      <c r="R17" s="1105">
        <f>+I48+I53+I63</f>
        <v>0</v>
      </c>
      <c r="U17" s="16"/>
      <c r="V17" s="16"/>
      <c r="W17" s="16"/>
      <c r="AB17" s="1468"/>
    </row>
    <row r="18" spans="1:28" ht="13.5" customHeight="1" x14ac:dyDescent="0.25">
      <c r="A18" s="1048"/>
      <c r="B18" s="127"/>
      <c r="C18" s="1050"/>
      <c r="D18" s="1765"/>
      <c r="E18" s="436"/>
      <c r="F18" s="20" t="s">
        <v>363</v>
      </c>
      <c r="G18" s="32">
        <f>358+64.4</f>
        <v>422.4</v>
      </c>
      <c r="H18" s="1038"/>
      <c r="I18" s="1056"/>
      <c r="J18" s="899"/>
      <c r="K18" s="796"/>
      <c r="L18" s="797"/>
      <c r="M18" s="798"/>
      <c r="P18" s="1105">
        <f>+G58</f>
        <v>358</v>
      </c>
      <c r="Q18" s="1105">
        <f>+H58</f>
        <v>0</v>
      </c>
      <c r="R18" s="1105">
        <f>+I58</f>
        <v>0</v>
      </c>
      <c r="U18" s="16"/>
      <c r="V18" s="16"/>
      <c r="W18" s="16"/>
      <c r="AB18" s="1468"/>
    </row>
    <row r="19" spans="1:28" ht="13.5" customHeight="1" x14ac:dyDescent="0.25">
      <c r="A19" s="1048"/>
      <c r="B19" s="127"/>
      <c r="C19" s="1050"/>
      <c r="D19" s="1765"/>
      <c r="E19" s="436"/>
      <c r="F19" s="20" t="s">
        <v>365</v>
      </c>
      <c r="G19" s="32">
        <v>150</v>
      </c>
      <c r="H19" s="1038"/>
      <c r="I19" s="1056"/>
      <c r="J19" s="899"/>
      <c r="K19" s="796"/>
      <c r="L19" s="797"/>
      <c r="M19" s="798"/>
      <c r="P19" s="1105">
        <f>+G55</f>
        <v>150</v>
      </c>
      <c r="Q19" s="1105">
        <f>+H55</f>
        <v>0</v>
      </c>
      <c r="R19" s="1105">
        <f>+I55</f>
        <v>0</v>
      </c>
      <c r="U19" s="16"/>
      <c r="V19" s="16"/>
      <c r="W19" s="16"/>
      <c r="AB19" s="1468"/>
    </row>
    <row r="20" spans="1:28" ht="13.5" customHeight="1" x14ac:dyDescent="0.25">
      <c r="A20" s="1048"/>
      <c r="B20" s="127"/>
      <c r="C20" s="1050"/>
      <c r="D20" s="1765"/>
      <c r="E20" s="436"/>
      <c r="F20" s="20" t="s">
        <v>68</v>
      </c>
      <c r="G20" s="32">
        <f>6248.6-2462+102.1+78+192.6-53.5+100+20.4+170+11.5+1.7+10+3.5+24.2+150</f>
        <v>4597.1000000000004</v>
      </c>
      <c r="H20" s="1038">
        <f>5072.3+292.7+176.6</f>
        <v>5541.6</v>
      </c>
      <c r="I20" s="1056">
        <f>6174.6+1827.3-590</f>
        <v>7411.9</v>
      </c>
      <c r="J20" s="899"/>
      <c r="K20" s="796"/>
      <c r="L20" s="797"/>
      <c r="M20" s="798"/>
      <c r="P20" s="1105">
        <f>+G35+G38+G51+G61+G64+G68+G76+G79+G83+G98+G113+G114+G119+G123+G125+G132+G133+G134+G136+G139+G150+G151</f>
        <v>6253.8</v>
      </c>
      <c r="Q20" s="1105">
        <f>+H35+H38+H51+H61+H64+H68+H76+H79+H83+H98+H113+H114+H119+H123+H125+H132+H133+H134+H136+H139+H150+H151</f>
        <v>5072.3</v>
      </c>
      <c r="R20" s="1105">
        <f>+I35+I38+I51+I61+I64+I68+I76+I79+I83+I98+I113+I114+I119+I123+I125+I132+I133+I134+I136+I139+I150+I151</f>
        <v>6174.6</v>
      </c>
      <c r="U20" s="16"/>
      <c r="V20" s="16"/>
      <c r="W20" s="16"/>
      <c r="AB20" s="1468"/>
    </row>
    <row r="21" spans="1:28" ht="13.5" customHeight="1" x14ac:dyDescent="0.25">
      <c r="A21" s="1048"/>
      <c r="B21" s="127"/>
      <c r="C21" s="1050"/>
      <c r="D21" s="1765"/>
      <c r="E21" s="436"/>
      <c r="F21" s="1039" t="s">
        <v>209</v>
      </c>
      <c r="G21" s="32">
        <f>9038.6-2.6</f>
        <v>9036</v>
      </c>
      <c r="H21" s="1038">
        <v>8000</v>
      </c>
      <c r="I21" s="1056"/>
      <c r="J21" s="899"/>
      <c r="K21" s="796"/>
      <c r="L21" s="797"/>
      <c r="M21" s="798"/>
      <c r="P21" s="1105">
        <f>+G32</f>
        <v>0</v>
      </c>
      <c r="Q21" s="1105">
        <f>+H32</f>
        <v>8000</v>
      </c>
      <c r="R21" s="1105">
        <f>+I32</f>
        <v>0</v>
      </c>
      <c r="U21" s="16"/>
      <c r="V21" s="16"/>
      <c r="W21" s="16"/>
      <c r="AB21" s="1468"/>
    </row>
    <row r="22" spans="1:28" ht="13.5" customHeight="1" x14ac:dyDescent="0.25">
      <c r="A22" s="1048"/>
      <c r="B22" s="127"/>
      <c r="C22" s="1050"/>
      <c r="D22" s="1765"/>
      <c r="E22" s="436"/>
      <c r="F22" s="20" t="s">
        <v>115</v>
      </c>
      <c r="G22" s="32">
        <f>33.8+418.4+125-0.4</f>
        <v>576.79999999999995</v>
      </c>
      <c r="H22" s="1038">
        <v>805.7</v>
      </c>
      <c r="I22" s="1056">
        <v>195.4</v>
      </c>
      <c r="J22" s="899"/>
      <c r="K22" s="796"/>
      <c r="L22" s="797"/>
      <c r="M22" s="798"/>
      <c r="P22" s="1105">
        <v>33.799999999999997</v>
      </c>
      <c r="Q22" s="1105"/>
      <c r="R22" s="1105"/>
      <c r="U22" s="16"/>
      <c r="V22" s="16"/>
      <c r="W22" s="16"/>
      <c r="AB22" s="1468"/>
    </row>
    <row r="23" spans="1:28" ht="13.5" customHeight="1" x14ac:dyDescent="0.25">
      <c r="A23" s="1048"/>
      <c r="B23" s="127"/>
      <c r="C23" s="1050"/>
      <c r="D23" s="1765"/>
      <c r="E23" s="436"/>
      <c r="F23" s="1039" t="s">
        <v>42</v>
      </c>
      <c r="G23" s="32">
        <v>1500</v>
      </c>
      <c r="H23" s="1038">
        <v>1500</v>
      </c>
      <c r="I23" s="1056">
        <v>1500</v>
      </c>
      <c r="J23" s="899"/>
      <c r="K23" s="796"/>
      <c r="L23" s="797"/>
      <c r="M23" s="798"/>
      <c r="P23" s="1105">
        <f>+G34</f>
        <v>1500</v>
      </c>
      <c r="Q23" s="1105">
        <f>+H34</f>
        <v>1500</v>
      </c>
      <c r="R23" s="1105">
        <f>+I34</f>
        <v>1500</v>
      </c>
      <c r="U23" s="16"/>
      <c r="V23" s="16"/>
      <c r="W23" s="16"/>
      <c r="AB23" s="1468"/>
    </row>
    <row r="24" spans="1:28" ht="13.5" customHeight="1" x14ac:dyDescent="0.25">
      <c r="A24" s="1048"/>
      <c r="B24" s="127"/>
      <c r="C24" s="1050"/>
      <c r="D24" s="1765"/>
      <c r="E24" s="436"/>
      <c r="F24" s="1039" t="s">
        <v>121</v>
      </c>
      <c r="G24" s="32">
        <f>12500-11000</f>
        <v>1500</v>
      </c>
      <c r="H24" s="1038">
        <f>13991.7+2539</f>
        <v>16530.7</v>
      </c>
      <c r="I24" s="1056">
        <v>12015</v>
      </c>
      <c r="J24" s="899"/>
      <c r="K24" s="796"/>
      <c r="L24" s="797"/>
      <c r="M24" s="798"/>
      <c r="P24" s="1105">
        <f>+G37+G33+G44+G86+G156</f>
        <v>12500</v>
      </c>
      <c r="Q24" s="1105">
        <f>+H37+H33+H44+H86+H156</f>
        <v>13991.7</v>
      </c>
      <c r="R24" s="1105">
        <f>+I37+I33+I44+I86+I156</f>
        <v>12015</v>
      </c>
      <c r="U24" s="16"/>
      <c r="V24" s="16"/>
      <c r="W24" s="16"/>
      <c r="AB24" s="1468"/>
    </row>
    <row r="25" spans="1:28" ht="13.5" customHeight="1" x14ac:dyDescent="0.25">
      <c r="A25" s="1048"/>
      <c r="B25" s="127"/>
      <c r="C25" s="1050"/>
      <c r="D25" s="1765"/>
      <c r="E25" s="436"/>
      <c r="F25" s="20" t="s">
        <v>38</v>
      </c>
      <c r="G25" s="32">
        <f>483-358-125</f>
        <v>0</v>
      </c>
      <c r="H25" s="1038">
        <f>1100.9-805.7</f>
        <v>295.2</v>
      </c>
      <c r="I25" s="1056">
        <f>438.8-268.7</f>
        <v>170.1</v>
      </c>
      <c r="J25" s="899"/>
      <c r="K25" s="796"/>
      <c r="L25" s="797"/>
      <c r="M25" s="798"/>
      <c r="P25" s="1105">
        <f>+G50+G85+G56</f>
        <v>483</v>
      </c>
      <c r="Q25" s="1105">
        <f>+H50+H85+H56</f>
        <v>1100.9000000000001</v>
      </c>
      <c r="R25" s="1105">
        <f>+I50+I85+I56</f>
        <v>438.8</v>
      </c>
      <c r="U25" s="16"/>
      <c r="V25" s="16"/>
      <c r="W25" s="16"/>
      <c r="AB25" s="1468"/>
    </row>
    <row r="26" spans="1:28" ht="13.5" customHeight="1" x14ac:dyDescent="0.25">
      <c r="A26" s="1048"/>
      <c r="B26" s="127"/>
      <c r="C26" s="1050"/>
      <c r="D26" s="1765"/>
      <c r="E26" s="436"/>
      <c r="F26" s="20" t="s">
        <v>39</v>
      </c>
      <c r="G26" s="32">
        <f>255.2-62</f>
        <v>193.2</v>
      </c>
      <c r="H26" s="1038">
        <f>24+62</f>
        <v>86</v>
      </c>
      <c r="I26" s="1056"/>
      <c r="J26" s="899"/>
      <c r="K26" s="796"/>
      <c r="L26" s="797"/>
      <c r="M26" s="798"/>
      <c r="P26" s="1105">
        <f>+G41+G78+G87+G72</f>
        <v>255.2</v>
      </c>
      <c r="Q26" s="1105">
        <f>+H41+H78+H87+H72</f>
        <v>24</v>
      </c>
      <c r="R26" s="1105">
        <f>+I41+I78+I87+I72</f>
        <v>0</v>
      </c>
      <c r="U26" s="16"/>
      <c r="V26" s="16"/>
      <c r="W26" s="16"/>
      <c r="AB26" s="1468"/>
    </row>
    <row r="27" spans="1:28" ht="13.5" customHeight="1" x14ac:dyDescent="0.25">
      <c r="A27" s="1048"/>
      <c r="B27" s="127"/>
      <c r="C27" s="1050"/>
      <c r="D27" s="1765"/>
      <c r="E27" s="436"/>
      <c r="F27" s="1039" t="s">
        <v>50</v>
      </c>
      <c r="G27" s="32">
        <f>635.6-24.2+35.6+13.5+5</f>
        <v>665.5</v>
      </c>
      <c r="H27" s="1038"/>
      <c r="I27" s="1056"/>
      <c r="J27" s="899"/>
      <c r="K27" s="796"/>
      <c r="L27" s="797"/>
      <c r="M27" s="798"/>
      <c r="P27" s="1105">
        <f>+G31+G49+G60+G80+G149+G152+G153</f>
        <v>635.6</v>
      </c>
      <c r="Q27" s="1105">
        <f>+H31+H49+H60+H80+H149+H152+H153</f>
        <v>0</v>
      </c>
      <c r="R27" s="1105">
        <f>+I31+I49+I60+I80+I149+I152+I153</f>
        <v>0</v>
      </c>
      <c r="U27" s="16"/>
      <c r="V27" s="16"/>
      <c r="W27" s="16"/>
    </row>
    <row r="28" spans="1:28" ht="13.5" customHeight="1" x14ac:dyDescent="0.25">
      <c r="A28" s="1459"/>
      <c r="B28" s="127"/>
      <c r="C28" s="1458"/>
      <c r="D28" s="1765"/>
      <c r="E28" s="436"/>
      <c r="F28" s="1461" t="s">
        <v>67</v>
      </c>
      <c r="G28" s="32">
        <v>5.7</v>
      </c>
      <c r="H28" s="1460"/>
      <c r="I28" s="1462"/>
      <c r="J28" s="899"/>
      <c r="K28" s="796"/>
      <c r="L28" s="797"/>
      <c r="M28" s="798"/>
      <c r="P28" s="1105"/>
      <c r="Q28" s="1105"/>
      <c r="R28" s="1105"/>
      <c r="U28" s="16"/>
      <c r="V28" s="16"/>
      <c r="W28" s="16"/>
    </row>
    <row r="29" spans="1:28" ht="13.5" customHeight="1" x14ac:dyDescent="0.25">
      <c r="A29" s="1048"/>
      <c r="B29" s="127"/>
      <c r="C29" s="1050"/>
      <c r="D29" s="1765"/>
      <c r="E29" s="436"/>
      <c r="F29" s="20" t="s">
        <v>360</v>
      </c>
      <c r="G29" s="32">
        <f>59.1+0.4</f>
        <v>59.5</v>
      </c>
      <c r="H29" s="1038"/>
      <c r="I29" s="1056"/>
      <c r="J29" s="799"/>
      <c r="K29" s="397"/>
      <c r="L29" s="325"/>
      <c r="M29" s="800"/>
      <c r="P29" s="1105">
        <f>+G71</f>
        <v>59.1</v>
      </c>
      <c r="Q29" s="1105">
        <f>+H71</f>
        <v>0</v>
      </c>
      <c r="R29" s="1105">
        <f>+I71</f>
        <v>0</v>
      </c>
      <c r="U29" s="16"/>
      <c r="V29" s="16"/>
      <c r="W29" s="16"/>
    </row>
    <row r="30" spans="1:28" ht="17.75" customHeight="1" x14ac:dyDescent="0.25">
      <c r="A30" s="1025"/>
      <c r="B30" s="1026"/>
      <c r="C30" s="1027"/>
      <c r="D30" s="1766" t="s">
        <v>81</v>
      </c>
      <c r="E30" s="1771" t="s">
        <v>399</v>
      </c>
      <c r="F30" s="1108" t="s">
        <v>381</v>
      </c>
      <c r="G30" s="1109">
        <v>390.8</v>
      </c>
      <c r="H30" s="1110"/>
      <c r="I30" s="1111">
        <f>340.5</f>
        <v>340.5</v>
      </c>
      <c r="J30" s="1485" t="s">
        <v>40</v>
      </c>
      <c r="K30" s="342"/>
      <c r="L30" s="300"/>
      <c r="M30" s="290"/>
      <c r="P30" s="1105">
        <f>SUM(P16:P29)</f>
        <v>26503</v>
      </c>
      <c r="Q30" s="1105">
        <f t="shared" ref="Q30:R30" si="0">SUM(Q16:Q29)</f>
        <v>33614.6</v>
      </c>
      <c r="R30" s="1105">
        <f t="shared" si="0"/>
        <v>24278.3</v>
      </c>
      <c r="U30" s="16"/>
      <c r="V30" s="16"/>
      <c r="W30" s="16"/>
    </row>
    <row r="31" spans="1:28" ht="13.5" customHeight="1" x14ac:dyDescent="0.25">
      <c r="A31" s="1025"/>
      <c r="B31" s="1026"/>
      <c r="C31" s="1027"/>
      <c r="D31" s="1767"/>
      <c r="E31" s="1772"/>
      <c r="F31" s="1112" t="s">
        <v>382</v>
      </c>
      <c r="G31" s="1113"/>
      <c r="H31" s="1114"/>
      <c r="I31" s="1115"/>
      <c r="J31" s="1768" t="s">
        <v>119</v>
      </c>
      <c r="K31" s="349">
        <v>37</v>
      </c>
      <c r="L31" s="209">
        <v>85</v>
      </c>
      <c r="M31" s="141">
        <v>100</v>
      </c>
      <c r="P31" s="1105">
        <f>+P30-G157</f>
        <v>2497.6</v>
      </c>
      <c r="Q31" s="1105">
        <f>+Q30-H157</f>
        <v>-3802.6</v>
      </c>
      <c r="R31" s="1105">
        <f>+R30-I157</f>
        <v>-1158.3</v>
      </c>
    </row>
    <row r="32" spans="1:28" ht="13.5" customHeight="1" x14ac:dyDescent="0.25">
      <c r="A32" s="1025"/>
      <c r="B32" s="1026"/>
      <c r="C32" s="1027"/>
      <c r="D32" s="1767"/>
      <c r="E32" s="859" t="s">
        <v>41</v>
      </c>
      <c r="F32" s="1112" t="s">
        <v>383</v>
      </c>
      <c r="G32" s="1113"/>
      <c r="H32" s="1114">
        <v>8000</v>
      </c>
      <c r="I32" s="1115"/>
      <c r="J32" s="1769"/>
      <c r="K32" s="200"/>
      <c r="L32" s="209"/>
      <c r="M32" s="141"/>
    </row>
    <row r="33" spans="1:13" ht="13.5" customHeight="1" x14ac:dyDescent="0.25">
      <c r="A33" s="1025"/>
      <c r="B33" s="1026"/>
      <c r="C33" s="1027"/>
      <c r="D33" s="1767"/>
      <c r="E33" s="1045" t="s">
        <v>418</v>
      </c>
      <c r="F33" s="1112" t="s">
        <v>384</v>
      </c>
      <c r="G33" s="1113">
        <f>9600+1400</f>
        <v>11000</v>
      </c>
      <c r="H33" s="1114">
        <f>5000-1400-1623.4</f>
        <v>1976.6</v>
      </c>
      <c r="I33" s="1115"/>
      <c r="J33" s="1769"/>
      <c r="K33" s="200"/>
      <c r="L33" s="209"/>
      <c r="M33" s="141"/>
    </row>
    <row r="34" spans="1:13" ht="13.5" customHeight="1" x14ac:dyDescent="0.25">
      <c r="A34" s="1025"/>
      <c r="B34" s="1026"/>
      <c r="C34" s="1027"/>
      <c r="D34" s="1767"/>
      <c r="E34" s="844"/>
      <c r="F34" s="1112" t="s">
        <v>385</v>
      </c>
      <c r="G34" s="1113">
        <v>1500</v>
      </c>
      <c r="H34" s="1114">
        <v>1500</v>
      </c>
      <c r="I34" s="1115">
        <v>1500</v>
      </c>
      <c r="J34" s="1770"/>
      <c r="K34" s="200"/>
      <c r="L34" s="209"/>
      <c r="M34" s="141"/>
    </row>
    <row r="35" spans="1:13" ht="27" customHeight="1" x14ac:dyDescent="0.25">
      <c r="A35" s="1025"/>
      <c r="B35" s="1026"/>
      <c r="C35" s="1027"/>
      <c r="D35" s="1041" t="s">
        <v>179</v>
      </c>
      <c r="E35" s="785"/>
      <c r="F35" s="1116" t="s">
        <v>386</v>
      </c>
      <c r="G35" s="1117">
        <f>754.4+800+1400-100-265</f>
        <v>2589.4</v>
      </c>
      <c r="H35" s="1114">
        <f>549.7+100+752.6</f>
        <v>1402.3</v>
      </c>
      <c r="I35" s="1115">
        <f>10.2+870.8+265</f>
        <v>1146</v>
      </c>
      <c r="J35" s="1491" t="s">
        <v>206</v>
      </c>
      <c r="K35" s="343">
        <v>100</v>
      </c>
      <c r="L35" s="274"/>
      <c r="M35" s="469"/>
    </row>
    <row r="36" spans="1:13" ht="27" customHeight="1" x14ac:dyDescent="0.25">
      <c r="A36" s="1025"/>
      <c r="B36" s="1026"/>
      <c r="C36" s="1027"/>
      <c r="D36" s="1029"/>
      <c r="E36" s="785"/>
      <c r="F36" s="1116" t="s">
        <v>381</v>
      </c>
      <c r="G36" s="1114">
        <f>603.9-390.8</f>
        <v>213.1</v>
      </c>
      <c r="H36" s="1114"/>
      <c r="I36" s="1115"/>
      <c r="J36" s="1492" t="s">
        <v>169</v>
      </c>
      <c r="K36" s="342"/>
      <c r="L36" s="300"/>
      <c r="M36" s="290"/>
    </row>
    <row r="37" spans="1:13" ht="46.5" customHeight="1" x14ac:dyDescent="0.25">
      <c r="A37" s="1025"/>
      <c r="B37" s="1026"/>
      <c r="C37" s="1027"/>
      <c r="D37" s="1030"/>
      <c r="E37" s="785"/>
      <c r="F37" s="1116" t="s">
        <v>384</v>
      </c>
      <c r="G37" s="1113">
        <v>1500</v>
      </c>
      <c r="H37" s="1114">
        <v>2000</v>
      </c>
      <c r="I37" s="1118"/>
      <c r="J37" s="1493" t="s">
        <v>170</v>
      </c>
      <c r="K37" s="200">
        <v>40</v>
      </c>
      <c r="L37" s="209">
        <v>60</v>
      </c>
      <c r="M37" s="141"/>
    </row>
    <row r="38" spans="1:13" ht="15.65" customHeight="1" x14ac:dyDescent="0.25">
      <c r="A38" s="1753"/>
      <c r="B38" s="1754"/>
      <c r="C38" s="1755"/>
      <c r="D38" s="1714" t="s">
        <v>131</v>
      </c>
      <c r="E38" s="845" t="s">
        <v>178</v>
      </c>
      <c r="F38" s="1119" t="s">
        <v>386</v>
      </c>
      <c r="G38" s="1109">
        <f>314.6-111</f>
        <v>203.6</v>
      </c>
      <c r="H38" s="1110"/>
      <c r="I38" s="1111"/>
      <c r="J38" s="1777" t="s">
        <v>455</v>
      </c>
      <c r="K38" s="211">
        <v>100</v>
      </c>
      <c r="L38" s="564"/>
      <c r="M38" s="140"/>
    </row>
    <row r="39" spans="1:13" ht="15.65" customHeight="1" x14ac:dyDescent="0.25">
      <c r="A39" s="1753"/>
      <c r="B39" s="1754"/>
      <c r="C39" s="1755"/>
      <c r="D39" s="1756"/>
      <c r="E39" s="859" t="s">
        <v>41</v>
      </c>
      <c r="F39" s="1116" t="s">
        <v>381</v>
      </c>
      <c r="G39" s="1113">
        <f>358.5+170.2-204.9</f>
        <v>323.8</v>
      </c>
      <c r="H39" s="1114"/>
      <c r="I39" s="1118"/>
      <c r="J39" s="1778"/>
      <c r="K39" s="200"/>
      <c r="L39" s="209"/>
      <c r="M39" s="141"/>
    </row>
    <row r="40" spans="1:13" ht="15.65" customHeight="1" x14ac:dyDescent="0.25">
      <c r="A40" s="1753"/>
      <c r="B40" s="1754"/>
      <c r="C40" s="1755"/>
      <c r="D40" s="1756"/>
      <c r="E40" s="1045" t="s">
        <v>418</v>
      </c>
      <c r="F40" s="1116" t="s">
        <v>387</v>
      </c>
      <c r="G40" s="1113">
        <v>0.1</v>
      </c>
      <c r="H40" s="1114"/>
      <c r="I40" s="1118"/>
      <c r="J40" s="1487"/>
      <c r="K40" s="200"/>
      <c r="L40" s="209"/>
      <c r="M40" s="141"/>
    </row>
    <row r="41" spans="1:13" ht="15.65" customHeight="1" x14ac:dyDescent="0.25">
      <c r="A41" s="1753"/>
      <c r="B41" s="1754"/>
      <c r="C41" s="1755"/>
      <c r="D41" s="1756"/>
      <c r="E41" s="1045"/>
      <c r="F41" s="1116" t="s">
        <v>388</v>
      </c>
      <c r="G41" s="1113">
        <f>244.4-170.2</f>
        <v>74.2</v>
      </c>
      <c r="H41" s="1114"/>
      <c r="I41" s="1118"/>
      <c r="J41" s="1487"/>
      <c r="K41" s="200"/>
      <c r="L41" s="209"/>
      <c r="M41" s="141"/>
    </row>
    <row r="42" spans="1:13" ht="25.5" customHeight="1" x14ac:dyDescent="0.25">
      <c r="A42" s="1753"/>
      <c r="B42" s="1754"/>
      <c r="C42" s="1755"/>
      <c r="D42" s="77" t="s">
        <v>274</v>
      </c>
      <c r="E42" s="157"/>
      <c r="F42" s="1120"/>
      <c r="G42" s="1121"/>
      <c r="H42" s="1122"/>
      <c r="I42" s="1123"/>
      <c r="J42" s="1488" t="s">
        <v>98</v>
      </c>
      <c r="K42" s="343">
        <v>100</v>
      </c>
      <c r="L42" s="274"/>
      <c r="M42" s="144"/>
    </row>
    <row r="43" spans="1:13" ht="27.75" customHeight="1" x14ac:dyDescent="0.25">
      <c r="A43" s="1753"/>
      <c r="B43" s="1754"/>
      <c r="C43" s="1755"/>
      <c r="D43" s="1053" t="s">
        <v>275</v>
      </c>
      <c r="E43" s="1046"/>
      <c r="F43" s="1124"/>
      <c r="G43" s="1125"/>
      <c r="H43" s="1126"/>
      <c r="I43" s="1127"/>
      <c r="J43" s="1489" t="s">
        <v>99</v>
      </c>
      <c r="K43" s="197">
        <v>100</v>
      </c>
      <c r="L43" s="207"/>
      <c r="M43" s="142"/>
    </row>
    <row r="44" spans="1:13" ht="15" customHeight="1" x14ac:dyDescent="0.25">
      <c r="A44" s="1025"/>
      <c r="B44" s="1026"/>
      <c r="C44" s="1027"/>
      <c r="D44" s="1714" t="s">
        <v>334</v>
      </c>
      <c r="E44" s="435" t="s">
        <v>41</v>
      </c>
      <c r="F44" s="1116" t="s">
        <v>384</v>
      </c>
      <c r="G44" s="1113"/>
      <c r="H44" s="1114">
        <v>10000</v>
      </c>
      <c r="I44" s="1118">
        <v>12000</v>
      </c>
      <c r="J44" s="1490" t="s">
        <v>290</v>
      </c>
      <c r="K44" s="317"/>
      <c r="L44" s="328">
        <v>40</v>
      </c>
      <c r="M44" s="138">
        <v>80</v>
      </c>
    </row>
    <row r="45" spans="1:13" ht="15" customHeight="1" x14ac:dyDescent="0.25">
      <c r="A45" s="1025"/>
      <c r="B45" s="1026"/>
      <c r="C45" s="1027"/>
      <c r="D45" s="1756"/>
      <c r="E45" s="1045" t="s">
        <v>418</v>
      </c>
      <c r="F45" s="1116"/>
      <c r="G45" s="1113"/>
      <c r="H45" s="1114"/>
      <c r="I45" s="1118"/>
      <c r="J45" s="1490"/>
      <c r="K45" s="317"/>
      <c r="L45" s="328"/>
      <c r="M45" s="138"/>
    </row>
    <row r="46" spans="1:13" ht="15" customHeight="1" x14ac:dyDescent="0.25">
      <c r="A46" s="1025"/>
      <c r="B46" s="1026"/>
      <c r="C46" s="1027"/>
      <c r="D46" s="1715"/>
      <c r="E46" s="166"/>
      <c r="F46" s="1116"/>
      <c r="G46" s="1113"/>
      <c r="H46" s="1114"/>
      <c r="I46" s="1118"/>
      <c r="J46" s="1490"/>
      <c r="K46" s="317"/>
      <c r="L46" s="328"/>
      <c r="M46" s="138"/>
    </row>
    <row r="47" spans="1:13" ht="18" customHeight="1" x14ac:dyDescent="0.25">
      <c r="A47" s="1048"/>
      <c r="B47" s="1049"/>
      <c r="C47" s="1773" t="s">
        <v>157</v>
      </c>
      <c r="D47" s="1775" t="s">
        <v>401</v>
      </c>
      <c r="E47" s="846" t="s">
        <v>178</v>
      </c>
      <c r="F47" s="1119" t="s">
        <v>381</v>
      </c>
      <c r="G47" s="1109"/>
      <c r="H47" s="1110">
        <f>696.2-244.2</f>
        <v>452</v>
      </c>
      <c r="I47" s="1111">
        <f>300-150</f>
        <v>150</v>
      </c>
      <c r="J47" s="1777" t="s">
        <v>173</v>
      </c>
      <c r="K47" s="319"/>
      <c r="L47" s="190"/>
      <c r="M47" s="619"/>
    </row>
    <row r="48" spans="1:13" ht="18" customHeight="1" x14ac:dyDescent="0.25">
      <c r="A48" s="1048"/>
      <c r="B48" s="1049"/>
      <c r="C48" s="1773"/>
      <c r="D48" s="1776"/>
      <c r="E48" s="859" t="s">
        <v>41</v>
      </c>
      <c r="F48" s="1116" t="s">
        <v>389</v>
      </c>
      <c r="G48" s="1113">
        <v>100</v>
      </c>
      <c r="H48" s="1114"/>
      <c r="I48" s="1118"/>
      <c r="J48" s="1778"/>
      <c r="K48" s="1042"/>
      <c r="L48" s="193"/>
      <c r="M48" s="195"/>
    </row>
    <row r="49" spans="1:13" ht="18.75" customHeight="1" x14ac:dyDescent="0.25">
      <c r="A49" s="1048"/>
      <c r="B49" s="1049"/>
      <c r="C49" s="1773"/>
      <c r="D49" s="1776"/>
      <c r="E49" s="1772" t="s">
        <v>400</v>
      </c>
      <c r="F49" s="1116" t="s">
        <v>382</v>
      </c>
      <c r="G49" s="1113">
        <v>5.2</v>
      </c>
      <c r="H49" s="1114"/>
      <c r="I49" s="1118"/>
      <c r="J49" s="1779"/>
      <c r="K49" s="510"/>
      <c r="L49" s="308"/>
      <c r="M49" s="184"/>
    </row>
    <row r="50" spans="1:13" ht="26.25" customHeight="1" x14ac:dyDescent="0.25">
      <c r="A50" s="1048"/>
      <c r="B50" s="127"/>
      <c r="C50" s="1773"/>
      <c r="D50" s="1776"/>
      <c r="E50" s="1772"/>
      <c r="F50" s="1116" t="s">
        <v>390</v>
      </c>
      <c r="G50" s="1117">
        <f>542.2-184.2</f>
        <v>358</v>
      </c>
      <c r="H50" s="1114">
        <f>1044.4-238.7</f>
        <v>805.7</v>
      </c>
      <c r="I50" s="1115">
        <f>542.2-273.5</f>
        <v>268.7</v>
      </c>
      <c r="J50" s="1486" t="s">
        <v>354</v>
      </c>
      <c r="K50" s="1619">
        <v>18</v>
      </c>
      <c r="L50" s="1674">
        <v>60</v>
      </c>
      <c r="M50" s="1675">
        <v>100</v>
      </c>
    </row>
    <row r="51" spans="1:13" ht="28.5" customHeight="1" x14ac:dyDescent="0.25">
      <c r="A51" s="1048"/>
      <c r="B51" s="127"/>
      <c r="C51" s="1773"/>
      <c r="D51" s="1776"/>
      <c r="E51" s="1045" t="s">
        <v>418</v>
      </c>
      <c r="F51" s="1124" t="s">
        <v>386</v>
      </c>
      <c r="G51" s="1128">
        <v>100</v>
      </c>
      <c r="H51" s="1114">
        <v>647.4</v>
      </c>
      <c r="I51" s="1129">
        <v>529.20000000000005</v>
      </c>
      <c r="J51" s="493" t="s">
        <v>172</v>
      </c>
      <c r="K51" s="973">
        <v>5</v>
      </c>
      <c r="L51" s="678">
        <v>5</v>
      </c>
      <c r="M51" s="722"/>
    </row>
    <row r="52" spans="1:13" ht="22.5" customHeight="1" x14ac:dyDescent="0.25">
      <c r="A52" s="65"/>
      <c r="B52" s="127"/>
      <c r="C52" s="1773"/>
      <c r="D52" s="1714" t="s">
        <v>253</v>
      </c>
      <c r="E52" s="860" t="s">
        <v>178</v>
      </c>
      <c r="F52" s="1119" t="s">
        <v>381</v>
      </c>
      <c r="G52" s="1113"/>
      <c r="H52" s="1110">
        <f>432-150</f>
        <v>282</v>
      </c>
      <c r="I52" s="1115">
        <v>216</v>
      </c>
      <c r="J52" s="1780" t="s">
        <v>87</v>
      </c>
      <c r="K52" s="991">
        <v>15</v>
      </c>
      <c r="L52" s="558">
        <v>70</v>
      </c>
      <c r="M52" s="993">
        <v>100</v>
      </c>
    </row>
    <row r="53" spans="1:13" ht="22.5" customHeight="1" x14ac:dyDescent="0.25">
      <c r="A53" s="65"/>
      <c r="B53" s="127"/>
      <c r="C53" s="1773"/>
      <c r="D53" s="1756"/>
      <c r="E53" s="436" t="s">
        <v>41</v>
      </c>
      <c r="F53" s="1116" t="s">
        <v>389</v>
      </c>
      <c r="G53" s="1113">
        <v>194.3</v>
      </c>
      <c r="H53" s="1114"/>
      <c r="I53" s="1115"/>
      <c r="J53" s="1781"/>
      <c r="K53" s="392"/>
      <c r="L53" s="193"/>
      <c r="M53" s="1054"/>
    </row>
    <row r="54" spans="1:13" ht="15.5" customHeight="1" x14ac:dyDescent="0.25">
      <c r="A54" s="65"/>
      <c r="B54" s="127"/>
      <c r="C54" s="1773"/>
      <c r="D54" s="1756"/>
      <c r="E54" s="1045" t="s">
        <v>418</v>
      </c>
      <c r="F54" s="1116" t="s">
        <v>381</v>
      </c>
      <c r="G54" s="1113">
        <v>21.7</v>
      </c>
      <c r="H54" s="1114"/>
      <c r="I54" s="1115"/>
      <c r="J54" s="1781"/>
      <c r="K54" s="392"/>
      <c r="L54" s="193"/>
      <c r="M54" s="1054"/>
    </row>
    <row r="55" spans="1:13" ht="15.5" customHeight="1" x14ac:dyDescent="0.25">
      <c r="A55" s="65"/>
      <c r="B55" s="127"/>
      <c r="C55" s="1773"/>
      <c r="D55" s="1756"/>
      <c r="E55" s="1057"/>
      <c r="F55" s="1116" t="s">
        <v>391</v>
      </c>
      <c r="G55" s="1113">
        <v>150</v>
      </c>
      <c r="H55" s="1114"/>
      <c r="I55" s="1115"/>
      <c r="J55" s="1781"/>
      <c r="K55" s="392"/>
      <c r="L55" s="193"/>
      <c r="M55" s="1054"/>
    </row>
    <row r="56" spans="1:13" ht="15.5" customHeight="1" x14ac:dyDescent="0.25">
      <c r="A56" s="65"/>
      <c r="B56" s="127"/>
      <c r="C56" s="1774"/>
      <c r="D56" s="1715"/>
      <c r="E56" s="1057"/>
      <c r="F56" s="1124" t="s">
        <v>390</v>
      </c>
      <c r="G56" s="1128">
        <v>125</v>
      </c>
      <c r="H56" s="1126">
        <v>250</v>
      </c>
      <c r="I56" s="1129">
        <v>125</v>
      </c>
      <c r="J56" s="1782"/>
      <c r="K56" s="968"/>
      <c r="L56" s="544"/>
      <c r="M56" s="1055"/>
    </row>
    <row r="57" spans="1:13" ht="15" customHeight="1" x14ac:dyDescent="0.25">
      <c r="A57" s="1789"/>
      <c r="B57" s="1790"/>
      <c r="C57" s="1791" t="s">
        <v>183</v>
      </c>
      <c r="D57" s="1766" t="s">
        <v>49</v>
      </c>
      <c r="E57" s="845" t="s">
        <v>178</v>
      </c>
      <c r="F57" s="1119" t="s">
        <v>381</v>
      </c>
      <c r="G57" s="1109">
        <f>1003.8-697.4-161.5-144.9+21.7</f>
        <v>21.7</v>
      </c>
      <c r="H57" s="1110"/>
      <c r="I57" s="1111"/>
      <c r="J57" s="1777" t="s">
        <v>404</v>
      </c>
      <c r="K57" s="336">
        <v>100</v>
      </c>
      <c r="L57" s="277"/>
      <c r="M57" s="137"/>
    </row>
    <row r="58" spans="1:13" ht="15" customHeight="1" x14ac:dyDescent="0.25">
      <c r="A58" s="1789"/>
      <c r="B58" s="1790"/>
      <c r="C58" s="1792"/>
      <c r="D58" s="1767"/>
      <c r="E58" s="859" t="s">
        <v>41</v>
      </c>
      <c r="F58" s="1116" t="s">
        <v>392</v>
      </c>
      <c r="G58" s="1113">
        <v>358</v>
      </c>
      <c r="H58" s="1114"/>
      <c r="I58" s="1118"/>
      <c r="J58" s="1778"/>
      <c r="K58" s="317"/>
      <c r="L58" s="328"/>
      <c r="M58" s="138"/>
    </row>
    <row r="59" spans="1:13" ht="17.25" customHeight="1" x14ac:dyDescent="0.25">
      <c r="A59" s="1789"/>
      <c r="B59" s="1790"/>
      <c r="C59" s="1792"/>
      <c r="D59" s="1767"/>
      <c r="E59" s="1045" t="s">
        <v>418</v>
      </c>
      <c r="F59" s="1116" t="s">
        <v>381</v>
      </c>
      <c r="G59" s="1113">
        <f>154.8+697.4-213.1-21.7</f>
        <v>617.4</v>
      </c>
      <c r="H59" s="1114"/>
      <c r="I59" s="1118"/>
      <c r="J59" s="1778"/>
      <c r="K59" s="317"/>
      <c r="L59" s="328"/>
      <c r="M59" s="138"/>
    </row>
    <row r="60" spans="1:13" ht="15.65" customHeight="1" x14ac:dyDescent="0.25">
      <c r="A60" s="1789"/>
      <c r="B60" s="1790"/>
      <c r="C60" s="1792"/>
      <c r="D60" s="1767"/>
      <c r="E60" s="125"/>
      <c r="F60" s="1116" t="s">
        <v>382</v>
      </c>
      <c r="G60" s="1117">
        <v>475.5</v>
      </c>
      <c r="H60" s="1114"/>
      <c r="I60" s="1118"/>
      <c r="J60" s="1794"/>
      <c r="K60" s="348"/>
      <c r="L60" s="328"/>
      <c r="M60" s="138"/>
    </row>
    <row r="61" spans="1:13" ht="17.25" customHeight="1" x14ac:dyDescent="0.25">
      <c r="A61" s="1789"/>
      <c r="B61" s="1790"/>
      <c r="C61" s="1792"/>
      <c r="D61" s="1767"/>
      <c r="E61" s="125"/>
      <c r="F61" s="1124" t="s">
        <v>386</v>
      </c>
      <c r="G61" s="1128">
        <v>200</v>
      </c>
      <c r="H61" s="1126"/>
      <c r="I61" s="1127"/>
      <c r="J61" s="1496"/>
      <c r="K61" s="314"/>
      <c r="L61" s="278"/>
      <c r="M61" s="135"/>
    </row>
    <row r="62" spans="1:13" ht="14.25" customHeight="1" x14ac:dyDescent="0.25">
      <c r="A62" s="1789"/>
      <c r="B62" s="1790"/>
      <c r="C62" s="1792"/>
      <c r="D62" s="1775" t="s">
        <v>107</v>
      </c>
      <c r="E62" s="92" t="s">
        <v>178</v>
      </c>
      <c r="F62" s="1119" t="s">
        <v>381</v>
      </c>
      <c r="G62" s="1109">
        <f>300-119.8</f>
        <v>180.2</v>
      </c>
      <c r="H62" s="1110">
        <v>300</v>
      </c>
      <c r="I62" s="1111">
        <f>431.4-380.1-51.3</f>
        <v>0</v>
      </c>
      <c r="J62" s="1797" t="s">
        <v>276</v>
      </c>
      <c r="K62" s="316">
        <v>100</v>
      </c>
      <c r="L62" s="329"/>
      <c r="M62" s="139"/>
    </row>
    <row r="63" spans="1:13" ht="14.25" customHeight="1" x14ac:dyDescent="0.25">
      <c r="A63" s="1789"/>
      <c r="B63" s="1790"/>
      <c r="C63" s="1792"/>
      <c r="D63" s="1776"/>
      <c r="E63" s="859" t="s">
        <v>41</v>
      </c>
      <c r="F63" s="1116" t="s">
        <v>389</v>
      </c>
      <c r="G63" s="1113">
        <v>119.8</v>
      </c>
      <c r="H63" s="1114"/>
      <c r="I63" s="1118"/>
      <c r="J63" s="1798"/>
      <c r="K63" s="317"/>
      <c r="L63" s="328"/>
      <c r="M63" s="138"/>
    </row>
    <row r="64" spans="1:13" ht="15.75" customHeight="1" x14ac:dyDescent="0.25">
      <c r="A64" s="1789"/>
      <c r="B64" s="1790"/>
      <c r="C64" s="1792"/>
      <c r="D64" s="1776"/>
      <c r="E64" s="1045" t="s">
        <v>418</v>
      </c>
      <c r="F64" s="1116" t="s">
        <v>386</v>
      </c>
      <c r="G64" s="1113">
        <f>800+80</f>
        <v>880</v>
      </c>
      <c r="H64" s="1114">
        <v>1000</v>
      </c>
      <c r="I64" s="1118">
        <f>2100-100-27.7</f>
        <v>1972.3</v>
      </c>
      <c r="J64" s="1799"/>
      <c r="K64" s="1494"/>
      <c r="L64" s="463"/>
      <c r="M64" s="440"/>
    </row>
    <row r="65" spans="1:13" ht="15.75" customHeight="1" x14ac:dyDescent="0.25">
      <c r="A65" s="1789"/>
      <c r="B65" s="1790"/>
      <c r="C65" s="1792"/>
      <c r="D65" s="1033"/>
      <c r="E65" s="439"/>
      <c r="F65" s="1116"/>
      <c r="G65" s="1113"/>
      <c r="H65" s="1114"/>
      <c r="I65" s="1118"/>
      <c r="J65" s="1800" t="s">
        <v>357</v>
      </c>
      <c r="K65" s="1802">
        <v>50</v>
      </c>
      <c r="L65" s="1783">
        <v>100</v>
      </c>
      <c r="M65" s="1786"/>
    </row>
    <row r="66" spans="1:13" ht="15.75" customHeight="1" x14ac:dyDescent="0.25">
      <c r="A66" s="1789"/>
      <c r="B66" s="1790"/>
      <c r="C66" s="1792"/>
      <c r="D66" s="1033"/>
      <c r="E66" s="439"/>
      <c r="F66" s="1116"/>
      <c r="G66" s="1113"/>
      <c r="H66" s="1114"/>
      <c r="I66" s="1118"/>
      <c r="J66" s="1798"/>
      <c r="K66" s="1803"/>
      <c r="L66" s="1784"/>
      <c r="M66" s="1787"/>
    </row>
    <row r="67" spans="1:13" ht="20.25" customHeight="1" x14ac:dyDescent="0.25">
      <c r="A67" s="1789"/>
      <c r="B67" s="1790"/>
      <c r="C67" s="1793"/>
      <c r="D67" s="1043"/>
      <c r="E67" s="163"/>
      <c r="F67" s="1130"/>
      <c r="G67" s="1125"/>
      <c r="H67" s="1126"/>
      <c r="I67" s="1127"/>
      <c r="J67" s="1801"/>
      <c r="K67" s="1804"/>
      <c r="L67" s="1785"/>
      <c r="M67" s="1788"/>
    </row>
    <row r="68" spans="1:13" ht="14.25" customHeight="1" x14ac:dyDescent="0.25">
      <c r="A68" s="1025"/>
      <c r="B68" s="1026"/>
      <c r="C68" s="75"/>
      <c r="D68" s="1756" t="s">
        <v>405</v>
      </c>
      <c r="E68" s="843" t="s">
        <v>178</v>
      </c>
      <c r="F68" s="1116" t="s">
        <v>386</v>
      </c>
      <c r="G68" s="1113">
        <f>29.9+8.6</f>
        <v>38.5</v>
      </c>
      <c r="H68" s="1114"/>
      <c r="I68" s="1118"/>
      <c r="J68" s="1777" t="s">
        <v>87</v>
      </c>
      <c r="K68" s="200">
        <v>100</v>
      </c>
      <c r="L68" s="209"/>
      <c r="M68" s="141"/>
    </row>
    <row r="69" spans="1:13" ht="14.25" customHeight="1" x14ac:dyDescent="0.25">
      <c r="A69" s="1025"/>
      <c r="B69" s="1026"/>
      <c r="C69" s="75"/>
      <c r="D69" s="1756"/>
      <c r="E69" s="859" t="s">
        <v>41</v>
      </c>
      <c r="F69" s="1116" t="s">
        <v>381</v>
      </c>
      <c r="G69" s="1113">
        <f>9.9+10.1</f>
        <v>20</v>
      </c>
      <c r="H69" s="1114"/>
      <c r="I69" s="1118"/>
      <c r="J69" s="1778"/>
      <c r="K69" s="200"/>
      <c r="L69" s="209"/>
      <c r="M69" s="141"/>
    </row>
    <row r="70" spans="1:13" ht="14.25" customHeight="1" x14ac:dyDescent="0.25">
      <c r="A70" s="1025"/>
      <c r="B70" s="1026"/>
      <c r="C70" s="75"/>
      <c r="D70" s="1756"/>
      <c r="E70" s="1045" t="s">
        <v>418</v>
      </c>
      <c r="F70" s="1116" t="s">
        <v>387</v>
      </c>
      <c r="G70" s="1113">
        <v>33.700000000000003</v>
      </c>
      <c r="H70" s="1114"/>
      <c r="I70" s="1118"/>
      <c r="J70" s="1495"/>
      <c r="K70" s="200"/>
      <c r="L70" s="209"/>
      <c r="M70" s="141"/>
    </row>
    <row r="71" spans="1:13" ht="14.25" customHeight="1" x14ac:dyDescent="0.25">
      <c r="A71" s="1025"/>
      <c r="B71" s="1026"/>
      <c r="C71" s="75"/>
      <c r="D71" s="1756"/>
      <c r="E71" s="1057"/>
      <c r="F71" s="1116" t="s">
        <v>393</v>
      </c>
      <c r="G71" s="1113">
        <v>59.1</v>
      </c>
      <c r="H71" s="1114"/>
      <c r="I71" s="1118"/>
      <c r="J71" s="1495"/>
      <c r="K71" s="200"/>
      <c r="L71" s="209"/>
      <c r="M71" s="141"/>
    </row>
    <row r="72" spans="1:13" ht="14.25" customHeight="1" x14ac:dyDescent="0.25">
      <c r="A72" s="1025"/>
      <c r="B72" s="1026"/>
      <c r="C72" s="75"/>
      <c r="D72" s="1756"/>
      <c r="E72" s="1057"/>
      <c r="F72" s="1116" t="s">
        <v>388</v>
      </c>
      <c r="G72" s="1113">
        <v>16.2</v>
      </c>
      <c r="H72" s="1114"/>
      <c r="I72" s="1118"/>
      <c r="J72" s="1495"/>
      <c r="K72" s="200"/>
      <c r="L72" s="209"/>
      <c r="M72" s="141"/>
    </row>
    <row r="73" spans="1:13" ht="28.5" customHeight="1" x14ac:dyDescent="0.25">
      <c r="A73" s="1025"/>
      <c r="B73" s="1026"/>
      <c r="C73" s="75"/>
      <c r="D73" s="1795" t="s">
        <v>255</v>
      </c>
      <c r="E73" s="1044" t="s">
        <v>41</v>
      </c>
      <c r="F73" s="1119" t="s">
        <v>381</v>
      </c>
      <c r="G73" s="1131">
        <f>30-13.7</f>
        <v>16.3</v>
      </c>
      <c r="H73" s="1110">
        <v>50</v>
      </c>
      <c r="I73" s="1111">
        <v>103.2</v>
      </c>
      <c r="J73" s="1500" t="s">
        <v>256</v>
      </c>
      <c r="K73" s="359"/>
      <c r="L73" s="208">
        <v>1</v>
      </c>
      <c r="M73" s="563"/>
    </row>
    <row r="74" spans="1:13" ht="17" customHeight="1" x14ac:dyDescent="0.25">
      <c r="A74" s="1025"/>
      <c r="B74" s="1026"/>
      <c r="C74" s="75"/>
      <c r="D74" s="1796"/>
      <c r="E74" s="449"/>
      <c r="F74" s="1124"/>
      <c r="G74" s="1126"/>
      <c r="H74" s="1126"/>
      <c r="I74" s="1129"/>
      <c r="J74" s="1498" t="s">
        <v>333</v>
      </c>
      <c r="K74" s="566"/>
      <c r="L74" s="207"/>
      <c r="M74" s="445"/>
    </row>
    <row r="75" spans="1:13" ht="17.149999999999999" customHeight="1" x14ac:dyDescent="0.25">
      <c r="A75" s="1025"/>
      <c r="B75" s="1026"/>
      <c r="C75" s="1027"/>
      <c r="D75" s="1756" t="s">
        <v>156</v>
      </c>
      <c r="E75" s="843" t="s">
        <v>178</v>
      </c>
      <c r="F75" s="1112" t="s">
        <v>381</v>
      </c>
      <c r="G75" s="1113">
        <f>191.4-41.4</f>
        <v>150</v>
      </c>
      <c r="H75" s="1114">
        <f>250-50</f>
        <v>200</v>
      </c>
      <c r="I75" s="1118">
        <f>250-50</f>
        <v>200</v>
      </c>
      <c r="J75" s="1501" t="s">
        <v>63</v>
      </c>
      <c r="K75" s="441"/>
      <c r="L75" s="442"/>
      <c r="M75" s="443"/>
    </row>
    <row r="76" spans="1:13" ht="14.25" customHeight="1" x14ac:dyDescent="0.25">
      <c r="A76" s="1025"/>
      <c r="B76" s="1026"/>
      <c r="C76" s="1027"/>
      <c r="D76" s="1756"/>
      <c r="E76" s="859" t="s">
        <v>41</v>
      </c>
      <c r="F76" s="1132" t="s">
        <v>386</v>
      </c>
      <c r="G76" s="1125">
        <v>200</v>
      </c>
      <c r="H76" s="1126">
        <v>200</v>
      </c>
      <c r="I76" s="1127">
        <v>200</v>
      </c>
      <c r="J76" s="1502" t="s">
        <v>175</v>
      </c>
      <c r="K76" s="200">
        <v>35</v>
      </c>
      <c r="L76" s="203">
        <v>85</v>
      </c>
      <c r="M76" s="141">
        <v>100</v>
      </c>
    </row>
    <row r="77" spans="1:13" ht="26.75" customHeight="1" x14ac:dyDescent="0.25">
      <c r="A77" s="1035"/>
      <c r="B77" s="1036"/>
      <c r="C77" s="72"/>
      <c r="D77" s="1764" t="s">
        <v>226</v>
      </c>
      <c r="E77" s="109"/>
      <c r="F77" s="1119" t="s">
        <v>381</v>
      </c>
      <c r="G77" s="1109">
        <f>381.6-100</f>
        <v>281.60000000000002</v>
      </c>
      <c r="H77" s="1110">
        <v>250</v>
      </c>
      <c r="I77" s="1111">
        <v>300.10000000000002</v>
      </c>
      <c r="J77" s="1503" t="s">
        <v>177</v>
      </c>
      <c r="K77" s="312">
        <v>100</v>
      </c>
      <c r="L77" s="208"/>
      <c r="M77" s="143"/>
    </row>
    <row r="78" spans="1:13" ht="29.25" customHeight="1" x14ac:dyDescent="0.25">
      <c r="A78" s="1035"/>
      <c r="B78" s="1036"/>
      <c r="C78" s="72"/>
      <c r="D78" s="1807"/>
      <c r="E78" s="783"/>
      <c r="F78" s="1116" t="s">
        <v>388</v>
      </c>
      <c r="G78" s="1113">
        <v>159.9</v>
      </c>
      <c r="H78" s="1114">
        <v>24</v>
      </c>
      <c r="I78" s="1118"/>
      <c r="J78" s="1486" t="s">
        <v>176</v>
      </c>
      <c r="K78" s="196">
        <v>100</v>
      </c>
      <c r="L78" s="275"/>
      <c r="M78" s="198"/>
    </row>
    <row r="79" spans="1:13" ht="17" customHeight="1" x14ac:dyDescent="0.25">
      <c r="A79" s="1035"/>
      <c r="B79" s="1026"/>
      <c r="C79" s="72"/>
      <c r="D79" s="1037"/>
      <c r="E79" s="783"/>
      <c r="F79" s="1112" t="s">
        <v>386</v>
      </c>
      <c r="G79" s="1113">
        <v>100</v>
      </c>
      <c r="H79" s="1114"/>
      <c r="I79" s="1118"/>
      <c r="J79" s="1486" t="s">
        <v>319</v>
      </c>
      <c r="K79" s="196">
        <v>100</v>
      </c>
      <c r="L79" s="275"/>
      <c r="M79" s="198"/>
    </row>
    <row r="80" spans="1:13" ht="16.5" customHeight="1" x14ac:dyDescent="0.25">
      <c r="A80" s="1035"/>
      <c r="B80" s="1026"/>
      <c r="C80" s="72"/>
      <c r="D80" s="1037"/>
      <c r="E80" s="783"/>
      <c r="F80" s="1116" t="s">
        <v>382</v>
      </c>
      <c r="G80" s="1117">
        <v>42.3</v>
      </c>
      <c r="H80" s="1114"/>
      <c r="I80" s="1118"/>
      <c r="J80" s="1486" t="s">
        <v>320</v>
      </c>
      <c r="K80" s="196">
        <v>100</v>
      </c>
      <c r="L80" s="275"/>
      <c r="M80" s="198"/>
    </row>
    <row r="81" spans="1:19" ht="18" customHeight="1" x14ac:dyDescent="0.25">
      <c r="A81" s="1035"/>
      <c r="B81" s="1026"/>
      <c r="C81" s="72"/>
      <c r="D81" s="1037"/>
      <c r="E81" s="849"/>
      <c r="F81" s="1133"/>
      <c r="G81" s="1134"/>
      <c r="H81" s="1126"/>
      <c r="I81" s="1127"/>
      <c r="J81" s="1498" t="s">
        <v>321</v>
      </c>
      <c r="K81" s="566">
        <v>30</v>
      </c>
      <c r="L81" s="203">
        <v>100</v>
      </c>
      <c r="M81" s="445"/>
    </row>
    <row r="82" spans="1:19" ht="16.5" customHeight="1" x14ac:dyDescent="0.25">
      <c r="A82" s="1025"/>
      <c r="B82" s="1026"/>
      <c r="C82" s="1027"/>
      <c r="D82" s="1714" t="s">
        <v>114</v>
      </c>
      <c r="E82" s="859" t="s">
        <v>41</v>
      </c>
      <c r="F82" s="1119" t="s">
        <v>381</v>
      </c>
      <c r="G82" s="1135"/>
      <c r="H82" s="1114"/>
      <c r="I82" s="1118"/>
      <c r="J82" s="1490" t="s">
        <v>40</v>
      </c>
      <c r="K82" s="317"/>
      <c r="L82" s="277"/>
      <c r="M82" s="137"/>
    </row>
    <row r="83" spans="1:19" ht="27" customHeight="1" x14ac:dyDescent="0.25">
      <c r="A83" s="1025"/>
      <c r="B83" s="1026"/>
      <c r="C83" s="1027"/>
      <c r="D83" s="1810"/>
      <c r="E83" s="167"/>
      <c r="F83" s="1132" t="s">
        <v>386</v>
      </c>
      <c r="G83" s="1125"/>
      <c r="H83" s="1126"/>
      <c r="I83" s="1127">
        <f>1900-1400-450</f>
        <v>50</v>
      </c>
      <c r="J83" s="1504" t="s">
        <v>257</v>
      </c>
      <c r="K83" s="609"/>
      <c r="L83" s="330"/>
      <c r="M83" s="462">
        <v>1</v>
      </c>
    </row>
    <row r="84" spans="1:19" ht="27.75" customHeight="1" x14ac:dyDescent="0.25">
      <c r="A84" s="1025"/>
      <c r="B84" s="1026"/>
      <c r="C84" s="1027"/>
      <c r="D84" s="1714" t="s">
        <v>120</v>
      </c>
      <c r="E84" s="859" t="s">
        <v>41</v>
      </c>
      <c r="F84" s="1136" t="s">
        <v>381</v>
      </c>
      <c r="G84" s="1131">
        <v>13.3</v>
      </c>
      <c r="H84" s="1110">
        <v>3.2</v>
      </c>
      <c r="I84" s="1137">
        <v>3.2</v>
      </c>
      <c r="J84" s="1505" t="s">
        <v>40</v>
      </c>
      <c r="K84" s="342">
        <v>1</v>
      </c>
      <c r="L84" s="300"/>
      <c r="M84" s="290"/>
    </row>
    <row r="85" spans="1:19" ht="27.75" customHeight="1" x14ac:dyDescent="0.25">
      <c r="A85" s="1035"/>
      <c r="B85" s="1026"/>
      <c r="C85" s="75"/>
      <c r="D85" s="1756"/>
      <c r="E85" s="1052"/>
      <c r="F85" s="1138" t="s">
        <v>390</v>
      </c>
      <c r="G85" s="1139"/>
      <c r="H85" s="1114">
        <v>45.2</v>
      </c>
      <c r="I85" s="1115">
        <v>45.1</v>
      </c>
      <c r="J85" s="1924" t="s">
        <v>259</v>
      </c>
      <c r="L85" s="209">
        <v>50</v>
      </c>
      <c r="M85" s="141">
        <v>100</v>
      </c>
    </row>
    <row r="86" spans="1:19" ht="39.75" customHeight="1" x14ac:dyDescent="0.25">
      <c r="A86" s="1035"/>
      <c r="B86" s="1026"/>
      <c r="C86" s="75"/>
      <c r="D86" s="1715"/>
      <c r="E86" s="449"/>
      <c r="F86" s="1130" t="s">
        <v>384</v>
      </c>
      <c r="G86" s="1126"/>
      <c r="H86" s="1126">
        <v>15.1</v>
      </c>
      <c r="I86" s="1129">
        <v>15</v>
      </c>
      <c r="J86" s="1925"/>
      <c r="K86" s="350"/>
      <c r="L86" s="550"/>
      <c r="M86" s="791"/>
    </row>
    <row r="87" spans="1:19" ht="17.25" customHeight="1" x14ac:dyDescent="0.25">
      <c r="A87" s="1025"/>
      <c r="B87" s="1036"/>
      <c r="C87" s="72"/>
      <c r="D87" s="1805" t="s">
        <v>110</v>
      </c>
      <c r="E87" s="1811" t="s">
        <v>118</v>
      </c>
      <c r="F87" s="1119" t="s">
        <v>388</v>
      </c>
      <c r="G87" s="1113">
        <v>4.9000000000000004</v>
      </c>
      <c r="H87" s="1114"/>
      <c r="I87" s="1118"/>
      <c r="J87" s="1497" t="s">
        <v>40</v>
      </c>
      <c r="K87" s="200">
        <v>1</v>
      </c>
      <c r="L87" s="564"/>
      <c r="M87" s="589"/>
    </row>
    <row r="88" spans="1:19" ht="18" customHeight="1" x14ac:dyDescent="0.25">
      <c r="A88" s="1025"/>
      <c r="B88" s="1036"/>
      <c r="C88" s="71"/>
      <c r="D88" s="1806"/>
      <c r="E88" s="1812"/>
      <c r="F88" s="1124"/>
      <c r="G88" s="1140"/>
      <c r="H88" s="1141"/>
      <c r="I88" s="1142"/>
      <c r="J88" s="1498"/>
      <c r="K88" s="197"/>
      <c r="L88" s="207"/>
      <c r="M88" s="142"/>
    </row>
    <row r="89" spans="1:19" ht="17.25" customHeight="1" x14ac:dyDescent="0.25">
      <c r="A89" s="1456"/>
      <c r="B89" s="1457"/>
      <c r="C89" s="72"/>
      <c r="D89" s="1805" t="s">
        <v>460</v>
      </c>
      <c r="E89" s="1811"/>
      <c r="F89" s="1119" t="s">
        <v>388</v>
      </c>
      <c r="G89" s="1113">
        <v>4.9000000000000004</v>
      </c>
      <c r="H89" s="1114"/>
      <c r="I89" s="1118"/>
      <c r="J89" s="1490" t="s">
        <v>40</v>
      </c>
      <c r="K89" s="200">
        <v>1</v>
      </c>
      <c r="L89" s="564"/>
      <c r="M89" s="465"/>
    </row>
    <row r="90" spans="1:19" ht="18" customHeight="1" x14ac:dyDescent="0.25">
      <c r="A90" s="1456"/>
      <c r="B90" s="1457"/>
      <c r="C90" s="71"/>
      <c r="D90" s="1806"/>
      <c r="E90" s="1812"/>
      <c r="F90" s="1124"/>
      <c r="G90" s="1140"/>
      <c r="H90" s="1141"/>
      <c r="I90" s="1142"/>
      <c r="J90" s="1499" t="s">
        <v>459</v>
      </c>
      <c r="K90" s="566"/>
      <c r="L90" s="203">
        <v>100</v>
      </c>
      <c r="M90" s="142"/>
    </row>
    <row r="91" spans="1:19" ht="55.5" customHeight="1" x14ac:dyDescent="0.25">
      <c r="A91" s="1025"/>
      <c r="B91" s="1026"/>
      <c r="C91" s="71"/>
      <c r="D91" s="1043" t="s">
        <v>260</v>
      </c>
      <c r="E91" s="86"/>
      <c r="F91" s="1143" t="s">
        <v>381</v>
      </c>
      <c r="G91" s="1125"/>
      <c r="H91" s="1126">
        <v>125</v>
      </c>
      <c r="I91" s="1142"/>
      <c r="J91" s="1498" t="s">
        <v>261</v>
      </c>
      <c r="K91" s="200"/>
      <c r="L91" s="209">
        <v>100</v>
      </c>
      <c r="M91" s="141"/>
    </row>
    <row r="92" spans="1:19" ht="16.5" customHeight="1" x14ac:dyDescent="0.25">
      <c r="A92" s="1025"/>
      <c r="B92" s="1026"/>
      <c r="C92" s="71"/>
      <c r="D92" s="1776" t="s">
        <v>154</v>
      </c>
      <c r="E92" s="783"/>
      <c r="F92" s="1116" t="s">
        <v>381</v>
      </c>
      <c r="G92" s="1113">
        <v>28</v>
      </c>
      <c r="H92" s="1114">
        <v>28</v>
      </c>
      <c r="I92" s="1118">
        <v>28</v>
      </c>
      <c r="J92" s="1778" t="s">
        <v>83</v>
      </c>
      <c r="K92" s="211">
        <v>100</v>
      </c>
      <c r="L92" s="564">
        <v>100</v>
      </c>
      <c r="M92" s="140">
        <v>100</v>
      </c>
    </row>
    <row r="93" spans="1:19" ht="16.5" customHeight="1" x14ac:dyDescent="0.25">
      <c r="A93" s="1025"/>
      <c r="B93" s="1026"/>
      <c r="C93" s="71"/>
      <c r="D93" s="1807"/>
      <c r="E93" s="783"/>
      <c r="F93" s="1116"/>
      <c r="G93" s="1113"/>
      <c r="H93" s="1114"/>
      <c r="I93" s="1118"/>
      <c r="J93" s="1778"/>
      <c r="K93" s="200"/>
      <c r="L93" s="209"/>
      <c r="M93" s="141"/>
    </row>
    <row r="94" spans="1:19" s="6" customFormat="1" ht="21" customHeight="1" x14ac:dyDescent="0.25">
      <c r="A94" s="1025"/>
      <c r="B94" s="1026"/>
      <c r="C94" s="1027"/>
      <c r="D94" s="1808"/>
      <c r="E94" s="784"/>
      <c r="F94" s="1144"/>
      <c r="G94" s="1145"/>
      <c r="H94" s="1146"/>
      <c r="I94" s="1147"/>
      <c r="J94" s="1809"/>
      <c r="K94" s="318"/>
      <c r="L94" s="331"/>
      <c r="M94" s="145"/>
      <c r="P94" s="1106"/>
      <c r="Q94" s="1106"/>
      <c r="R94" s="1106"/>
      <c r="S94" s="1106"/>
    </row>
    <row r="95" spans="1:19" ht="15.75" customHeight="1" x14ac:dyDescent="0.25">
      <c r="A95" s="1025"/>
      <c r="B95" s="1036"/>
      <c r="C95" s="72"/>
      <c r="D95" s="169" t="s">
        <v>201</v>
      </c>
      <c r="E95" s="877" t="s">
        <v>418</v>
      </c>
      <c r="F95" s="111"/>
      <c r="G95" s="234"/>
      <c r="H95" s="242"/>
      <c r="I95" s="146"/>
      <c r="J95" s="1506"/>
      <c r="K95" s="234"/>
      <c r="L95" s="242"/>
      <c r="M95" s="146"/>
    </row>
    <row r="96" spans="1:19" ht="15.65" customHeight="1" x14ac:dyDescent="0.25">
      <c r="A96" s="1025"/>
      <c r="B96" s="1036"/>
      <c r="C96" s="72"/>
      <c r="D96" s="492" t="s">
        <v>295</v>
      </c>
      <c r="E96" s="879"/>
      <c r="F96" s="20"/>
      <c r="G96" s="32"/>
      <c r="H96" s="237"/>
      <c r="I96" s="1056"/>
      <c r="J96" s="1507"/>
      <c r="K96" s="505"/>
      <c r="L96" s="236"/>
      <c r="M96" s="433"/>
    </row>
    <row r="97" spans="1:13" ht="26.25" customHeight="1" x14ac:dyDescent="0.25">
      <c r="A97" s="1025"/>
      <c r="B97" s="1036"/>
      <c r="C97" s="72"/>
      <c r="D97" s="99" t="s">
        <v>300</v>
      </c>
      <c r="E97" s="783"/>
      <c r="F97" s="1155" t="s">
        <v>381</v>
      </c>
      <c r="G97" s="1149">
        <v>20</v>
      </c>
      <c r="H97" s="1149">
        <v>20</v>
      </c>
      <c r="I97" s="1150">
        <v>20</v>
      </c>
      <c r="J97" s="1507" t="s">
        <v>55</v>
      </c>
      <c r="K97" s="505">
        <v>4.3</v>
      </c>
      <c r="L97" s="236">
        <v>2.6</v>
      </c>
      <c r="M97" s="433">
        <v>2.6</v>
      </c>
    </row>
    <row r="98" spans="1:13" ht="27" customHeight="1" x14ac:dyDescent="0.25">
      <c r="A98" s="1025"/>
      <c r="B98" s="1036"/>
      <c r="C98" s="75"/>
      <c r="D98" s="51" t="s">
        <v>296</v>
      </c>
      <c r="E98" s="783"/>
      <c r="F98" s="1116" t="s">
        <v>386</v>
      </c>
      <c r="G98" s="1113">
        <f>590+1.7+3.5</f>
        <v>595.20000000000005</v>
      </c>
      <c r="H98" s="1114">
        <v>590</v>
      </c>
      <c r="I98" s="1118">
        <v>590</v>
      </c>
      <c r="J98" s="1817"/>
      <c r="K98" s="32"/>
      <c r="L98" s="1038"/>
      <c r="M98" s="1056"/>
    </row>
    <row r="99" spans="1:13" ht="15.65" customHeight="1" x14ac:dyDescent="0.25">
      <c r="A99" s="1025"/>
      <c r="B99" s="1036"/>
      <c r="C99" s="75"/>
      <c r="D99" s="99" t="s">
        <v>304</v>
      </c>
      <c r="E99" s="783"/>
      <c r="F99" s="1819"/>
      <c r="G99" s="1813"/>
      <c r="H99" s="1813"/>
      <c r="I99" s="1814"/>
      <c r="J99" s="1817"/>
      <c r="K99" s="1825"/>
      <c r="L99" s="1813"/>
      <c r="M99" s="1814"/>
    </row>
    <row r="100" spans="1:13" ht="15.65" customHeight="1" x14ac:dyDescent="0.25">
      <c r="A100" s="1473"/>
      <c r="B100" s="1474"/>
      <c r="C100" s="75"/>
      <c r="D100" s="1478" t="s">
        <v>374</v>
      </c>
      <c r="E100" s="783"/>
      <c r="F100" s="1819"/>
      <c r="G100" s="1813"/>
      <c r="H100" s="1813"/>
      <c r="I100" s="1814"/>
      <c r="J100" s="1817"/>
      <c r="K100" s="1825"/>
      <c r="L100" s="1813"/>
      <c r="M100" s="1814"/>
    </row>
    <row r="101" spans="1:13" ht="15.65" customHeight="1" x14ac:dyDescent="0.25">
      <c r="A101" s="1473"/>
      <c r="B101" s="1474"/>
      <c r="C101" s="75"/>
      <c r="D101" s="1479" t="s">
        <v>375</v>
      </c>
      <c r="E101" s="783"/>
      <c r="F101" s="1819"/>
      <c r="G101" s="1813"/>
      <c r="H101" s="1813"/>
      <c r="I101" s="1814"/>
      <c r="J101" s="1817"/>
      <c r="K101" s="1825"/>
      <c r="L101" s="1813"/>
      <c r="M101" s="1814"/>
    </row>
    <row r="102" spans="1:13" ht="15.65" customHeight="1" x14ac:dyDescent="0.25">
      <c r="A102" s="1473"/>
      <c r="B102" s="1474"/>
      <c r="C102" s="75"/>
      <c r="D102" s="1479" t="s">
        <v>486</v>
      </c>
      <c r="E102" s="783"/>
      <c r="F102" s="1819"/>
      <c r="G102" s="1813"/>
      <c r="H102" s="1813"/>
      <c r="I102" s="1814"/>
      <c r="J102" s="1817"/>
      <c r="K102" s="1825"/>
      <c r="L102" s="1813"/>
      <c r="M102" s="1814"/>
    </row>
    <row r="103" spans="1:13" ht="15.65" customHeight="1" x14ac:dyDescent="0.25">
      <c r="A103" s="1473"/>
      <c r="B103" s="1474"/>
      <c r="C103" s="75"/>
      <c r="D103" s="1480" t="s">
        <v>487</v>
      </c>
      <c r="E103" s="783"/>
      <c r="F103" s="1819"/>
      <c r="G103" s="1813"/>
      <c r="H103" s="1813"/>
      <c r="I103" s="1814"/>
      <c r="J103" s="1817"/>
      <c r="K103" s="1825"/>
      <c r="L103" s="1813"/>
      <c r="M103" s="1814"/>
    </row>
    <row r="104" spans="1:13" ht="15.65" customHeight="1" x14ac:dyDescent="0.25">
      <c r="A104" s="1473"/>
      <c r="B104" s="1474"/>
      <c r="C104" s="75"/>
      <c r="D104" s="1480" t="s">
        <v>491</v>
      </c>
      <c r="E104" s="783"/>
      <c r="F104" s="1819"/>
      <c r="G104" s="1813"/>
      <c r="H104" s="1813"/>
      <c r="I104" s="1814"/>
      <c r="J104" s="1817"/>
      <c r="K104" s="1825"/>
      <c r="L104" s="1813"/>
      <c r="M104" s="1814"/>
    </row>
    <row r="105" spans="1:13" ht="39" customHeight="1" x14ac:dyDescent="0.25">
      <c r="A105" s="1473"/>
      <c r="B105" s="1474"/>
      <c r="C105" s="75"/>
      <c r="D105" s="1481" t="s">
        <v>493</v>
      </c>
      <c r="E105" s="783"/>
      <c r="F105" s="1819"/>
      <c r="G105" s="1813"/>
      <c r="H105" s="1813"/>
      <c r="I105" s="1814"/>
      <c r="J105" s="1817"/>
      <c r="K105" s="1825"/>
      <c r="L105" s="1813"/>
      <c r="M105" s="1814"/>
    </row>
    <row r="106" spans="1:13" ht="15.65" customHeight="1" x14ac:dyDescent="0.25">
      <c r="A106" s="1025"/>
      <c r="B106" s="1036"/>
      <c r="C106" s="75"/>
      <c r="D106" s="772" t="s">
        <v>373</v>
      </c>
      <c r="E106" s="783"/>
      <c r="F106" s="1819"/>
      <c r="G106" s="1813"/>
      <c r="H106" s="1813"/>
      <c r="I106" s="1814"/>
      <c r="J106" s="1817"/>
      <c r="K106" s="1825"/>
      <c r="L106" s="1813"/>
      <c r="M106" s="1814"/>
    </row>
    <row r="107" spans="1:13" ht="15.65" customHeight="1" x14ac:dyDescent="0.25">
      <c r="A107" s="1025"/>
      <c r="B107" s="1036"/>
      <c r="C107" s="75"/>
      <c r="D107" s="1482" t="s">
        <v>488</v>
      </c>
      <c r="E107" s="783"/>
      <c r="F107" s="1819"/>
      <c r="G107" s="1813"/>
      <c r="H107" s="1813"/>
      <c r="I107" s="1814"/>
      <c r="J107" s="1817"/>
      <c r="K107" s="1825"/>
      <c r="L107" s="1813"/>
      <c r="M107" s="1814"/>
    </row>
    <row r="108" spans="1:13" ht="15.65" customHeight="1" x14ac:dyDescent="0.25">
      <c r="A108" s="1025"/>
      <c r="B108" s="1036"/>
      <c r="C108" s="75"/>
      <c r="D108" s="1479" t="s">
        <v>492</v>
      </c>
      <c r="E108" s="783"/>
      <c r="F108" s="1819"/>
      <c r="G108" s="1813"/>
      <c r="H108" s="1813"/>
      <c r="I108" s="1814"/>
      <c r="J108" s="1817"/>
      <c r="K108" s="1825"/>
      <c r="L108" s="1813"/>
      <c r="M108" s="1814"/>
    </row>
    <row r="109" spans="1:13" ht="15.65" customHeight="1" x14ac:dyDescent="0.25">
      <c r="A109" s="1025"/>
      <c r="B109" s="1036"/>
      <c r="C109" s="75"/>
      <c r="D109" s="774" t="s">
        <v>301</v>
      </c>
      <c r="E109" s="783"/>
      <c r="F109" s="1819"/>
      <c r="G109" s="1813"/>
      <c r="H109" s="1813"/>
      <c r="I109" s="1814"/>
      <c r="J109" s="1817"/>
      <c r="K109" s="1825"/>
      <c r="L109" s="1813"/>
      <c r="M109" s="1814"/>
    </row>
    <row r="110" spans="1:13" ht="15.65" customHeight="1" x14ac:dyDescent="0.25">
      <c r="A110" s="1025"/>
      <c r="B110" s="1036"/>
      <c r="C110" s="75"/>
      <c r="D110" s="775" t="s">
        <v>352</v>
      </c>
      <c r="E110" s="783"/>
      <c r="F110" s="1819"/>
      <c r="G110" s="1813"/>
      <c r="H110" s="1813"/>
      <c r="I110" s="1814"/>
      <c r="J110" s="1817"/>
      <c r="K110" s="1825"/>
      <c r="L110" s="1813"/>
      <c r="M110" s="1814"/>
    </row>
    <row r="111" spans="1:13" ht="17.25" customHeight="1" x14ac:dyDescent="0.25">
      <c r="A111" s="1025"/>
      <c r="B111" s="1036"/>
      <c r="C111" s="479"/>
      <c r="D111" s="494" t="s">
        <v>376</v>
      </c>
      <c r="E111" s="783"/>
      <c r="F111" s="1819"/>
      <c r="G111" s="1813"/>
      <c r="H111" s="1813"/>
      <c r="I111" s="1814"/>
      <c r="J111" s="1817"/>
      <c r="K111" s="1825"/>
      <c r="L111" s="1813"/>
      <c r="M111" s="1814"/>
    </row>
    <row r="112" spans="1:13" ht="17.25" customHeight="1" x14ac:dyDescent="0.25">
      <c r="A112" s="1025"/>
      <c r="B112" s="1036"/>
      <c r="C112" s="455"/>
      <c r="D112" s="99" t="s">
        <v>377</v>
      </c>
      <c r="E112" s="783"/>
      <c r="F112" s="1820"/>
      <c r="G112" s="1821"/>
      <c r="H112" s="1821"/>
      <c r="I112" s="1815"/>
      <c r="J112" s="1818"/>
      <c r="K112" s="1826"/>
      <c r="L112" s="1813"/>
      <c r="M112" s="1815"/>
    </row>
    <row r="113" spans="1:13" ht="17.25" customHeight="1" x14ac:dyDescent="0.25">
      <c r="A113" s="1025"/>
      <c r="B113" s="1036"/>
      <c r="C113" s="455"/>
      <c r="D113" s="778" t="s">
        <v>302</v>
      </c>
      <c r="E113" s="875"/>
      <c r="F113" s="1148" t="s">
        <v>386</v>
      </c>
      <c r="G113" s="1149"/>
      <c r="H113" s="1149"/>
      <c r="I113" s="1150">
        <v>100</v>
      </c>
      <c r="J113" s="1495" t="s">
        <v>353</v>
      </c>
      <c r="K113" s="566"/>
      <c r="L113" s="203"/>
      <c r="M113" s="445">
        <v>5</v>
      </c>
    </row>
    <row r="114" spans="1:13" ht="27.65" customHeight="1" x14ac:dyDescent="0.25">
      <c r="A114" s="1025"/>
      <c r="B114" s="1036"/>
      <c r="C114" s="72"/>
      <c r="D114" s="1766" t="s">
        <v>70</v>
      </c>
      <c r="E114" s="1045" t="s">
        <v>418</v>
      </c>
      <c r="F114" s="1119" t="s">
        <v>386</v>
      </c>
      <c r="G114" s="1109">
        <v>516.5</v>
      </c>
      <c r="H114" s="1110">
        <v>516.5</v>
      </c>
      <c r="I114" s="1111">
        <v>516.5</v>
      </c>
      <c r="J114" s="1497" t="s">
        <v>137</v>
      </c>
      <c r="K114" s="319" t="s">
        <v>303</v>
      </c>
      <c r="L114" s="332" t="s">
        <v>303</v>
      </c>
      <c r="M114" s="147" t="s">
        <v>303</v>
      </c>
    </row>
    <row r="115" spans="1:13" ht="26.25" customHeight="1" x14ac:dyDescent="0.25">
      <c r="A115" s="1025"/>
      <c r="B115" s="1036"/>
      <c r="C115" s="72"/>
      <c r="D115" s="1767"/>
      <c r="E115" s="783"/>
      <c r="F115" s="1116" t="s">
        <v>381</v>
      </c>
      <c r="G115" s="1113">
        <v>665.3</v>
      </c>
      <c r="H115" s="1114">
        <v>665.3</v>
      </c>
      <c r="I115" s="1118">
        <v>665.3</v>
      </c>
      <c r="J115" s="1488" t="s">
        <v>35</v>
      </c>
      <c r="K115" s="315" t="s">
        <v>433</v>
      </c>
      <c r="L115" s="333" t="s">
        <v>203</v>
      </c>
      <c r="M115" s="136" t="s">
        <v>203</v>
      </c>
    </row>
    <row r="116" spans="1:13" ht="15.75" customHeight="1" x14ac:dyDescent="0.25">
      <c r="A116" s="1025"/>
      <c r="B116" s="1036"/>
      <c r="C116" s="72"/>
      <c r="D116" s="1767"/>
      <c r="E116" s="849"/>
      <c r="F116" s="1124"/>
      <c r="G116" s="1113"/>
      <c r="H116" s="1114"/>
      <c r="I116" s="1118"/>
      <c r="J116" s="1488" t="s">
        <v>54</v>
      </c>
      <c r="K116" s="315" t="s">
        <v>132</v>
      </c>
      <c r="L116" s="333" t="s">
        <v>132</v>
      </c>
      <c r="M116" s="136" t="s">
        <v>132</v>
      </c>
    </row>
    <row r="117" spans="1:13" ht="15" customHeight="1" x14ac:dyDescent="0.25">
      <c r="A117" s="1753"/>
      <c r="B117" s="1790"/>
      <c r="C117" s="1755"/>
      <c r="D117" s="1714" t="s">
        <v>44</v>
      </c>
      <c r="E117" s="1045" t="s">
        <v>418</v>
      </c>
      <c r="F117" s="1116" t="s">
        <v>381</v>
      </c>
      <c r="G117" s="1135">
        <v>400</v>
      </c>
      <c r="H117" s="1110">
        <v>400</v>
      </c>
      <c r="I117" s="1137">
        <v>700</v>
      </c>
      <c r="J117" s="1777" t="s">
        <v>134</v>
      </c>
      <c r="K117" s="319" t="s">
        <v>439</v>
      </c>
      <c r="L117" s="190" t="s">
        <v>344</v>
      </c>
      <c r="M117" s="147" t="s">
        <v>202</v>
      </c>
    </row>
    <row r="118" spans="1:13" ht="14.25" customHeight="1" x14ac:dyDescent="0.25">
      <c r="A118" s="1753"/>
      <c r="B118" s="1790"/>
      <c r="C118" s="1755"/>
      <c r="D118" s="1715"/>
      <c r="E118" s="784"/>
      <c r="F118" s="1151"/>
      <c r="G118" s="1152"/>
      <c r="H118" s="1153"/>
      <c r="I118" s="1154"/>
      <c r="J118" s="1816"/>
      <c r="K118" s="43"/>
      <c r="L118" s="214"/>
      <c r="M118" s="44"/>
    </row>
    <row r="119" spans="1:13" ht="15.75" customHeight="1" x14ac:dyDescent="0.25">
      <c r="A119" s="1753"/>
      <c r="B119" s="1790"/>
      <c r="C119" s="1755"/>
      <c r="D119" s="1823" t="s">
        <v>127</v>
      </c>
      <c r="E119" s="1045" t="s">
        <v>418</v>
      </c>
      <c r="F119" s="1155" t="s">
        <v>386</v>
      </c>
      <c r="G119" s="1109">
        <v>404</v>
      </c>
      <c r="H119" s="1110">
        <v>404</v>
      </c>
      <c r="I119" s="1111">
        <v>404</v>
      </c>
      <c r="J119" s="1497" t="s">
        <v>138</v>
      </c>
      <c r="K119" s="311" t="s">
        <v>346</v>
      </c>
      <c r="L119" s="46" t="s">
        <v>345</v>
      </c>
      <c r="M119" s="147" t="s">
        <v>345</v>
      </c>
    </row>
    <row r="120" spans="1:13" ht="15" customHeight="1" x14ac:dyDescent="0.25">
      <c r="A120" s="1753"/>
      <c r="B120" s="1790"/>
      <c r="C120" s="1755"/>
      <c r="D120" s="1824"/>
      <c r="E120" s="882"/>
      <c r="F120" s="1133" t="s">
        <v>381</v>
      </c>
      <c r="G120" s="1139">
        <f>190-80+64.1+26</f>
        <v>200.1</v>
      </c>
      <c r="H120" s="1114">
        <v>190</v>
      </c>
      <c r="I120" s="1118">
        <v>190</v>
      </c>
      <c r="J120" s="1502" t="s">
        <v>135</v>
      </c>
      <c r="K120" s="311" t="s">
        <v>489</v>
      </c>
      <c r="L120" s="308" t="s">
        <v>490</v>
      </c>
      <c r="M120" s="610" t="s">
        <v>46</v>
      </c>
    </row>
    <row r="121" spans="1:13" ht="15.75" customHeight="1" x14ac:dyDescent="0.25">
      <c r="A121" s="1025"/>
      <c r="B121" s="1036"/>
      <c r="C121" s="1027"/>
      <c r="D121" s="1822" t="s">
        <v>406</v>
      </c>
      <c r="E121" s="783"/>
      <c r="F121" s="1119" t="s">
        <v>381</v>
      </c>
      <c r="G121" s="1109">
        <v>40</v>
      </c>
      <c r="H121" s="1110">
        <v>396</v>
      </c>
      <c r="I121" s="1111">
        <v>543</v>
      </c>
      <c r="J121" s="1777" t="s">
        <v>89</v>
      </c>
      <c r="K121" s="211">
        <v>1</v>
      </c>
      <c r="L121" s="564">
        <v>6</v>
      </c>
      <c r="M121" s="140">
        <v>4</v>
      </c>
    </row>
    <row r="122" spans="1:13" ht="16.5" customHeight="1" x14ac:dyDescent="0.25">
      <c r="A122" s="1025"/>
      <c r="B122" s="1036"/>
      <c r="C122" s="1027"/>
      <c r="D122" s="1822"/>
      <c r="E122" s="783"/>
      <c r="F122" s="1124"/>
      <c r="G122" s="1125"/>
      <c r="H122" s="1126"/>
      <c r="I122" s="1127"/>
      <c r="J122" s="1816"/>
      <c r="K122" s="197"/>
      <c r="L122" s="207"/>
      <c r="M122" s="142"/>
    </row>
    <row r="123" spans="1:13" ht="15" customHeight="1" x14ac:dyDescent="0.25">
      <c r="A123" s="1035"/>
      <c r="B123" s="1036"/>
      <c r="C123" s="75"/>
      <c r="D123" s="1714" t="s">
        <v>34</v>
      </c>
      <c r="E123" s="782"/>
      <c r="F123" s="1156" t="s">
        <v>386</v>
      </c>
      <c r="G123" s="1113">
        <v>110</v>
      </c>
      <c r="H123" s="1114">
        <v>110</v>
      </c>
      <c r="I123" s="1118">
        <v>110</v>
      </c>
      <c r="J123" s="1777" t="s">
        <v>126</v>
      </c>
      <c r="K123" s="211">
        <v>15</v>
      </c>
      <c r="L123" s="564">
        <v>15</v>
      </c>
      <c r="M123" s="140">
        <v>15</v>
      </c>
    </row>
    <row r="124" spans="1:13" ht="16.5" customHeight="1" x14ac:dyDescent="0.25">
      <c r="A124" s="1035"/>
      <c r="B124" s="1036"/>
      <c r="C124" s="75"/>
      <c r="D124" s="1756"/>
      <c r="E124" s="783"/>
      <c r="F124" s="1116" t="s">
        <v>381</v>
      </c>
      <c r="G124" s="1157">
        <v>83.4</v>
      </c>
      <c r="H124" s="1114">
        <v>83.4</v>
      </c>
      <c r="I124" s="1118">
        <v>83.4</v>
      </c>
      <c r="J124" s="1816"/>
      <c r="K124" s="197"/>
      <c r="L124" s="207"/>
      <c r="M124" s="142"/>
    </row>
    <row r="125" spans="1:13" ht="26.5" customHeight="1" x14ac:dyDescent="0.25">
      <c r="A125" s="1035"/>
      <c r="B125" s="1036"/>
      <c r="C125" s="1027"/>
      <c r="D125" s="1714" t="s">
        <v>484</v>
      </c>
      <c r="E125" s="92" t="s">
        <v>41</v>
      </c>
      <c r="F125" s="1108" t="s">
        <v>386</v>
      </c>
      <c r="G125" s="1113">
        <v>22.1</v>
      </c>
      <c r="H125" s="1110"/>
      <c r="I125" s="1137"/>
      <c r="J125" s="1508" t="s">
        <v>123</v>
      </c>
      <c r="K125" s="375">
        <v>100</v>
      </c>
      <c r="L125" s="208"/>
      <c r="M125" s="465"/>
    </row>
    <row r="126" spans="1:13" ht="19" customHeight="1" x14ac:dyDescent="0.25">
      <c r="A126" s="1035"/>
      <c r="B126" s="1026"/>
      <c r="C126" s="1027"/>
      <c r="D126" s="1715"/>
      <c r="E126" s="847"/>
      <c r="F126" s="1124" t="s">
        <v>381</v>
      </c>
      <c r="G126" s="1113">
        <v>13.7</v>
      </c>
      <c r="H126" s="1114"/>
      <c r="I126" s="1118"/>
      <c r="J126" s="1510" t="s">
        <v>40</v>
      </c>
      <c r="K126" s="200">
        <v>1</v>
      </c>
      <c r="L126" s="209"/>
      <c r="M126" s="141"/>
    </row>
    <row r="127" spans="1:13" ht="13.5" customHeight="1" x14ac:dyDescent="0.25">
      <c r="A127" s="1035"/>
      <c r="B127" s="1026"/>
      <c r="C127" s="71"/>
      <c r="D127" s="1714" t="s">
        <v>229</v>
      </c>
      <c r="E127" s="92" t="s">
        <v>41</v>
      </c>
      <c r="F127" s="1136" t="s">
        <v>381</v>
      </c>
      <c r="G127" s="1135">
        <f>300-150</f>
        <v>150</v>
      </c>
      <c r="H127" s="1110">
        <f>128+150</f>
        <v>278</v>
      </c>
      <c r="I127" s="1137"/>
      <c r="J127" s="1797" t="s">
        <v>163</v>
      </c>
      <c r="K127" s="359">
        <v>80</v>
      </c>
      <c r="L127" s="564">
        <v>100</v>
      </c>
      <c r="M127" s="563"/>
    </row>
    <row r="128" spans="1:13" ht="15" customHeight="1" x14ac:dyDescent="0.25">
      <c r="A128" s="1035"/>
      <c r="B128" s="1026"/>
      <c r="C128" s="71"/>
      <c r="D128" s="1715"/>
      <c r="E128" s="168"/>
      <c r="F128" s="1130"/>
      <c r="G128" s="1157"/>
      <c r="H128" s="1126"/>
      <c r="I128" s="1129"/>
      <c r="J128" s="1801"/>
      <c r="K128" s="350"/>
      <c r="L128" s="207"/>
      <c r="M128" s="545"/>
    </row>
    <row r="129" spans="1:13" ht="19.5" customHeight="1" x14ac:dyDescent="0.25">
      <c r="A129" s="1035"/>
      <c r="B129" s="1036"/>
      <c r="C129" s="1027"/>
      <c r="D129" s="779" t="s">
        <v>147</v>
      </c>
      <c r="E129" s="92" t="s">
        <v>41</v>
      </c>
      <c r="F129" s="1158"/>
      <c r="G129" s="1159"/>
      <c r="H129" s="1149"/>
      <c r="I129" s="1160"/>
      <c r="J129" s="1508"/>
      <c r="K129" s="196"/>
      <c r="L129" s="275"/>
      <c r="M129" s="198"/>
    </row>
    <row r="130" spans="1:13" ht="16" customHeight="1" x14ac:dyDescent="0.25">
      <c r="A130" s="1087"/>
      <c r="B130" s="1079"/>
      <c r="C130" s="1084"/>
      <c r="D130" s="1083" t="s">
        <v>436</v>
      </c>
      <c r="E130" s="554"/>
      <c r="F130" s="1158"/>
      <c r="G130" s="1200"/>
      <c r="H130" s="1149"/>
      <c r="I130" s="1160"/>
      <c r="J130" s="1509" t="s">
        <v>40</v>
      </c>
      <c r="K130" s="196">
        <v>3</v>
      </c>
      <c r="L130" s="275"/>
      <c r="M130" s="198"/>
    </row>
    <row r="131" spans="1:13" ht="27" customHeight="1" x14ac:dyDescent="0.25">
      <c r="A131" s="1091"/>
      <c r="B131" s="1092"/>
      <c r="C131" s="1090"/>
      <c r="D131" s="77" t="s">
        <v>441</v>
      </c>
      <c r="E131" s="554"/>
      <c r="F131" s="1158"/>
      <c r="G131" s="1200"/>
      <c r="H131" s="1149"/>
      <c r="I131" s="1160"/>
      <c r="J131" s="1509" t="s">
        <v>485</v>
      </c>
      <c r="K131" s="196">
        <v>100</v>
      </c>
      <c r="L131" s="275"/>
      <c r="M131" s="198"/>
    </row>
    <row r="132" spans="1:13" ht="26.25" customHeight="1" x14ac:dyDescent="0.25">
      <c r="A132" s="1048"/>
      <c r="B132" s="1049"/>
      <c r="C132" s="1050"/>
      <c r="D132" s="91" t="s">
        <v>305</v>
      </c>
      <c r="E132" s="1829"/>
      <c r="F132" s="1161" t="s">
        <v>386</v>
      </c>
      <c r="G132" s="1114"/>
      <c r="H132" s="1149">
        <v>96.8</v>
      </c>
      <c r="I132" s="1162"/>
      <c r="J132" s="1509" t="s">
        <v>350</v>
      </c>
      <c r="K132" s="979"/>
      <c r="L132" s="713">
        <v>100</v>
      </c>
      <c r="M132" s="561"/>
    </row>
    <row r="133" spans="1:13" ht="27.5" customHeight="1" x14ac:dyDescent="0.25">
      <c r="A133" s="1048"/>
      <c r="B133" s="1049"/>
      <c r="C133" s="1050"/>
      <c r="D133" s="91" t="s">
        <v>306</v>
      </c>
      <c r="E133" s="1829"/>
      <c r="F133" s="1158" t="s">
        <v>386</v>
      </c>
      <c r="G133" s="1163"/>
      <c r="H133" s="1164"/>
      <c r="I133" s="1113">
        <v>151.30000000000001</v>
      </c>
      <c r="J133" s="1509" t="s">
        <v>351</v>
      </c>
      <c r="K133" s="348"/>
      <c r="L133" s="330"/>
      <c r="M133" s="462">
        <v>100</v>
      </c>
    </row>
    <row r="134" spans="1:13" ht="30" customHeight="1" x14ac:dyDescent="0.25">
      <c r="A134" s="1035"/>
      <c r="B134" s="1026"/>
      <c r="C134" s="71"/>
      <c r="D134" s="1714" t="s">
        <v>164</v>
      </c>
      <c r="E134" s="1088" t="s">
        <v>41</v>
      </c>
      <c r="F134" s="1136" t="s">
        <v>386</v>
      </c>
      <c r="G134" s="1113"/>
      <c r="H134" s="1110"/>
      <c r="I134" s="1137">
        <v>100</v>
      </c>
      <c r="J134" s="1508" t="s">
        <v>262</v>
      </c>
      <c r="K134" s="375"/>
      <c r="L134" s="209"/>
      <c r="M134" s="141">
        <v>5</v>
      </c>
    </row>
    <row r="135" spans="1:13" ht="17.149999999999999" customHeight="1" x14ac:dyDescent="0.25">
      <c r="A135" s="1087"/>
      <c r="B135" s="1085"/>
      <c r="C135" s="71"/>
      <c r="D135" s="1715"/>
      <c r="E135" s="554"/>
      <c r="F135" s="1165"/>
      <c r="G135" s="1157"/>
      <c r="H135" s="1126"/>
      <c r="I135" s="1118"/>
      <c r="J135" s="1510" t="s">
        <v>63</v>
      </c>
      <c r="K135" s="200">
        <v>1</v>
      </c>
      <c r="L135" s="203"/>
      <c r="M135" s="445"/>
    </row>
    <row r="136" spans="1:13" ht="14.25" customHeight="1" x14ac:dyDescent="0.25">
      <c r="A136" s="1035"/>
      <c r="B136" s="1026"/>
      <c r="C136" s="71"/>
      <c r="D136" s="1714" t="s">
        <v>165</v>
      </c>
      <c r="E136" s="92"/>
      <c r="F136" s="1136" t="s">
        <v>386</v>
      </c>
      <c r="G136" s="1109">
        <v>5.3</v>
      </c>
      <c r="H136" s="1110">
        <v>5.3</v>
      </c>
      <c r="I136" s="1111">
        <v>5.3</v>
      </c>
      <c r="J136" s="1508" t="s">
        <v>166</v>
      </c>
      <c r="K136" s="356">
        <v>10</v>
      </c>
      <c r="L136" s="334">
        <v>10</v>
      </c>
      <c r="M136" s="323">
        <v>10</v>
      </c>
    </row>
    <row r="137" spans="1:13" ht="15" customHeight="1" x14ac:dyDescent="0.25">
      <c r="A137" s="1035"/>
      <c r="B137" s="1026"/>
      <c r="C137" s="71"/>
      <c r="D137" s="1715"/>
      <c r="E137" s="168"/>
      <c r="F137" s="1130"/>
      <c r="G137" s="1125"/>
      <c r="H137" s="1126"/>
      <c r="I137" s="1127"/>
      <c r="J137" s="1511"/>
      <c r="K137" s="197"/>
      <c r="L137" s="207"/>
      <c r="M137" s="142"/>
    </row>
    <row r="138" spans="1:13" ht="15" customHeight="1" x14ac:dyDescent="0.25">
      <c r="A138" s="1035"/>
      <c r="B138" s="1026"/>
      <c r="C138" s="71"/>
      <c r="D138" s="1714" t="s">
        <v>323</v>
      </c>
      <c r="E138" s="92" t="s">
        <v>41</v>
      </c>
      <c r="F138" s="1165" t="s">
        <v>381</v>
      </c>
      <c r="G138" s="1113"/>
      <c r="H138" s="1114">
        <v>100</v>
      </c>
      <c r="I138" s="1118">
        <v>200</v>
      </c>
      <c r="J138" s="1512" t="s">
        <v>324</v>
      </c>
      <c r="K138" s="200"/>
      <c r="L138" s="209">
        <v>10</v>
      </c>
      <c r="M138" s="141">
        <v>40</v>
      </c>
    </row>
    <row r="139" spans="1:13" ht="15" customHeight="1" x14ac:dyDescent="0.25">
      <c r="A139" s="1035"/>
      <c r="B139" s="1026"/>
      <c r="C139" s="71"/>
      <c r="D139" s="1756"/>
      <c r="E139" s="554"/>
      <c r="F139" s="1112" t="s">
        <v>386</v>
      </c>
      <c r="G139" s="1114"/>
      <c r="H139" s="1114">
        <v>100</v>
      </c>
      <c r="I139" s="1118">
        <v>300</v>
      </c>
      <c r="J139" s="1493"/>
      <c r="K139" s="200"/>
      <c r="L139" s="209"/>
      <c r="M139" s="141"/>
    </row>
    <row r="140" spans="1:13" ht="15" customHeight="1" x14ac:dyDescent="0.25">
      <c r="A140" s="1035"/>
      <c r="B140" s="1026"/>
      <c r="C140" s="71"/>
      <c r="D140" s="1715"/>
      <c r="E140" s="1046"/>
      <c r="F140" s="1132"/>
      <c r="G140" s="1157"/>
      <c r="H140" s="1126"/>
      <c r="I140" s="1118"/>
      <c r="J140" s="1511"/>
      <c r="K140" s="350"/>
      <c r="L140" s="207"/>
      <c r="M140" s="545"/>
    </row>
    <row r="141" spans="1:13" ht="15" customHeight="1" x14ac:dyDescent="0.25">
      <c r="A141" s="1035"/>
      <c r="B141" s="1026"/>
      <c r="C141" s="71"/>
      <c r="D141" s="1714" t="s">
        <v>325</v>
      </c>
      <c r="E141" s="92" t="s">
        <v>41</v>
      </c>
      <c r="F141" s="1136" t="s">
        <v>381</v>
      </c>
      <c r="G141" s="1113"/>
      <c r="H141" s="1114">
        <f>50-20</f>
        <v>30</v>
      </c>
      <c r="I141" s="1137">
        <v>50</v>
      </c>
      <c r="J141" s="1513" t="s">
        <v>63</v>
      </c>
      <c r="K141" s="375"/>
      <c r="L141" s="209"/>
      <c r="M141" s="141">
        <v>1</v>
      </c>
    </row>
    <row r="142" spans="1:13" ht="15" customHeight="1" x14ac:dyDescent="0.25">
      <c r="A142" s="1035"/>
      <c r="B142" s="1026"/>
      <c r="C142" s="71"/>
      <c r="D142" s="1756"/>
      <c r="E142" s="554"/>
      <c r="F142" s="1112"/>
      <c r="G142" s="1113"/>
      <c r="H142" s="1114"/>
      <c r="I142" s="1118"/>
      <c r="J142" s="1514" t="s">
        <v>324</v>
      </c>
      <c r="K142" s="200"/>
      <c r="L142" s="275"/>
      <c r="M142" s="476">
        <v>100</v>
      </c>
    </row>
    <row r="143" spans="1:13" ht="15" customHeight="1" x14ac:dyDescent="0.25">
      <c r="A143" s="1035"/>
      <c r="B143" s="1026"/>
      <c r="C143" s="71"/>
      <c r="D143" s="1715"/>
      <c r="E143" s="554"/>
      <c r="F143" s="1132"/>
      <c r="G143" s="1125"/>
      <c r="H143" s="1126"/>
      <c r="I143" s="1127"/>
      <c r="J143" s="1511"/>
      <c r="K143" s="197"/>
      <c r="L143" s="207"/>
      <c r="M143" s="142"/>
    </row>
    <row r="144" spans="1:13" ht="15" customHeight="1" x14ac:dyDescent="0.25">
      <c r="A144" s="1035"/>
      <c r="B144" s="1026"/>
      <c r="C144" s="71"/>
      <c r="D144" s="1714" t="s">
        <v>358</v>
      </c>
      <c r="E144" s="92" t="s">
        <v>41</v>
      </c>
      <c r="F144" s="1165" t="s">
        <v>381</v>
      </c>
      <c r="G144" s="1113">
        <v>5</v>
      </c>
      <c r="H144" s="1114">
        <v>37.799999999999997</v>
      </c>
      <c r="I144" s="1137">
        <v>357.2</v>
      </c>
      <c r="J144" s="1514" t="s">
        <v>63</v>
      </c>
      <c r="K144" s="200"/>
      <c r="L144" s="208">
        <v>1</v>
      </c>
      <c r="M144" s="465"/>
    </row>
    <row r="145" spans="1:18" ht="15.75" customHeight="1" x14ac:dyDescent="0.25">
      <c r="A145" s="1035"/>
      <c r="B145" s="1026"/>
      <c r="C145" s="71"/>
      <c r="D145" s="1756"/>
      <c r="E145" s="554"/>
      <c r="F145" s="1112"/>
      <c r="G145" s="1113"/>
      <c r="H145" s="1114"/>
      <c r="I145" s="1118"/>
      <c r="J145" s="1515" t="s">
        <v>324</v>
      </c>
      <c r="K145" s="391"/>
      <c r="L145" s="209"/>
      <c r="M145" s="141">
        <v>100</v>
      </c>
    </row>
    <row r="146" spans="1:18" ht="14.25" customHeight="1" x14ac:dyDescent="0.25">
      <c r="A146" s="1035"/>
      <c r="B146" s="1026"/>
      <c r="C146" s="71"/>
      <c r="D146" s="1715"/>
      <c r="E146" s="554"/>
      <c r="F146" s="1132"/>
      <c r="G146" s="1125"/>
      <c r="H146" s="1126"/>
      <c r="I146" s="1127"/>
      <c r="J146" s="1511"/>
      <c r="K146" s="197"/>
      <c r="L146" s="207"/>
      <c r="M146" s="142"/>
    </row>
    <row r="147" spans="1:18" ht="17" customHeight="1" x14ac:dyDescent="0.25">
      <c r="A147" s="1035"/>
      <c r="B147" s="1026"/>
      <c r="C147" s="71"/>
      <c r="D147" s="1028" t="s">
        <v>328</v>
      </c>
      <c r="E147" s="92" t="s">
        <v>41</v>
      </c>
      <c r="F147" s="1165" t="s">
        <v>381</v>
      </c>
      <c r="G147" s="1113">
        <v>5</v>
      </c>
      <c r="H147" s="1114">
        <v>35</v>
      </c>
      <c r="I147" s="1118"/>
      <c r="J147" s="1516" t="s">
        <v>63</v>
      </c>
      <c r="K147" s="351"/>
      <c r="L147" s="209">
        <v>1</v>
      </c>
      <c r="M147" s="765"/>
    </row>
    <row r="148" spans="1:18" ht="39" customHeight="1" x14ac:dyDescent="0.25">
      <c r="A148" s="1035"/>
      <c r="B148" s="1026"/>
      <c r="C148" s="71"/>
      <c r="D148" s="779" t="s">
        <v>370</v>
      </c>
      <c r="E148" s="1031" t="s">
        <v>41</v>
      </c>
      <c r="F148" s="1136"/>
      <c r="G148" s="1159"/>
      <c r="H148" s="1159"/>
      <c r="I148" s="1137"/>
      <c r="J148" s="1514"/>
      <c r="K148" s="200"/>
      <c r="L148" s="564"/>
      <c r="M148" s="465"/>
    </row>
    <row r="149" spans="1:18" ht="21" customHeight="1" x14ac:dyDescent="0.25">
      <c r="A149" s="1035"/>
      <c r="B149" s="1026"/>
      <c r="C149" s="71"/>
      <c r="D149" s="1827" t="s">
        <v>371</v>
      </c>
      <c r="E149" s="1045"/>
      <c r="F149" s="1166" t="s">
        <v>382</v>
      </c>
      <c r="G149" s="1113">
        <v>35</v>
      </c>
      <c r="H149" s="1114"/>
      <c r="I149" s="1150"/>
      <c r="J149" s="1515" t="s">
        <v>324</v>
      </c>
      <c r="K149" s="391">
        <v>100</v>
      </c>
      <c r="L149" s="275"/>
      <c r="M149" s="476"/>
    </row>
    <row r="150" spans="1:18" ht="21" customHeight="1" x14ac:dyDescent="0.25">
      <c r="A150" s="1035"/>
      <c r="B150" s="1026"/>
      <c r="C150" s="71"/>
      <c r="D150" s="1828"/>
      <c r="E150" s="1045"/>
      <c r="F150" s="1167" t="s">
        <v>386</v>
      </c>
      <c r="G150" s="1113">
        <v>265</v>
      </c>
      <c r="H150" s="1168"/>
      <c r="I150" s="1118"/>
      <c r="J150" s="1517"/>
      <c r="K150" s="394"/>
      <c r="L150" s="209"/>
      <c r="M150" s="589"/>
    </row>
    <row r="151" spans="1:18" ht="15.75" customHeight="1" x14ac:dyDescent="0.25">
      <c r="A151" s="1035"/>
      <c r="B151" s="1026"/>
      <c r="C151" s="71"/>
      <c r="D151" s="1827" t="s">
        <v>372</v>
      </c>
      <c r="E151" s="1032"/>
      <c r="F151" s="1166" t="s">
        <v>386</v>
      </c>
      <c r="G151" s="1149">
        <v>24.2</v>
      </c>
      <c r="H151" s="1114"/>
      <c r="I151" s="1150"/>
      <c r="J151" s="1515" t="s">
        <v>378</v>
      </c>
      <c r="K151" s="200">
        <v>100</v>
      </c>
      <c r="L151" s="275"/>
      <c r="M151" s="476"/>
    </row>
    <row r="152" spans="1:18" ht="15.75" customHeight="1" x14ac:dyDescent="0.25">
      <c r="A152" s="1035"/>
      <c r="B152" s="1026"/>
      <c r="C152" s="71"/>
      <c r="D152" s="1756"/>
      <c r="E152" s="1045"/>
      <c r="F152" s="1167" t="s">
        <v>382</v>
      </c>
      <c r="G152" s="1168">
        <v>69.599999999999994</v>
      </c>
      <c r="H152" s="1114"/>
      <c r="I152" s="1115"/>
      <c r="J152" s="1517"/>
      <c r="K152" s="200"/>
      <c r="L152" s="300"/>
      <c r="M152" s="836"/>
    </row>
    <row r="153" spans="1:18" ht="16.5" customHeight="1" x14ac:dyDescent="0.25">
      <c r="A153" s="1035"/>
      <c r="B153" s="1026"/>
      <c r="C153" s="71"/>
      <c r="D153" s="1756"/>
      <c r="E153" s="1045"/>
      <c r="F153" s="1166" t="s">
        <v>382</v>
      </c>
      <c r="G153" s="1149">
        <v>8</v>
      </c>
      <c r="H153" s="1149"/>
      <c r="I153" s="1150"/>
      <c r="J153" s="1515" t="s">
        <v>379</v>
      </c>
      <c r="K153" s="391">
        <v>100</v>
      </c>
      <c r="L153" s="275"/>
      <c r="M153" s="141"/>
    </row>
    <row r="154" spans="1:18" ht="14.25" customHeight="1" x14ac:dyDescent="0.25">
      <c r="A154" s="1035"/>
      <c r="B154" s="1026"/>
      <c r="C154" s="71"/>
      <c r="D154" s="1715"/>
      <c r="E154" s="1046"/>
      <c r="F154" s="1165"/>
      <c r="G154" s="1126"/>
      <c r="H154" s="1126"/>
      <c r="I154" s="1129"/>
      <c r="J154" s="1518"/>
      <c r="K154" s="350"/>
      <c r="L154" s="207"/>
      <c r="M154" s="545"/>
    </row>
    <row r="155" spans="1:18" ht="15" customHeight="1" x14ac:dyDescent="0.25">
      <c r="A155" s="1035"/>
      <c r="B155" s="1036"/>
      <c r="C155" s="71"/>
      <c r="D155" s="1028" t="s">
        <v>337</v>
      </c>
      <c r="E155" s="92" t="s">
        <v>41</v>
      </c>
      <c r="F155" s="1136" t="s">
        <v>381</v>
      </c>
      <c r="G155" s="1110"/>
      <c r="H155" s="1110"/>
      <c r="I155" s="1137"/>
      <c r="J155" s="1514" t="s">
        <v>324</v>
      </c>
      <c r="K155" s="359"/>
      <c r="L155" s="564"/>
      <c r="M155" s="563"/>
    </row>
    <row r="156" spans="1:18" ht="15" customHeight="1" x14ac:dyDescent="0.25">
      <c r="A156" s="1035"/>
      <c r="B156" s="1036"/>
      <c r="C156" s="71"/>
      <c r="D156" s="1034"/>
      <c r="E156" s="554"/>
      <c r="F156" s="1165" t="s">
        <v>384</v>
      </c>
      <c r="G156" s="1113"/>
      <c r="H156" s="1114"/>
      <c r="I156" s="1118"/>
      <c r="J156" s="1514"/>
      <c r="K156" s="350"/>
      <c r="L156" s="209"/>
      <c r="M156" s="545"/>
    </row>
    <row r="157" spans="1:18" ht="14.25" customHeight="1" thickBot="1" x14ac:dyDescent="0.3">
      <c r="A157" s="21"/>
      <c r="B157" s="104"/>
      <c r="C157" s="45"/>
      <c r="D157" s="68"/>
      <c r="E157" s="514"/>
      <c r="F157" s="518" t="s">
        <v>5</v>
      </c>
      <c r="G157" s="337">
        <f>+G16+G17+G18+G19+G20+G21+G22+G23+G24+G25+G26+G27+G28+G29</f>
        <v>24005.4</v>
      </c>
      <c r="H157" s="337">
        <f>+H16+H17+H18+H19+H20+H21+H22+H23+H24+H25+H26+H27+H28+H29</f>
        <v>37417.199999999997</v>
      </c>
      <c r="I157" s="337">
        <f t="shared" ref="I157" si="1">+I16+I17+I18+I19+I20+I21+I22+I23+I24+I25+I26+I27+I28+I29</f>
        <v>25436.6</v>
      </c>
      <c r="J157" s="1519"/>
      <c r="K157" s="288"/>
      <c r="L157" s="310"/>
      <c r="M157" s="70"/>
    </row>
    <row r="158" spans="1:18" ht="14.25" customHeight="1" thickBot="1" x14ac:dyDescent="0.3">
      <c r="A158" s="24" t="s">
        <v>4</v>
      </c>
      <c r="B158" s="56" t="s">
        <v>4</v>
      </c>
      <c r="C158" s="1839" t="s">
        <v>7</v>
      </c>
      <c r="D158" s="1840"/>
      <c r="E158" s="1840"/>
      <c r="F158" s="1841"/>
      <c r="G158" s="25">
        <f>G157</f>
        <v>24005.4</v>
      </c>
      <c r="H158" s="25">
        <f t="shared" ref="H158:I158" si="2">H157</f>
        <v>37417.199999999997</v>
      </c>
      <c r="I158" s="225">
        <f t="shared" si="2"/>
        <v>25436.6</v>
      </c>
      <c r="J158" s="1047"/>
      <c r="K158" s="1475"/>
      <c r="L158" s="1475"/>
      <c r="M158" s="149"/>
    </row>
    <row r="159" spans="1:18" ht="14.25" customHeight="1" thickBot="1" x14ac:dyDescent="0.3">
      <c r="A159" s="24" t="s">
        <v>4</v>
      </c>
      <c r="B159" s="56" t="s">
        <v>6</v>
      </c>
      <c r="C159" s="1842" t="s">
        <v>28</v>
      </c>
      <c r="D159" s="1842"/>
      <c r="E159" s="1842"/>
      <c r="F159" s="1842"/>
      <c r="G159" s="1843"/>
      <c r="H159" s="1843"/>
      <c r="I159" s="1843"/>
      <c r="J159" s="1842"/>
      <c r="K159" s="1844"/>
      <c r="L159" s="1844"/>
      <c r="M159" s="1845"/>
    </row>
    <row r="160" spans="1:18" ht="15.65" customHeight="1" x14ac:dyDescent="0.25">
      <c r="A160" s="121" t="s">
        <v>4</v>
      </c>
      <c r="B160" s="55" t="s">
        <v>6</v>
      </c>
      <c r="C160" s="69" t="s">
        <v>4</v>
      </c>
      <c r="D160" s="1051" t="s">
        <v>47</v>
      </c>
      <c r="E160" s="1847" t="s">
        <v>205</v>
      </c>
      <c r="F160" s="20" t="s">
        <v>22</v>
      </c>
      <c r="G160" s="838">
        <f>5385.8-20+791.3</f>
        <v>6157.1</v>
      </c>
      <c r="H160" s="283">
        <f>5395.3+317.6</f>
        <v>5712.9</v>
      </c>
      <c r="I160" s="814">
        <f>5475.1+317.6</f>
        <v>5792.7</v>
      </c>
      <c r="J160" s="838"/>
      <c r="K160" s="887"/>
      <c r="L160" s="811"/>
      <c r="M160" s="812"/>
      <c r="P160" s="1105">
        <f>+G166+G174+G177+G179+G181+G183+G195</f>
        <v>5385.8</v>
      </c>
      <c r="Q160" s="1105">
        <f>+H166+H174+H177+H179+H181+H183+H195</f>
        <v>5395.3</v>
      </c>
      <c r="R160" s="1105">
        <f>+I166+I174+I177+I179+I181+I183+I195</f>
        <v>5475.1</v>
      </c>
    </row>
    <row r="161" spans="1:18" ht="15.65" customHeight="1" x14ac:dyDescent="0.25">
      <c r="A161" s="1025"/>
      <c r="B161" s="1026"/>
      <c r="C161" s="1027"/>
      <c r="D161" s="801"/>
      <c r="E161" s="1848"/>
      <c r="F161" s="20" t="s">
        <v>57</v>
      </c>
      <c r="G161" s="32">
        <f>105.4-53.8</f>
        <v>51.6</v>
      </c>
      <c r="H161" s="1038">
        <f>1555.4-300</f>
        <v>1255.4000000000001</v>
      </c>
      <c r="I161" s="1056">
        <f>1235.4+501.3</f>
        <v>1736.7</v>
      </c>
      <c r="J161" s="1477"/>
      <c r="K161" s="803"/>
      <c r="L161" s="804"/>
      <c r="M161" s="805"/>
      <c r="P161" s="1105">
        <f>+G168+G189+G191+G192+G197+G199</f>
        <v>105.4</v>
      </c>
      <c r="Q161" s="1105">
        <f>+H168+H189+H191+H192+H197+H199</f>
        <v>1555.4</v>
      </c>
      <c r="R161" s="1105">
        <f>+I168+I189+I191+I192+I197+I199</f>
        <v>1235.4000000000001</v>
      </c>
    </row>
    <row r="162" spans="1:18" ht="15.65" customHeight="1" x14ac:dyDescent="0.25">
      <c r="A162" s="1025"/>
      <c r="B162" s="1026"/>
      <c r="C162" s="1027"/>
      <c r="D162" s="801"/>
      <c r="E162" s="1848"/>
      <c r="F162" s="20" t="s">
        <v>50</v>
      </c>
      <c r="G162" s="32">
        <f>422.9+24.2+3.7+292.4+211.5</f>
        <v>954.7</v>
      </c>
      <c r="H162" s="1038"/>
      <c r="I162" s="1056"/>
      <c r="J162" s="1477"/>
      <c r="K162" s="803"/>
      <c r="L162" s="804"/>
      <c r="M162" s="805"/>
      <c r="P162" s="1105">
        <f>+G167+G175</f>
        <v>422.9</v>
      </c>
      <c r="Q162" s="1105">
        <f>+H167</f>
        <v>0</v>
      </c>
      <c r="R162" s="1105">
        <f>+I167</f>
        <v>0</v>
      </c>
    </row>
    <row r="163" spans="1:18" ht="15.65" customHeight="1" x14ac:dyDescent="0.25">
      <c r="A163" s="1025"/>
      <c r="B163" s="1026"/>
      <c r="C163" s="1027"/>
      <c r="D163" s="801"/>
      <c r="E163" s="802"/>
      <c r="F163" s="20" t="s">
        <v>59</v>
      </c>
      <c r="G163" s="32">
        <v>48.4</v>
      </c>
      <c r="H163" s="1038">
        <v>57.7</v>
      </c>
      <c r="I163" s="1056"/>
      <c r="J163" s="1477"/>
      <c r="K163" s="803"/>
      <c r="L163" s="804"/>
      <c r="M163" s="805"/>
      <c r="P163" s="1105">
        <f>+G188+G190+G193</f>
        <v>48.4</v>
      </c>
      <c r="Q163" s="1105">
        <f>+H188+H190+H193</f>
        <v>0</v>
      </c>
      <c r="R163" s="1105">
        <f>+I188+I190+I193</f>
        <v>0</v>
      </c>
    </row>
    <row r="164" spans="1:18" ht="15.65" customHeight="1" x14ac:dyDescent="0.25">
      <c r="A164" s="1025"/>
      <c r="B164" s="1026"/>
      <c r="C164" s="1027"/>
      <c r="D164" s="801"/>
      <c r="E164" s="808"/>
      <c r="F164" s="20" t="s">
        <v>38</v>
      </c>
      <c r="G164" s="32"/>
      <c r="H164" s="1038">
        <v>1375</v>
      </c>
      <c r="I164" s="1056">
        <v>1375</v>
      </c>
      <c r="J164" s="38"/>
      <c r="K164" s="803"/>
      <c r="L164" s="804"/>
      <c r="M164" s="805"/>
      <c r="P164" s="1105">
        <f>+G200</f>
        <v>0</v>
      </c>
      <c r="Q164" s="1105">
        <f>+H200</f>
        <v>1375</v>
      </c>
      <c r="R164" s="1105">
        <f>+I200</f>
        <v>1375</v>
      </c>
    </row>
    <row r="165" spans="1:18" ht="18" customHeight="1" x14ac:dyDescent="0.25">
      <c r="A165" s="1025"/>
      <c r="B165" s="1026"/>
      <c r="C165" s="1027"/>
      <c r="D165" s="806" t="s">
        <v>43</v>
      </c>
      <c r="E165" s="1057"/>
      <c r="F165" s="528"/>
      <c r="G165" s="287"/>
      <c r="H165" s="250"/>
      <c r="I165" s="151"/>
      <c r="J165" s="914"/>
      <c r="K165" s="912"/>
      <c r="L165" s="508"/>
      <c r="M165" s="509"/>
      <c r="P165" s="1105">
        <f>+P160+P161+P162+P163+P164</f>
        <v>5962.5</v>
      </c>
      <c r="Q165" s="1105">
        <f t="shared" ref="Q165:R165" si="3">+Q160+Q161+Q162+Q163+Q164</f>
        <v>8325.7000000000007</v>
      </c>
      <c r="R165" s="1105">
        <f t="shared" si="3"/>
        <v>8085.5</v>
      </c>
    </row>
    <row r="166" spans="1:18" ht="16.5" customHeight="1" x14ac:dyDescent="0.25">
      <c r="A166" s="1025"/>
      <c r="B166" s="1026"/>
      <c r="C166" s="1027"/>
      <c r="D166" s="1846" t="s">
        <v>407</v>
      </c>
      <c r="E166" s="118" t="s">
        <v>178</v>
      </c>
      <c r="F166" s="1116" t="s">
        <v>381</v>
      </c>
      <c r="G166" s="1113">
        <f>4900+62.4-434.6-17.9-405-445</f>
        <v>3659.9</v>
      </c>
      <c r="H166" s="1114">
        <f>5048.4+62.4-60.9</f>
        <v>5049.8999999999996</v>
      </c>
      <c r="I166" s="1118">
        <f>5333.4+62.4-279.1</f>
        <v>5116.7</v>
      </c>
      <c r="J166" s="1488" t="s">
        <v>36</v>
      </c>
      <c r="K166" s="228">
        <v>3</v>
      </c>
      <c r="L166" s="237">
        <v>4.8</v>
      </c>
      <c r="M166" s="218">
        <v>5</v>
      </c>
      <c r="P166" s="1105">
        <f>+P165-G202</f>
        <v>-1249.3</v>
      </c>
      <c r="Q166" s="1105">
        <f>+Q165-H202</f>
        <v>-75.3</v>
      </c>
      <c r="R166" s="1105">
        <f>+R165-I202</f>
        <v>-818.9</v>
      </c>
    </row>
    <row r="167" spans="1:18" ht="16.5" customHeight="1" x14ac:dyDescent="0.25">
      <c r="A167" s="1025"/>
      <c r="B167" s="1026"/>
      <c r="C167" s="1027"/>
      <c r="D167" s="1846"/>
      <c r="E167" s="1045"/>
      <c r="F167" s="1116" t="s">
        <v>382</v>
      </c>
      <c r="G167" s="1113">
        <f>422.9-405</f>
        <v>17.899999999999999</v>
      </c>
      <c r="H167" s="1114"/>
      <c r="I167" s="1118"/>
      <c r="J167" s="1505" t="s">
        <v>85</v>
      </c>
      <c r="K167" s="32">
        <v>1.5</v>
      </c>
      <c r="L167" s="297">
        <v>3</v>
      </c>
      <c r="M167" s="217">
        <v>3</v>
      </c>
    </row>
    <row r="168" spans="1:18" ht="24.75" customHeight="1" x14ac:dyDescent="0.25">
      <c r="A168" s="1025"/>
      <c r="B168" s="1026"/>
      <c r="C168" s="1027"/>
      <c r="D168" s="170" t="s">
        <v>280</v>
      </c>
      <c r="E168" s="1045"/>
      <c r="F168" s="1116" t="s">
        <v>394</v>
      </c>
      <c r="G168" s="1113">
        <f>165.6-102.4-33.3</f>
        <v>29.9</v>
      </c>
      <c r="H168" s="1114">
        <f>160-100</f>
        <v>60</v>
      </c>
      <c r="I168" s="1118">
        <f>160-100</f>
        <v>60</v>
      </c>
      <c r="J168" s="1488" t="s">
        <v>148</v>
      </c>
      <c r="K168" s="504">
        <v>2</v>
      </c>
      <c r="L168" s="237">
        <v>2</v>
      </c>
      <c r="M168" s="682">
        <v>2</v>
      </c>
    </row>
    <row r="169" spans="1:18" ht="26.25" customHeight="1" x14ac:dyDescent="0.25">
      <c r="A169" s="1025"/>
      <c r="B169" s="1026"/>
      <c r="C169" s="1027"/>
      <c r="D169" s="60" t="s">
        <v>281</v>
      </c>
      <c r="E169" s="1045"/>
      <c r="F169" s="1116"/>
      <c r="G169" s="1113"/>
      <c r="H169" s="1114"/>
      <c r="I169" s="1118"/>
      <c r="J169" s="1505" t="s">
        <v>86</v>
      </c>
      <c r="K169" s="227">
        <v>13</v>
      </c>
      <c r="L169" s="298">
        <v>23</v>
      </c>
      <c r="M169" s="524">
        <v>23</v>
      </c>
    </row>
    <row r="170" spans="1:18" ht="26.25" customHeight="1" x14ac:dyDescent="0.25">
      <c r="A170" s="1025"/>
      <c r="B170" s="1026"/>
      <c r="C170" s="1027"/>
      <c r="D170" s="1030" t="s">
        <v>282</v>
      </c>
      <c r="E170" s="1045"/>
      <c r="F170" s="1116"/>
      <c r="G170" s="1113"/>
      <c r="H170" s="1114"/>
      <c r="I170" s="1118"/>
      <c r="J170" s="1507" t="s">
        <v>145</v>
      </c>
      <c r="K170" s="196"/>
      <c r="L170" s="275">
        <v>4</v>
      </c>
      <c r="M170" s="141">
        <v>4</v>
      </c>
    </row>
    <row r="171" spans="1:18" ht="15.75" customHeight="1" x14ac:dyDescent="0.25">
      <c r="A171" s="1025"/>
      <c r="B171" s="1026"/>
      <c r="C171" s="1027"/>
      <c r="D171" s="1830" t="s">
        <v>283</v>
      </c>
      <c r="E171" s="1045"/>
      <c r="F171" s="1116"/>
      <c r="G171" s="1113"/>
      <c r="H171" s="1114"/>
      <c r="I171" s="1118"/>
      <c r="J171" s="1778"/>
      <c r="K171" s="349"/>
      <c r="L171" s="209"/>
      <c r="M171" s="141"/>
    </row>
    <row r="172" spans="1:18" ht="26.25" customHeight="1" x14ac:dyDescent="0.25">
      <c r="A172" s="1025"/>
      <c r="B172" s="1026"/>
      <c r="C172" s="1027"/>
      <c r="D172" s="1808"/>
      <c r="E172" s="1046"/>
      <c r="F172" s="1116"/>
      <c r="G172" s="1169"/>
      <c r="H172" s="1170"/>
      <c r="I172" s="1171"/>
      <c r="J172" s="1831"/>
      <c r="K172" s="200"/>
      <c r="L172" s="209"/>
      <c r="M172" s="141"/>
    </row>
    <row r="173" spans="1:18" ht="14.25" customHeight="1" x14ac:dyDescent="0.25">
      <c r="A173" s="1025"/>
      <c r="B173" s="1026"/>
      <c r="C173" s="1027"/>
      <c r="D173" s="188" t="s">
        <v>92</v>
      </c>
      <c r="E173" s="851"/>
      <c r="F173" s="1119"/>
      <c r="G173" s="1172"/>
      <c r="H173" s="1173"/>
      <c r="I173" s="1174"/>
      <c r="J173" s="1497"/>
      <c r="K173" s="373"/>
      <c r="L173" s="299"/>
      <c r="M173" s="289"/>
    </row>
    <row r="174" spans="1:18" ht="16.5" customHeight="1" x14ac:dyDescent="0.25">
      <c r="A174" s="1025"/>
      <c r="B174" s="1026"/>
      <c r="C174" s="1027"/>
      <c r="D174" s="1832" t="s">
        <v>243</v>
      </c>
      <c r="E174" s="1057"/>
      <c r="F174" s="1155" t="s">
        <v>381</v>
      </c>
      <c r="G174" s="1175">
        <f>938+445</f>
        <v>1383</v>
      </c>
      <c r="H174" s="1149"/>
      <c r="I174" s="1176"/>
      <c r="J174" s="1520" t="s">
        <v>91</v>
      </c>
      <c r="K174" s="196">
        <v>58</v>
      </c>
      <c r="L174" s="275"/>
      <c r="M174" s="198"/>
    </row>
    <row r="175" spans="1:18" ht="16.5" customHeight="1" x14ac:dyDescent="0.25">
      <c r="A175" s="1025"/>
      <c r="B175" s="1026"/>
      <c r="C175" s="1027"/>
      <c r="D175" s="1833"/>
      <c r="E175" s="1057"/>
      <c r="F175" s="1116" t="s">
        <v>382</v>
      </c>
      <c r="G175" s="1113">
        <v>405</v>
      </c>
      <c r="H175" s="1114"/>
      <c r="I175" s="1118"/>
      <c r="J175" s="1521"/>
      <c r="K175" s="200"/>
      <c r="L175" s="209"/>
      <c r="M175" s="141"/>
    </row>
    <row r="176" spans="1:18" ht="16.5" customHeight="1" x14ac:dyDescent="0.25">
      <c r="A176" s="1025"/>
      <c r="B176" s="1026"/>
      <c r="C176" s="1027"/>
      <c r="D176" s="1834"/>
      <c r="E176" s="852"/>
      <c r="F176" s="1177"/>
      <c r="G176" s="1178"/>
      <c r="H176" s="1168"/>
      <c r="I176" s="1179"/>
      <c r="J176" s="1522"/>
      <c r="K176" s="342"/>
      <c r="L176" s="300"/>
      <c r="M176" s="290"/>
    </row>
    <row r="177" spans="1:13" ht="27" customHeight="1" x14ac:dyDescent="0.25">
      <c r="A177" s="1025"/>
      <c r="B177" s="1026"/>
      <c r="C177" s="1027"/>
      <c r="D177" s="1835" t="s">
        <v>93</v>
      </c>
      <c r="E177" s="1057"/>
      <c r="F177" s="1116" t="s">
        <v>381</v>
      </c>
      <c r="G177" s="1113">
        <v>93.4</v>
      </c>
      <c r="H177" s="1114">
        <v>93.4</v>
      </c>
      <c r="I177" s="1118">
        <v>93.4</v>
      </c>
      <c r="J177" s="1521" t="s">
        <v>112</v>
      </c>
      <c r="K177" s="374">
        <v>18</v>
      </c>
      <c r="L177" s="301">
        <v>18</v>
      </c>
      <c r="M177" s="291">
        <v>18</v>
      </c>
    </row>
    <row r="178" spans="1:13" ht="14.25" customHeight="1" x14ac:dyDescent="0.25">
      <c r="A178" s="1025"/>
      <c r="B178" s="1026"/>
      <c r="C178" s="1027"/>
      <c r="D178" s="1836"/>
      <c r="E178" s="1057"/>
      <c r="F178" s="1177"/>
      <c r="G178" s="1178"/>
      <c r="H178" s="1168"/>
      <c r="I178" s="1179"/>
      <c r="J178" s="1523"/>
      <c r="K178" s="342"/>
      <c r="L178" s="300"/>
      <c r="M178" s="290"/>
    </row>
    <row r="179" spans="1:13" ht="16.5" customHeight="1" x14ac:dyDescent="0.25">
      <c r="A179" s="1025"/>
      <c r="B179" s="1026"/>
      <c r="C179" s="1027"/>
      <c r="D179" s="1837" t="s">
        <v>244</v>
      </c>
      <c r="E179" s="850" t="s">
        <v>178</v>
      </c>
      <c r="F179" s="1116" t="s">
        <v>381</v>
      </c>
      <c r="G179" s="1113">
        <v>70</v>
      </c>
      <c r="H179" s="1114">
        <v>70</v>
      </c>
      <c r="I179" s="1118">
        <v>70</v>
      </c>
      <c r="J179" s="1778" t="s">
        <v>359</v>
      </c>
      <c r="K179" s="200">
        <v>2</v>
      </c>
      <c r="L179" s="209">
        <v>2</v>
      </c>
      <c r="M179" s="141">
        <v>2</v>
      </c>
    </row>
    <row r="180" spans="1:13" ht="26.25" customHeight="1" x14ac:dyDescent="0.25">
      <c r="A180" s="1025"/>
      <c r="B180" s="1026"/>
      <c r="C180" s="1027"/>
      <c r="D180" s="1838"/>
      <c r="E180" s="1057"/>
      <c r="F180" s="1124"/>
      <c r="G180" s="1125"/>
      <c r="H180" s="1126"/>
      <c r="I180" s="1127"/>
      <c r="J180" s="1816"/>
      <c r="K180" s="197"/>
      <c r="L180" s="207"/>
      <c r="M180" s="142"/>
    </row>
    <row r="181" spans="1:13" ht="18" customHeight="1" x14ac:dyDescent="0.25">
      <c r="A181" s="1753"/>
      <c r="B181" s="1790"/>
      <c r="C181" s="1755"/>
      <c r="D181" s="1775" t="s">
        <v>37</v>
      </c>
      <c r="E181" s="1856"/>
      <c r="F181" s="1116" t="s">
        <v>381</v>
      </c>
      <c r="G181" s="1113">
        <v>59.5</v>
      </c>
      <c r="H181" s="1114">
        <v>62</v>
      </c>
      <c r="I181" s="1118">
        <v>65</v>
      </c>
      <c r="J181" s="1860" t="s">
        <v>45</v>
      </c>
      <c r="K181" s="1849">
        <v>7</v>
      </c>
      <c r="L181" s="1851">
        <v>7</v>
      </c>
      <c r="M181" s="1853"/>
    </row>
    <row r="182" spans="1:13" ht="18" customHeight="1" x14ac:dyDescent="0.25">
      <c r="A182" s="1753"/>
      <c r="B182" s="1790"/>
      <c r="C182" s="1755"/>
      <c r="D182" s="1855"/>
      <c r="E182" s="1857"/>
      <c r="F182" s="1124"/>
      <c r="G182" s="1125"/>
      <c r="H182" s="1126"/>
      <c r="I182" s="1127"/>
      <c r="J182" s="1861"/>
      <c r="K182" s="1850"/>
      <c r="L182" s="1852"/>
      <c r="M182" s="1854"/>
    </row>
    <row r="183" spans="1:13" ht="18" customHeight="1" x14ac:dyDescent="0.25">
      <c r="A183" s="1753"/>
      <c r="B183" s="1754"/>
      <c r="C183" s="1755"/>
      <c r="D183" s="1858" t="s">
        <v>140</v>
      </c>
      <c r="E183" s="1856"/>
      <c r="F183" s="1119" t="s">
        <v>381</v>
      </c>
      <c r="G183" s="1109">
        <v>120</v>
      </c>
      <c r="H183" s="1110">
        <v>120</v>
      </c>
      <c r="I183" s="1111">
        <v>130</v>
      </c>
      <c r="J183" s="1497" t="s">
        <v>97</v>
      </c>
      <c r="K183" s="211">
        <v>3</v>
      </c>
      <c r="L183" s="564">
        <v>3</v>
      </c>
      <c r="M183" s="465">
        <v>3</v>
      </c>
    </row>
    <row r="184" spans="1:13" ht="27" customHeight="1" x14ac:dyDescent="0.25">
      <c r="A184" s="1753"/>
      <c r="B184" s="1754"/>
      <c r="C184" s="1755"/>
      <c r="D184" s="1822"/>
      <c r="E184" s="1857"/>
      <c r="F184" s="20"/>
      <c r="G184" s="32"/>
      <c r="H184" s="1038"/>
      <c r="I184" s="1056"/>
      <c r="J184" s="1488" t="s">
        <v>409</v>
      </c>
      <c r="K184" s="343">
        <v>1</v>
      </c>
      <c r="L184" s="302">
        <v>1</v>
      </c>
      <c r="M184" s="153">
        <v>1</v>
      </c>
    </row>
    <row r="185" spans="1:13" ht="32" customHeight="1" x14ac:dyDescent="0.25">
      <c r="A185" s="1025"/>
      <c r="B185" s="1026"/>
      <c r="C185" s="1027"/>
      <c r="D185" s="1040"/>
      <c r="E185" s="1857"/>
      <c r="F185" s="20"/>
      <c r="G185" s="32"/>
      <c r="H185" s="1038"/>
      <c r="I185" s="1056"/>
      <c r="J185" s="1507" t="s">
        <v>408</v>
      </c>
      <c r="K185" s="196">
        <v>1</v>
      </c>
      <c r="L185" s="302">
        <v>1</v>
      </c>
      <c r="M185" s="467">
        <v>1</v>
      </c>
    </row>
    <row r="186" spans="1:13" ht="15.65" customHeight="1" x14ac:dyDescent="0.25">
      <c r="A186" s="1025"/>
      <c r="B186" s="1026"/>
      <c r="C186" s="1027"/>
      <c r="D186" s="1040"/>
      <c r="E186" s="1859"/>
      <c r="F186" s="124"/>
      <c r="G186" s="43"/>
      <c r="H186" s="214"/>
      <c r="I186" s="44"/>
      <c r="J186" s="1502" t="s">
        <v>265</v>
      </c>
      <c r="K186" s="566">
        <v>1</v>
      </c>
      <c r="L186" s="203">
        <v>1</v>
      </c>
      <c r="M186" s="466">
        <v>1</v>
      </c>
    </row>
    <row r="187" spans="1:13" ht="20.149999999999999" customHeight="1" x14ac:dyDescent="0.25">
      <c r="A187" s="1035"/>
      <c r="B187" s="1026"/>
      <c r="C187" s="72"/>
      <c r="D187" s="1775" t="s">
        <v>230</v>
      </c>
      <c r="E187" s="176"/>
      <c r="F187" s="20"/>
      <c r="G187" s="32"/>
      <c r="H187" s="1038"/>
      <c r="I187" s="1056"/>
      <c r="J187" s="1777" t="s">
        <v>158</v>
      </c>
      <c r="K187" s="211">
        <v>100</v>
      </c>
      <c r="L187" s="564"/>
      <c r="M187" s="140"/>
    </row>
    <row r="188" spans="1:13" ht="20.149999999999999" customHeight="1" x14ac:dyDescent="0.25">
      <c r="A188" s="1035"/>
      <c r="B188" s="1026"/>
      <c r="C188" s="72"/>
      <c r="D188" s="1855"/>
      <c r="E188" s="176"/>
      <c r="F188" s="1116" t="s">
        <v>395</v>
      </c>
      <c r="G188" s="1125">
        <v>34.9</v>
      </c>
      <c r="H188" s="1126"/>
      <c r="I188" s="1127"/>
      <c r="J188" s="1816"/>
      <c r="K188" s="197"/>
      <c r="L188" s="207"/>
      <c r="M188" s="142"/>
    </row>
    <row r="189" spans="1:13" ht="14.25" customHeight="1" x14ac:dyDescent="0.25">
      <c r="A189" s="1048"/>
      <c r="B189" s="127"/>
      <c r="C189" s="1050"/>
      <c r="D189" s="1775" t="s">
        <v>78</v>
      </c>
      <c r="E189" s="1856" t="s">
        <v>118</v>
      </c>
      <c r="F189" s="1119" t="s">
        <v>394</v>
      </c>
      <c r="G189" s="1113">
        <v>15.5</v>
      </c>
      <c r="H189" s="1114"/>
      <c r="I189" s="1118"/>
      <c r="J189" s="1500" t="s">
        <v>125</v>
      </c>
      <c r="K189" s="312"/>
      <c r="L189" s="208"/>
      <c r="M189" s="143"/>
    </row>
    <row r="190" spans="1:13" ht="15.75" customHeight="1" x14ac:dyDescent="0.25">
      <c r="A190" s="1035"/>
      <c r="B190" s="1026"/>
      <c r="C190" s="72"/>
      <c r="D190" s="1776"/>
      <c r="E190" s="1857"/>
      <c r="F190" s="1116" t="s">
        <v>395</v>
      </c>
      <c r="G190" s="1139">
        <v>8.1999999999999993</v>
      </c>
      <c r="H190" s="1114"/>
      <c r="I190" s="1118"/>
      <c r="J190" s="1495" t="s">
        <v>106</v>
      </c>
      <c r="K190" s="200">
        <v>4</v>
      </c>
      <c r="L190" s="305"/>
      <c r="M190" s="294"/>
    </row>
    <row r="191" spans="1:13" ht="19.5" customHeight="1" x14ac:dyDescent="0.25">
      <c r="A191" s="1035"/>
      <c r="B191" s="1026"/>
      <c r="C191" s="72"/>
      <c r="D191" s="1043"/>
      <c r="E191" s="847" t="s">
        <v>402</v>
      </c>
      <c r="F191" s="1124" t="s">
        <v>394</v>
      </c>
      <c r="G191" s="1125"/>
      <c r="H191" s="1126">
        <v>50.4</v>
      </c>
      <c r="I191" s="1129">
        <v>50.4</v>
      </c>
      <c r="J191" s="1499" t="s">
        <v>79</v>
      </c>
      <c r="K191" s="613"/>
      <c r="L191" s="306">
        <v>7</v>
      </c>
      <c r="M191" s="152">
        <v>7</v>
      </c>
    </row>
    <row r="192" spans="1:13" ht="27" customHeight="1" x14ac:dyDescent="0.25">
      <c r="A192" s="1048"/>
      <c r="B192" s="127"/>
      <c r="C192" s="468"/>
      <c r="D192" s="1775" t="s">
        <v>128</v>
      </c>
      <c r="E192" s="1052"/>
      <c r="F192" s="1180" t="s">
        <v>394</v>
      </c>
      <c r="G192" s="1109"/>
      <c r="H192" s="1110">
        <v>20</v>
      </c>
      <c r="I192" s="1111"/>
      <c r="J192" s="1524" t="s">
        <v>40</v>
      </c>
      <c r="K192" s="991">
        <v>1</v>
      </c>
      <c r="L192" s="991">
        <v>4</v>
      </c>
      <c r="M192" s="619"/>
    </row>
    <row r="193" spans="1:18" ht="18" customHeight="1" x14ac:dyDescent="0.25">
      <c r="A193" s="65"/>
      <c r="B193" s="127"/>
      <c r="C193" s="106"/>
      <c r="D193" s="1765"/>
      <c r="E193" s="1045"/>
      <c r="F193" s="1116" t="s">
        <v>395</v>
      </c>
      <c r="G193" s="1113">
        <v>5.3</v>
      </c>
      <c r="H193" s="1114"/>
      <c r="I193" s="1115"/>
      <c r="J193" s="1521"/>
      <c r="K193" s="392"/>
      <c r="L193" s="193"/>
      <c r="M193" s="1054"/>
    </row>
    <row r="194" spans="1:18" ht="29.25" customHeight="1" x14ac:dyDescent="0.25">
      <c r="A194" s="65"/>
      <c r="B194" s="127"/>
      <c r="C194" s="106"/>
      <c r="D194" s="101" t="s">
        <v>285</v>
      </c>
      <c r="E194" s="1046"/>
      <c r="F194" s="1181"/>
      <c r="G194" s="1157"/>
      <c r="H194" s="1126"/>
      <c r="I194" s="1127"/>
      <c r="J194" s="1502" t="s">
        <v>129</v>
      </c>
      <c r="K194" s="613">
        <v>1</v>
      </c>
      <c r="L194" s="309"/>
      <c r="M194" s="295"/>
    </row>
    <row r="195" spans="1:18" ht="28.25" customHeight="1" x14ac:dyDescent="0.25">
      <c r="A195" s="1025"/>
      <c r="B195" s="1026"/>
      <c r="C195" s="1027"/>
      <c r="D195" s="1756" t="s">
        <v>186</v>
      </c>
      <c r="E195" s="853" t="s">
        <v>403</v>
      </c>
      <c r="F195" s="1116" t="s">
        <v>381</v>
      </c>
      <c r="G195" s="1113"/>
      <c r="H195" s="1114"/>
      <c r="I195" s="1118"/>
      <c r="J195" s="1497" t="s">
        <v>266</v>
      </c>
      <c r="K195" s="496">
        <v>4</v>
      </c>
      <c r="L195" s="190">
        <v>4</v>
      </c>
      <c r="M195" s="563"/>
    </row>
    <row r="196" spans="1:18" ht="17.25" customHeight="1" x14ac:dyDescent="0.25">
      <c r="A196" s="1025"/>
      <c r="B196" s="1026"/>
      <c r="C196" s="1027"/>
      <c r="D196" s="1715"/>
      <c r="E196" s="1046" t="s">
        <v>153</v>
      </c>
      <c r="F196" s="1124"/>
      <c r="G196" s="1125"/>
      <c r="H196" s="1126"/>
      <c r="I196" s="1127"/>
      <c r="J196" s="1525"/>
      <c r="K196" s="347"/>
      <c r="L196" s="194"/>
      <c r="M196" s="545"/>
    </row>
    <row r="197" spans="1:18" ht="17.75" customHeight="1" x14ac:dyDescent="0.25">
      <c r="A197" s="1025"/>
      <c r="B197" s="1026"/>
      <c r="C197" s="75"/>
      <c r="D197" s="1714" t="s">
        <v>307</v>
      </c>
      <c r="E197" s="182" t="s">
        <v>417</v>
      </c>
      <c r="F197" s="1116" t="s">
        <v>394</v>
      </c>
      <c r="G197" s="1131">
        <v>60</v>
      </c>
      <c r="H197" s="1114">
        <v>300</v>
      </c>
      <c r="I197" s="1137"/>
      <c r="J197" s="1524" t="s">
        <v>331</v>
      </c>
      <c r="K197" s="990"/>
      <c r="L197" s="520">
        <v>1</v>
      </c>
      <c r="M197" s="521"/>
    </row>
    <row r="198" spans="1:18" ht="17.75" customHeight="1" x14ac:dyDescent="0.25">
      <c r="A198" s="1025"/>
      <c r="B198" s="1026"/>
      <c r="C198" s="75"/>
      <c r="D198" s="1715"/>
      <c r="E198" s="1046" t="s">
        <v>41</v>
      </c>
      <c r="F198" s="1124"/>
      <c r="G198" s="1125"/>
      <c r="H198" s="1126"/>
      <c r="I198" s="1127"/>
      <c r="J198" s="1499" t="s">
        <v>308</v>
      </c>
      <c r="K198" s="422"/>
      <c r="L198" s="306"/>
      <c r="M198" s="556">
        <v>50</v>
      </c>
    </row>
    <row r="199" spans="1:18" ht="17.75" customHeight="1" x14ac:dyDescent="0.25">
      <c r="A199" s="1025"/>
      <c r="B199" s="1026"/>
      <c r="C199" s="1027"/>
      <c r="D199" s="1058" t="s">
        <v>330</v>
      </c>
      <c r="E199" s="182" t="s">
        <v>417</v>
      </c>
      <c r="F199" s="1116" t="s">
        <v>394</v>
      </c>
      <c r="G199" s="1113"/>
      <c r="H199" s="1114">
        <f>2250-1125</f>
        <v>1125</v>
      </c>
      <c r="I199" s="1118">
        <v>1125</v>
      </c>
      <c r="J199" s="1490" t="s">
        <v>332</v>
      </c>
      <c r="K199" s="991"/>
      <c r="L199" s="558">
        <v>10</v>
      </c>
      <c r="M199" s="294"/>
    </row>
    <row r="200" spans="1:18" ht="17.75" customHeight="1" x14ac:dyDescent="0.25">
      <c r="A200" s="1025"/>
      <c r="B200" s="1026"/>
      <c r="C200" s="1027"/>
      <c r="D200" s="557"/>
      <c r="E200" s="1045" t="s">
        <v>41</v>
      </c>
      <c r="F200" s="1116" t="s">
        <v>390</v>
      </c>
      <c r="G200" s="1113"/>
      <c r="H200" s="1114">
        <f>2750-1375</f>
        <v>1375</v>
      </c>
      <c r="I200" s="1118">
        <v>1375</v>
      </c>
      <c r="J200" s="1490"/>
      <c r="K200" s="513"/>
      <c r="L200" s="305"/>
      <c r="M200" s="294"/>
    </row>
    <row r="201" spans="1:18" ht="17.75" customHeight="1" x14ac:dyDescent="0.25">
      <c r="A201" s="1025"/>
      <c r="B201" s="1026"/>
      <c r="C201" s="1027"/>
      <c r="D201" s="1059"/>
      <c r="E201" s="847" t="s">
        <v>418</v>
      </c>
      <c r="F201" s="1116"/>
      <c r="G201" s="1113"/>
      <c r="H201" s="1114"/>
      <c r="I201" s="1118"/>
      <c r="J201" s="1490"/>
      <c r="K201" s="684"/>
      <c r="L201" s="516"/>
      <c r="M201" s="294"/>
    </row>
    <row r="202" spans="1:18" ht="18" customHeight="1" thickBot="1" x14ac:dyDescent="0.3">
      <c r="A202" s="103"/>
      <c r="B202" s="54"/>
      <c r="C202" s="67"/>
      <c r="D202" s="68"/>
      <c r="E202" s="514"/>
      <c r="F202" s="518" t="s">
        <v>5</v>
      </c>
      <c r="G202" s="790">
        <f>+G160+G161+G162+G163+G164</f>
        <v>7211.8</v>
      </c>
      <c r="H202" s="790">
        <f t="shared" ref="H202:I202" si="4">+H160+H161+H162+H163+H164</f>
        <v>8401</v>
      </c>
      <c r="I202" s="790">
        <f t="shared" si="4"/>
        <v>8904.4</v>
      </c>
      <c r="J202" s="963"/>
      <c r="K202" s="288"/>
      <c r="L202" s="288"/>
      <c r="M202" s="70"/>
    </row>
    <row r="203" spans="1:18" ht="14.25" customHeight="1" thickBot="1" x14ac:dyDescent="0.3">
      <c r="A203" s="30" t="s">
        <v>4</v>
      </c>
      <c r="B203" s="56" t="s">
        <v>6</v>
      </c>
      <c r="C203" s="1839" t="s">
        <v>7</v>
      </c>
      <c r="D203" s="1840"/>
      <c r="E203" s="1840"/>
      <c r="F203" s="1840"/>
      <c r="G203" s="377">
        <f t="shared" ref="G203:I203" si="5">G202</f>
        <v>7211.8</v>
      </c>
      <c r="H203" s="25">
        <f t="shared" si="5"/>
        <v>8401</v>
      </c>
      <c r="I203" s="225">
        <f t="shared" si="5"/>
        <v>8904.4</v>
      </c>
      <c r="J203" s="1862"/>
      <c r="K203" s="1863"/>
      <c r="L203" s="1863"/>
      <c r="M203" s="1864"/>
    </row>
    <row r="204" spans="1:18" ht="18" customHeight="1" thickBot="1" x14ac:dyDescent="0.3">
      <c r="A204" s="24" t="s">
        <v>4</v>
      </c>
      <c r="B204" s="56" t="s">
        <v>25</v>
      </c>
      <c r="C204" s="1844" t="s">
        <v>75</v>
      </c>
      <c r="D204" s="1865"/>
      <c r="E204" s="1865"/>
      <c r="F204" s="1865"/>
      <c r="G204" s="1865"/>
      <c r="H204" s="1865"/>
      <c r="I204" s="1865"/>
      <c r="J204" s="1865"/>
      <c r="K204" s="1865"/>
      <c r="L204" s="1865"/>
      <c r="M204" s="1866"/>
    </row>
    <row r="205" spans="1:18" ht="14.25" customHeight="1" x14ac:dyDescent="0.25">
      <c r="A205" s="121" t="s">
        <v>4</v>
      </c>
      <c r="B205" s="55" t="s">
        <v>25</v>
      </c>
      <c r="C205" s="69" t="s">
        <v>4</v>
      </c>
      <c r="D205" s="1883" t="s">
        <v>73</v>
      </c>
      <c r="E205" s="129" t="s">
        <v>118</v>
      </c>
      <c r="F205" s="20" t="s">
        <v>22</v>
      </c>
      <c r="G205" s="282">
        <f>391.7+46.3</f>
        <v>438</v>
      </c>
      <c r="H205" s="283">
        <v>315.2</v>
      </c>
      <c r="I205" s="427">
        <v>315.2</v>
      </c>
      <c r="J205" s="1526"/>
      <c r="K205" s="282"/>
      <c r="L205" s="283"/>
      <c r="M205" s="155"/>
      <c r="P205" s="1105">
        <f>+G210+G219+G223+G224</f>
        <v>391.7</v>
      </c>
      <c r="Q205" s="1105">
        <f>+H210+H219+H223+H224</f>
        <v>315.2</v>
      </c>
      <c r="R205" s="1105">
        <f>+I210+I219+I223+I224</f>
        <v>315.2</v>
      </c>
    </row>
    <row r="206" spans="1:18" ht="14.25" customHeight="1" x14ac:dyDescent="0.25">
      <c r="A206" s="1025"/>
      <c r="B206" s="1026"/>
      <c r="C206" s="1027"/>
      <c r="D206" s="1884"/>
      <c r="E206" s="129"/>
      <c r="F206" s="20" t="s">
        <v>57</v>
      </c>
      <c r="G206" s="32">
        <f>998.1-26.5+53.8</f>
        <v>1025.4000000000001</v>
      </c>
      <c r="H206" s="1038">
        <f>1155.7+93.9+10</f>
        <v>1259.5999999999999</v>
      </c>
      <c r="I206" s="32">
        <f>1159.7+93.9+10</f>
        <v>1263.5999999999999</v>
      </c>
      <c r="J206" s="1495"/>
      <c r="K206" s="32"/>
      <c r="L206" s="1038"/>
      <c r="M206" s="1056"/>
      <c r="P206" s="1105">
        <f>+G209+G216+G221+G226+G227+G228+G217</f>
        <v>998.1</v>
      </c>
      <c r="Q206" s="1105">
        <f>+H209+H216+H221+H226+H227+H228+H217</f>
        <v>1155.7</v>
      </c>
      <c r="R206" s="1105">
        <f>+I209+I216+I221+I226+I227+I228+I217</f>
        <v>1159.7</v>
      </c>
    </row>
    <row r="207" spans="1:18" ht="14.25" customHeight="1" x14ac:dyDescent="0.25">
      <c r="A207" s="1025"/>
      <c r="B207" s="1026"/>
      <c r="C207" s="1027"/>
      <c r="D207" s="1884"/>
      <c r="E207" s="129"/>
      <c r="F207" s="20" t="s">
        <v>68</v>
      </c>
      <c r="G207" s="32">
        <v>318.39999999999998</v>
      </c>
      <c r="H207" s="1038">
        <v>210</v>
      </c>
      <c r="I207" s="32">
        <v>210</v>
      </c>
      <c r="J207" s="1495"/>
      <c r="K207" s="32"/>
      <c r="L207" s="1038"/>
      <c r="M207" s="1056"/>
      <c r="P207" s="1105">
        <f>+G211+G215</f>
        <v>318.39999999999998</v>
      </c>
      <c r="Q207" s="1105">
        <f>+H211+H215</f>
        <v>210</v>
      </c>
      <c r="R207" s="1105">
        <f>+I211+I215</f>
        <v>210</v>
      </c>
    </row>
    <row r="208" spans="1:18" ht="14.25" customHeight="1" x14ac:dyDescent="0.25">
      <c r="A208" s="1025"/>
      <c r="B208" s="1026"/>
      <c r="C208" s="1027"/>
      <c r="D208" s="1885"/>
      <c r="E208" s="129"/>
      <c r="F208" s="124" t="s">
        <v>59</v>
      </c>
      <c r="G208" s="38">
        <v>15.7</v>
      </c>
      <c r="H208" s="1038">
        <v>20</v>
      </c>
      <c r="I208" s="456">
        <v>26</v>
      </c>
      <c r="J208" s="1525"/>
      <c r="K208" s="202"/>
      <c r="L208" s="214"/>
      <c r="M208" s="456"/>
      <c r="P208" s="1105">
        <f>+G222</f>
        <v>15.7</v>
      </c>
      <c r="Q208" s="1105">
        <f>+H222</f>
        <v>20</v>
      </c>
      <c r="R208" s="1105">
        <f>+I222</f>
        <v>26</v>
      </c>
    </row>
    <row r="209" spans="1:18" ht="15" customHeight="1" x14ac:dyDescent="0.25">
      <c r="A209" s="1025"/>
      <c r="B209" s="1026"/>
      <c r="C209" s="1027"/>
      <c r="D209" s="1714" t="s">
        <v>71</v>
      </c>
      <c r="E209" s="1044" t="s">
        <v>205</v>
      </c>
      <c r="F209" s="1116" t="s">
        <v>394</v>
      </c>
      <c r="G209" s="1135">
        <v>349.1</v>
      </c>
      <c r="H209" s="1110">
        <v>430</v>
      </c>
      <c r="I209" s="1137">
        <v>450</v>
      </c>
      <c r="J209" s="1490" t="s">
        <v>76</v>
      </c>
      <c r="K209" s="1476">
        <v>15.3</v>
      </c>
      <c r="L209" s="502">
        <v>15.3</v>
      </c>
      <c r="M209" s="530">
        <v>15.3</v>
      </c>
      <c r="P209" s="1105">
        <f>SUM(P205:P208)</f>
        <v>1723.9</v>
      </c>
      <c r="Q209" s="1105">
        <f t="shared" ref="Q209:R209" si="6">SUM(Q205:Q208)</f>
        <v>1700.9</v>
      </c>
      <c r="R209" s="1105">
        <f t="shared" si="6"/>
        <v>1710.9</v>
      </c>
    </row>
    <row r="210" spans="1:18" ht="15" customHeight="1" x14ac:dyDescent="0.25">
      <c r="A210" s="1025"/>
      <c r="B210" s="1026"/>
      <c r="C210" s="1027"/>
      <c r="D210" s="1756"/>
      <c r="E210" s="1052"/>
      <c r="F210" s="1116" t="s">
        <v>381</v>
      </c>
      <c r="G210" s="1113">
        <v>207.6</v>
      </c>
      <c r="H210" s="1114">
        <f>55.9+75.2</f>
        <v>131.1</v>
      </c>
      <c r="I210" s="1118">
        <f>55.9+75.2</f>
        <v>131.1</v>
      </c>
      <c r="J210" s="1486" t="s">
        <v>139</v>
      </c>
      <c r="K210" s="504">
        <v>20</v>
      </c>
      <c r="L210" s="1038">
        <v>20</v>
      </c>
      <c r="M210" s="524">
        <v>20</v>
      </c>
      <c r="P210" s="1105">
        <f>+G229-P209</f>
        <v>73.599999999999994</v>
      </c>
      <c r="Q210" s="1105">
        <f>+H229-Q209</f>
        <v>103.9</v>
      </c>
      <c r="R210" s="1105">
        <f>+I229-R209</f>
        <v>103.9</v>
      </c>
    </row>
    <row r="211" spans="1:18" ht="27.65" customHeight="1" x14ac:dyDescent="0.25">
      <c r="A211" s="1025"/>
      <c r="B211" s="1026"/>
      <c r="C211" s="1027"/>
      <c r="D211" s="1756"/>
      <c r="E211" s="1052"/>
      <c r="F211" s="1116" t="s">
        <v>386</v>
      </c>
      <c r="G211" s="1113">
        <v>218.4</v>
      </c>
      <c r="H211" s="1114">
        <v>100</v>
      </c>
      <c r="I211" s="1118">
        <v>100</v>
      </c>
      <c r="J211" s="1486" t="s">
        <v>33</v>
      </c>
      <c r="K211" s="200">
        <v>89</v>
      </c>
      <c r="L211" s="274">
        <v>92</v>
      </c>
      <c r="M211" s="469">
        <v>95</v>
      </c>
    </row>
    <row r="212" spans="1:18" ht="26.15" customHeight="1" x14ac:dyDescent="0.25">
      <c r="A212" s="1025"/>
      <c r="B212" s="1026"/>
      <c r="C212" s="1027"/>
      <c r="D212" s="1756"/>
      <c r="E212" s="854"/>
      <c r="F212" s="1182"/>
      <c r="G212" s="1101"/>
      <c r="H212" s="1183"/>
      <c r="I212" s="1184"/>
      <c r="J212" s="1486" t="s">
        <v>235</v>
      </c>
      <c r="K212" s="343">
        <v>7</v>
      </c>
      <c r="L212" s="274">
        <v>7</v>
      </c>
      <c r="M212" s="144">
        <v>7</v>
      </c>
    </row>
    <row r="213" spans="1:18" ht="26.25" customHeight="1" x14ac:dyDescent="0.25">
      <c r="A213" s="1025"/>
      <c r="B213" s="1026"/>
      <c r="C213" s="1027"/>
      <c r="D213" s="1756"/>
      <c r="E213" s="855"/>
      <c r="F213" s="1116"/>
      <c r="G213" s="1113"/>
      <c r="H213" s="1114"/>
      <c r="I213" s="1118"/>
      <c r="J213" s="1486" t="s">
        <v>410</v>
      </c>
      <c r="K213" s="196">
        <v>1</v>
      </c>
      <c r="L213" s="275"/>
      <c r="M213" s="198"/>
    </row>
    <row r="214" spans="1:18" ht="26.25" customHeight="1" x14ac:dyDescent="0.25">
      <c r="A214" s="1025"/>
      <c r="B214" s="1026"/>
      <c r="C214" s="1027"/>
      <c r="D214" s="1033"/>
      <c r="E214" s="176"/>
      <c r="F214" s="1116"/>
      <c r="G214" s="1157"/>
      <c r="H214" s="1126"/>
      <c r="I214" s="1129"/>
      <c r="J214" s="1499" t="s">
        <v>160</v>
      </c>
      <c r="K214" s="567">
        <v>6</v>
      </c>
      <c r="L214" s="203"/>
      <c r="M214" s="568"/>
    </row>
    <row r="215" spans="1:18" ht="15" customHeight="1" x14ac:dyDescent="0.25">
      <c r="A215" s="1025"/>
      <c r="B215" s="1026"/>
      <c r="C215" s="1027"/>
      <c r="D215" s="1028" t="s">
        <v>53</v>
      </c>
      <c r="E215" s="792"/>
      <c r="F215" s="1119" t="s">
        <v>386</v>
      </c>
      <c r="G215" s="1113">
        <v>100</v>
      </c>
      <c r="H215" s="1114">
        <v>110</v>
      </c>
      <c r="I215" s="1118">
        <v>110</v>
      </c>
      <c r="J215" s="1490" t="s">
        <v>60</v>
      </c>
      <c r="K215" s="1634">
        <v>0.84</v>
      </c>
      <c r="L215" s="305">
        <v>0.84</v>
      </c>
      <c r="M215" s="294">
        <v>0.84</v>
      </c>
    </row>
    <row r="216" spans="1:18" ht="15" customHeight="1" x14ac:dyDescent="0.25">
      <c r="A216" s="1025"/>
      <c r="B216" s="1026"/>
      <c r="C216" s="1027"/>
      <c r="D216" s="1029"/>
      <c r="E216" s="178"/>
      <c r="F216" s="1116" t="s">
        <v>394</v>
      </c>
      <c r="G216" s="1113">
        <v>10.6</v>
      </c>
      <c r="H216" s="1114">
        <v>11.7</v>
      </c>
      <c r="I216" s="1113">
        <v>11.7</v>
      </c>
      <c r="J216" s="1490"/>
      <c r="K216" s="200"/>
      <c r="L216" s="209"/>
      <c r="M216" s="141"/>
    </row>
    <row r="217" spans="1:18" ht="25.5" customHeight="1" x14ac:dyDescent="0.25">
      <c r="A217" s="1025"/>
      <c r="B217" s="1026"/>
      <c r="C217" s="1027"/>
      <c r="D217" s="1867" t="s">
        <v>77</v>
      </c>
      <c r="E217" s="179"/>
      <c r="F217" s="1119" t="s">
        <v>394</v>
      </c>
      <c r="G217" s="1109">
        <v>8</v>
      </c>
      <c r="H217" s="1110">
        <v>8</v>
      </c>
      <c r="I217" s="1131">
        <v>8</v>
      </c>
      <c r="J217" s="1524" t="s">
        <v>292</v>
      </c>
      <c r="K217" s="211">
        <v>14</v>
      </c>
      <c r="L217" s="564">
        <v>14</v>
      </c>
      <c r="M217" s="140">
        <v>14</v>
      </c>
    </row>
    <row r="218" spans="1:18" ht="15.75" customHeight="1" x14ac:dyDescent="0.25">
      <c r="A218" s="1025"/>
      <c r="B218" s="1026"/>
      <c r="C218" s="1027"/>
      <c r="D218" s="1838"/>
      <c r="E218" s="180"/>
      <c r="F218" s="1124"/>
      <c r="G218" s="1125"/>
      <c r="H218" s="1126"/>
      <c r="I218" s="1125"/>
      <c r="J218" s="1498"/>
      <c r="K218" s="197"/>
      <c r="L218" s="207"/>
      <c r="M218" s="142"/>
    </row>
    <row r="219" spans="1:18" ht="18.75" customHeight="1" x14ac:dyDescent="0.25">
      <c r="A219" s="1035"/>
      <c r="B219" s="1026"/>
      <c r="C219" s="72"/>
      <c r="D219" s="1822" t="s">
        <v>90</v>
      </c>
      <c r="E219" s="1045" t="s">
        <v>41</v>
      </c>
      <c r="F219" s="1116" t="s">
        <v>381</v>
      </c>
      <c r="G219" s="1113">
        <v>45</v>
      </c>
      <c r="H219" s="1114">
        <v>45</v>
      </c>
      <c r="I219" s="1113">
        <v>45</v>
      </c>
      <c r="J219" s="1769" t="s">
        <v>293</v>
      </c>
      <c r="K219" s="317">
        <v>10</v>
      </c>
      <c r="L219" s="328">
        <v>10</v>
      </c>
      <c r="M219" s="138">
        <v>10</v>
      </c>
    </row>
    <row r="220" spans="1:18" ht="13.5" customHeight="1" x14ac:dyDescent="0.25">
      <c r="A220" s="1035"/>
      <c r="B220" s="1026"/>
      <c r="C220" s="71"/>
      <c r="D220" s="1871"/>
      <c r="E220" s="1046"/>
      <c r="F220" s="1124"/>
      <c r="G220" s="1125"/>
      <c r="H220" s="1126"/>
      <c r="I220" s="1128"/>
      <c r="J220" s="1877"/>
      <c r="K220" s="381"/>
      <c r="L220" s="276"/>
      <c r="M220" s="154"/>
    </row>
    <row r="221" spans="1:18" ht="19.5" customHeight="1" x14ac:dyDescent="0.25">
      <c r="A221" s="1025"/>
      <c r="B221" s="1026"/>
      <c r="C221" s="1027"/>
      <c r="D221" s="1775" t="s">
        <v>72</v>
      </c>
      <c r="E221" s="1044"/>
      <c r="F221" s="1119" t="s">
        <v>394</v>
      </c>
      <c r="G221" s="1109">
        <v>610.4</v>
      </c>
      <c r="H221" s="1110">
        <v>636</v>
      </c>
      <c r="I221" s="1109">
        <v>660</v>
      </c>
      <c r="J221" s="1524" t="s">
        <v>84</v>
      </c>
      <c r="K221" s="336">
        <v>173</v>
      </c>
      <c r="L221" s="277">
        <v>173</v>
      </c>
      <c r="M221" s="137">
        <v>173</v>
      </c>
    </row>
    <row r="222" spans="1:18" ht="19.5" customHeight="1" x14ac:dyDescent="0.25">
      <c r="A222" s="1035"/>
      <c r="B222" s="1026"/>
      <c r="C222" s="75"/>
      <c r="D222" s="1808"/>
      <c r="E222" s="1046"/>
      <c r="F222" s="1124" t="s">
        <v>395</v>
      </c>
      <c r="G222" s="1125">
        <v>15.7</v>
      </c>
      <c r="H222" s="1126">
        <v>20</v>
      </c>
      <c r="I222" s="1125">
        <v>26</v>
      </c>
      <c r="J222" s="1498"/>
      <c r="K222" s="314"/>
      <c r="L222" s="278"/>
      <c r="M222" s="135"/>
    </row>
    <row r="223" spans="1:18" ht="30" customHeight="1" x14ac:dyDescent="0.25">
      <c r="A223" s="1035"/>
      <c r="B223" s="1026"/>
      <c r="C223" s="71"/>
      <c r="D223" s="472" t="s">
        <v>286</v>
      </c>
      <c r="E223" s="159"/>
      <c r="F223" s="1156" t="s">
        <v>381</v>
      </c>
      <c r="G223" s="1125"/>
      <c r="H223" s="1126"/>
      <c r="I223" s="1128"/>
      <c r="J223" s="1527" t="s">
        <v>267</v>
      </c>
      <c r="K223" s="569"/>
      <c r="L223" s="570">
        <v>10</v>
      </c>
      <c r="M223" s="571"/>
    </row>
    <row r="224" spans="1:18" ht="17.25" customHeight="1" x14ac:dyDescent="0.25">
      <c r="A224" s="1753"/>
      <c r="B224" s="1790"/>
      <c r="C224" s="1870"/>
      <c r="D224" s="1858" t="s">
        <v>141</v>
      </c>
      <c r="E224" s="874" t="s">
        <v>118</v>
      </c>
      <c r="F224" s="1185" t="s">
        <v>381</v>
      </c>
      <c r="G224" s="1113">
        <v>139.1</v>
      </c>
      <c r="H224" s="1114">
        <v>139.1</v>
      </c>
      <c r="I224" s="1118">
        <v>139.1</v>
      </c>
      <c r="J224" s="1490" t="s">
        <v>56</v>
      </c>
      <c r="K224" s="286">
        <v>18</v>
      </c>
      <c r="L224" s="793">
        <v>18</v>
      </c>
      <c r="M224" s="153">
        <v>18</v>
      </c>
    </row>
    <row r="225" spans="1:27" ht="21.75" customHeight="1" x14ac:dyDescent="0.25">
      <c r="A225" s="1753"/>
      <c r="B225" s="1790"/>
      <c r="C225" s="1870"/>
      <c r="D225" s="1871"/>
      <c r="E225" s="1045" t="s">
        <v>418</v>
      </c>
      <c r="F225" s="1181"/>
      <c r="G225" s="1186"/>
      <c r="H225" s="1187"/>
      <c r="I225" s="1186"/>
      <c r="J225" s="1499" t="s">
        <v>61</v>
      </c>
      <c r="K225" s="566">
        <v>7</v>
      </c>
      <c r="L225" s="207">
        <v>7</v>
      </c>
      <c r="M225" s="445">
        <v>7</v>
      </c>
    </row>
    <row r="226" spans="1:27" ht="30" customHeight="1" x14ac:dyDescent="0.25">
      <c r="A226" s="1035"/>
      <c r="B226" s="1026"/>
      <c r="C226" s="71"/>
      <c r="D226" s="472" t="s">
        <v>310</v>
      </c>
      <c r="E226" s="159"/>
      <c r="F226" s="1124" t="s">
        <v>394</v>
      </c>
      <c r="G226" s="1125"/>
      <c r="H226" s="1126">
        <v>40</v>
      </c>
      <c r="I226" s="1128"/>
      <c r="J226" s="1527" t="s">
        <v>185</v>
      </c>
      <c r="K226" s="569"/>
      <c r="L226" s="570">
        <v>1</v>
      </c>
      <c r="M226" s="571"/>
    </row>
    <row r="227" spans="1:27" ht="39.65" customHeight="1" x14ac:dyDescent="0.25">
      <c r="A227" s="1035"/>
      <c r="B227" s="1026"/>
      <c r="C227" s="71"/>
      <c r="D227" s="472" t="s">
        <v>411</v>
      </c>
      <c r="E227" s="159"/>
      <c r="F227" s="1124" t="s">
        <v>394</v>
      </c>
      <c r="G227" s="1125"/>
      <c r="H227" s="1126">
        <v>20</v>
      </c>
      <c r="I227" s="1128">
        <v>20</v>
      </c>
      <c r="J227" s="1527" t="s">
        <v>312</v>
      </c>
      <c r="K227" s="569"/>
      <c r="L227" s="570">
        <v>50</v>
      </c>
      <c r="M227" s="571">
        <v>100</v>
      </c>
    </row>
    <row r="228" spans="1:27" ht="30" customHeight="1" x14ac:dyDescent="0.25">
      <c r="A228" s="1035"/>
      <c r="B228" s="1026"/>
      <c r="C228" s="71"/>
      <c r="D228" s="472" t="s">
        <v>313</v>
      </c>
      <c r="E228" s="159"/>
      <c r="F228" s="1124" t="s">
        <v>394</v>
      </c>
      <c r="G228" s="1125">
        <v>20</v>
      </c>
      <c r="H228" s="1126">
        <v>10</v>
      </c>
      <c r="I228" s="1128">
        <v>10</v>
      </c>
      <c r="J228" s="1527" t="s">
        <v>314</v>
      </c>
      <c r="K228" s="569">
        <v>7</v>
      </c>
      <c r="L228" s="570">
        <v>7</v>
      </c>
      <c r="M228" s="571">
        <v>7</v>
      </c>
    </row>
    <row r="229" spans="1:27" ht="15" customHeight="1" thickBot="1" x14ac:dyDescent="0.3">
      <c r="A229" s="21"/>
      <c r="B229" s="104"/>
      <c r="C229" s="73"/>
      <c r="D229" s="694"/>
      <c r="E229" s="181"/>
      <c r="F229" s="41" t="s">
        <v>5</v>
      </c>
      <c r="G229" s="515">
        <f>+G205+G206+G207+G208</f>
        <v>1797.5</v>
      </c>
      <c r="H229" s="45">
        <f t="shared" ref="H229:I229" si="7">+H205+H206+H207+H208</f>
        <v>1804.8</v>
      </c>
      <c r="I229" s="523">
        <f t="shared" si="7"/>
        <v>1814.8</v>
      </c>
      <c r="J229" s="1283"/>
      <c r="K229" s="284"/>
      <c r="L229" s="281"/>
      <c r="M229" s="285"/>
    </row>
    <row r="230" spans="1:27" ht="13.5" customHeight="1" x14ac:dyDescent="0.25">
      <c r="A230" s="128" t="s">
        <v>4</v>
      </c>
      <c r="B230" s="120" t="s">
        <v>25</v>
      </c>
      <c r="C230" s="80" t="s">
        <v>6</v>
      </c>
      <c r="D230" s="1878" t="s">
        <v>184</v>
      </c>
      <c r="E230" s="1880"/>
      <c r="F230" s="20" t="s">
        <v>22</v>
      </c>
      <c r="G230" s="282">
        <f>20+158.3+4-103.3</f>
        <v>79</v>
      </c>
      <c r="H230" s="283">
        <f>1537.4+349.1+270+31.9-79.6+72.8-618.6</f>
        <v>1563</v>
      </c>
      <c r="I230" s="282">
        <f>136.5-133.1+72.8</f>
        <v>76.2</v>
      </c>
      <c r="J230" s="1528"/>
      <c r="K230" s="282"/>
      <c r="L230" s="283"/>
      <c r="M230" s="155"/>
      <c r="P230" s="1105">
        <f>+G243+G246+G249+G255+G264</f>
        <v>20</v>
      </c>
      <c r="Q230" s="1105">
        <f>+H243+H246+H249+H255+H264</f>
        <v>1537.4</v>
      </c>
      <c r="R230" s="1105">
        <f>+I243+I246+I249+I255+I264</f>
        <v>136.5</v>
      </c>
      <c r="AA230" s="1298"/>
    </row>
    <row r="231" spans="1:27" ht="13.5" customHeight="1" x14ac:dyDescent="0.25">
      <c r="A231" s="1048"/>
      <c r="B231" s="1049"/>
      <c r="C231" s="1050"/>
      <c r="D231" s="1879"/>
      <c r="E231" s="1881"/>
      <c r="F231" s="20" t="s">
        <v>207</v>
      </c>
      <c r="G231" s="32">
        <v>28.6</v>
      </c>
      <c r="H231" s="1038">
        <v>8.3000000000000007</v>
      </c>
      <c r="I231" s="32"/>
      <c r="J231" s="1529"/>
      <c r="K231" s="32"/>
      <c r="L231" s="1038"/>
      <c r="M231" s="1056"/>
      <c r="P231" s="1105">
        <f>+G257</f>
        <v>28.6</v>
      </c>
      <c r="Q231" s="1105">
        <f>+H257</f>
        <v>8.3000000000000007</v>
      </c>
      <c r="R231" s="1105">
        <f>+I257</f>
        <v>0</v>
      </c>
      <c r="AA231" s="1298"/>
    </row>
    <row r="232" spans="1:27" ht="13.5" customHeight="1" x14ac:dyDescent="0.25">
      <c r="A232" s="1048"/>
      <c r="B232" s="1049"/>
      <c r="C232" s="1050"/>
      <c r="D232" s="1879"/>
      <c r="E232" s="1881"/>
      <c r="F232" s="816" t="s">
        <v>57</v>
      </c>
      <c r="G232" s="32">
        <f>846.5+124.5+26.5</f>
        <v>997.5</v>
      </c>
      <c r="H232" s="1038">
        <f>57.2+206.1+721.9</f>
        <v>985.2</v>
      </c>
      <c r="I232" s="32">
        <f>57.2+187.7</f>
        <v>244.9</v>
      </c>
      <c r="J232" s="1529"/>
      <c r="K232" s="32"/>
      <c r="L232" s="1038"/>
      <c r="M232" s="1056"/>
      <c r="P232" s="1105">
        <f>+G244+G248+G250+G261+G263</f>
        <v>846.5</v>
      </c>
      <c r="Q232" s="1105">
        <f>+H244+H248+H250+H261+H263</f>
        <v>57.2</v>
      </c>
      <c r="R232" s="1105">
        <f>+I244+I248+I250+I261+I263</f>
        <v>57.2</v>
      </c>
    </row>
    <row r="233" spans="1:27" ht="13.5" customHeight="1" x14ac:dyDescent="0.25">
      <c r="A233" s="1048"/>
      <c r="B233" s="1049"/>
      <c r="C233" s="1050"/>
      <c r="D233" s="1879"/>
      <c r="E233" s="1881"/>
      <c r="F233" s="20" t="s">
        <v>50</v>
      </c>
      <c r="G233" s="32">
        <v>17.8</v>
      </c>
      <c r="H233" s="1038"/>
      <c r="I233" s="32"/>
      <c r="J233" s="1529"/>
      <c r="K233" s="32"/>
      <c r="L233" s="1038"/>
      <c r="M233" s="1056"/>
      <c r="P233" s="1105">
        <f>+G238+G252+G256</f>
        <v>17.8</v>
      </c>
      <c r="Q233" s="1105">
        <f>+H238+H252+H256</f>
        <v>0</v>
      </c>
      <c r="R233" s="1105">
        <f>+I238+I252+I256</f>
        <v>0</v>
      </c>
    </row>
    <row r="234" spans="1:27" ht="13.5" customHeight="1" x14ac:dyDescent="0.25">
      <c r="A234" s="1048"/>
      <c r="B234" s="1049"/>
      <c r="C234" s="1050"/>
      <c r="D234" s="1879"/>
      <c r="E234" s="1881"/>
      <c r="F234" s="20" t="s">
        <v>59</v>
      </c>
      <c r="G234" s="32">
        <v>363.6</v>
      </c>
      <c r="H234" s="1038"/>
      <c r="I234" s="32"/>
      <c r="J234" s="1529"/>
      <c r="K234" s="32"/>
      <c r="L234" s="1038"/>
      <c r="M234" s="1056"/>
      <c r="P234" s="1105">
        <f>+G247</f>
        <v>363.6</v>
      </c>
      <c r="Q234" s="1105">
        <f>+H247</f>
        <v>0</v>
      </c>
      <c r="R234" s="1105">
        <f>+I247</f>
        <v>0</v>
      </c>
    </row>
    <row r="235" spans="1:27" ht="13.5" customHeight="1" x14ac:dyDescent="0.25">
      <c r="A235" s="1081"/>
      <c r="B235" s="1082"/>
      <c r="C235" s="1080"/>
      <c r="D235" s="1879"/>
      <c r="E235" s="1881"/>
      <c r="F235" s="20" t="s">
        <v>68</v>
      </c>
      <c r="G235" s="32">
        <f>158.7+230-150</f>
        <v>238.7</v>
      </c>
      <c r="H235" s="1086">
        <v>150</v>
      </c>
      <c r="I235" s="32"/>
      <c r="J235" s="1529"/>
      <c r="K235" s="32"/>
      <c r="L235" s="1086"/>
      <c r="M235" s="1089"/>
      <c r="P235" s="1105"/>
      <c r="Q235" s="1105"/>
      <c r="R235" s="1105"/>
    </row>
    <row r="236" spans="1:27" ht="13.5" customHeight="1" x14ac:dyDescent="0.25">
      <c r="A236" s="1081"/>
      <c r="B236" s="1082"/>
      <c r="C236" s="1080"/>
      <c r="D236" s="1879"/>
      <c r="E236" s="1881"/>
      <c r="F236" s="534" t="s">
        <v>367</v>
      </c>
      <c r="G236" s="32">
        <v>13.8</v>
      </c>
      <c r="H236" s="1086"/>
      <c r="I236" s="32"/>
      <c r="J236" s="1529"/>
      <c r="K236" s="32"/>
      <c r="L236" s="1086"/>
      <c r="M236" s="1089"/>
      <c r="P236" s="1105"/>
      <c r="Q236" s="1105"/>
      <c r="R236" s="1105"/>
    </row>
    <row r="237" spans="1:27" ht="14.25" customHeight="1" x14ac:dyDescent="0.25">
      <c r="A237" s="1048"/>
      <c r="B237" s="1049"/>
      <c r="C237" s="1050"/>
      <c r="D237" s="1807"/>
      <c r="E237" s="1882"/>
      <c r="F237" s="124" t="s">
        <v>38</v>
      </c>
      <c r="G237" s="38">
        <f>599.3-484.5</f>
        <v>114.8</v>
      </c>
      <c r="H237" s="214">
        <f>1173.1-1130.5</f>
        <v>42.6</v>
      </c>
      <c r="I237" s="43"/>
      <c r="J237" s="1533"/>
      <c r="K237" s="43"/>
      <c r="L237" s="214"/>
      <c r="M237" s="44"/>
      <c r="P237" s="1105">
        <f>+G245+G253+G258</f>
        <v>599.29999999999995</v>
      </c>
      <c r="Q237" s="1105">
        <f>+H245+H253+H258</f>
        <v>1173.0999999999999</v>
      </c>
      <c r="R237" s="1105">
        <f>+I245+I253+I258</f>
        <v>0</v>
      </c>
    </row>
    <row r="238" spans="1:27" ht="15" customHeight="1" x14ac:dyDescent="0.25">
      <c r="A238" s="1868"/>
      <c r="B238" s="1869"/>
      <c r="C238" s="1870"/>
      <c r="D238" s="1775" t="s">
        <v>413</v>
      </c>
      <c r="E238" s="827" t="s">
        <v>197</v>
      </c>
      <c r="F238" s="1119" t="s">
        <v>382</v>
      </c>
      <c r="G238" s="1135">
        <v>1</v>
      </c>
      <c r="H238" s="1110"/>
      <c r="I238" s="1109"/>
      <c r="J238" s="1872" t="s">
        <v>412</v>
      </c>
      <c r="K238" s="211"/>
      <c r="L238" s="564"/>
      <c r="M238" s="140"/>
      <c r="P238" s="1105">
        <f>SUM(P230:P237)</f>
        <v>1875.8</v>
      </c>
      <c r="Q238" s="1105">
        <f t="shared" ref="Q238:R238" si="8">SUM(Q230:Q237)</f>
        <v>2776</v>
      </c>
      <c r="R238" s="1105">
        <f t="shared" si="8"/>
        <v>193.7</v>
      </c>
    </row>
    <row r="239" spans="1:27" ht="14.25" customHeight="1" x14ac:dyDescent="0.25">
      <c r="A239" s="1868"/>
      <c r="B239" s="1869"/>
      <c r="C239" s="1870"/>
      <c r="D239" s="1776"/>
      <c r="E239" s="828" t="s">
        <v>118</v>
      </c>
      <c r="F239" s="1116"/>
      <c r="G239" s="1113"/>
      <c r="H239" s="1114"/>
      <c r="I239" s="1113"/>
      <c r="J239" s="1873"/>
      <c r="K239" s="473"/>
      <c r="L239" s="474"/>
      <c r="M239" s="475"/>
      <c r="P239" s="1105">
        <f>+P238-G273</f>
        <v>22</v>
      </c>
      <c r="Q239" s="1105">
        <f>+Q238-H273</f>
        <v>26.9</v>
      </c>
      <c r="R239" s="1105">
        <f>+R238-I273</f>
        <v>-127.4</v>
      </c>
    </row>
    <row r="240" spans="1:27" ht="14.25" customHeight="1" x14ac:dyDescent="0.25">
      <c r="A240" s="1868"/>
      <c r="B240" s="1869"/>
      <c r="C240" s="1870"/>
      <c r="D240" s="1807"/>
      <c r="E240" s="1032" t="s">
        <v>205</v>
      </c>
      <c r="F240" s="1116"/>
      <c r="G240" s="1113"/>
      <c r="H240" s="1114"/>
      <c r="I240" s="1113"/>
      <c r="J240" s="1800" t="s">
        <v>174</v>
      </c>
      <c r="K240" s="200"/>
      <c r="L240" s="209"/>
      <c r="M240" s="141"/>
    </row>
    <row r="241" spans="1:18" ht="17.25" customHeight="1" x14ac:dyDescent="0.25">
      <c r="A241" s="1868"/>
      <c r="B241" s="1869"/>
      <c r="C241" s="1870"/>
      <c r="D241" s="1808"/>
      <c r="E241" s="210"/>
      <c r="F241" s="1124"/>
      <c r="G241" s="1126"/>
      <c r="H241" s="1114"/>
      <c r="I241" s="1113"/>
      <c r="J241" s="1801"/>
      <c r="K241" s="200"/>
      <c r="L241" s="209"/>
      <c r="M241" s="545"/>
      <c r="P241" s="1105">
        <f>+G230+G231+G232+G233+G234+G237</f>
        <v>1601.3</v>
      </c>
      <c r="Q241" s="1105">
        <f t="shared" ref="Q241:R241" si="9">+H230+H231+H232+H233+H234+H237</f>
        <v>2599.1</v>
      </c>
      <c r="R241" s="1105">
        <f t="shared" si="9"/>
        <v>321.10000000000002</v>
      </c>
    </row>
    <row r="242" spans="1:18" ht="16.5" customHeight="1" x14ac:dyDescent="0.25">
      <c r="A242" s="1048"/>
      <c r="B242" s="1049"/>
      <c r="C242" s="1050"/>
      <c r="D242" s="794" t="s">
        <v>338</v>
      </c>
      <c r="E242" s="435" t="s">
        <v>197</v>
      </c>
      <c r="F242" s="1119"/>
      <c r="G242" s="1113"/>
      <c r="H242" s="1110"/>
      <c r="I242" s="1137"/>
      <c r="J242" s="37"/>
      <c r="K242" s="923"/>
      <c r="L242" s="581"/>
      <c r="M242" s="583"/>
    </row>
    <row r="243" spans="1:18" ht="16.5" customHeight="1" x14ac:dyDescent="0.25">
      <c r="A243" s="1048"/>
      <c r="B243" s="1049"/>
      <c r="C243" s="1050"/>
      <c r="D243" s="1874" t="s">
        <v>339</v>
      </c>
      <c r="E243" s="436"/>
      <c r="F243" s="1116" t="s">
        <v>381</v>
      </c>
      <c r="G243" s="1139">
        <f>269.5-267.8</f>
        <v>1.7</v>
      </c>
      <c r="H243" s="1114">
        <f>115.5+154</f>
        <v>269.5</v>
      </c>
      <c r="I243" s="1115"/>
      <c r="J243" s="1876" t="s">
        <v>290</v>
      </c>
      <c r="K243" s="888">
        <v>35</v>
      </c>
      <c r="L243" s="701">
        <v>100</v>
      </c>
      <c r="M243" s="584"/>
    </row>
    <row r="244" spans="1:18" ht="16.5" customHeight="1" x14ac:dyDescent="0.25">
      <c r="A244" s="1048"/>
      <c r="B244" s="1049"/>
      <c r="C244" s="1050"/>
      <c r="D244" s="1874"/>
      <c r="E244" s="436"/>
      <c r="F244" s="1165" t="s">
        <v>394</v>
      </c>
      <c r="G244" s="1114">
        <v>113.8</v>
      </c>
      <c r="H244" s="1114"/>
      <c r="I244" s="1115"/>
      <c r="J244" s="1876"/>
      <c r="K244" s="1530"/>
      <c r="L244" s="701"/>
      <c r="M244" s="584"/>
    </row>
    <row r="245" spans="1:18" ht="16.5" customHeight="1" x14ac:dyDescent="0.25">
      <c r="A245" s="1048"/>
      <c r="B245" s="1049"/>
      <c r="C245" s="1050"/>
      <c r="D245" s="1875"/>
      <c r="E245" s="436"/>
      <c r="F245" s="1177" t="s">
        <v>390</v>
      </c>
      <c r="G245" s="1168">
        <f>1130.5-646</f>
        <v>484.5</v>
      </c>
      <c r="H245" s="1168">
        <f>484.5+646</f>
        <v>1130.5</v>
      </c>
      <c r="I245" s="1188"/>
      <c r="J245" s="1492"/>
      <c r="K245" s="1001"/>
      <c r="L245" s="582"/>
      <c r="M245" s="585"/>
    </row>
    <row r="246" spans="1:18" ht="19.25" customHeight="1" x14ac:dyDescent="0.25">
      <c r="A246" s="1048"/>
      <c r="B246" s="1049"/>
      <c r="C246" s="1050"/>
      <c r="D246" s="1889" t="s">
        <v>341</v>
      </c>
      <c r="E246" s="436"/>
      <c r="F246" s="1189" t="s">
        <v>381</v>
      </c>
      <c r="G246" s="1190"/>
      <c r="H246" s="1191">
        <v>133.1</v>
      </c>
      <c r="I246" s="1192">
        <v>133.1</v>
      </c>
      <c r="J246" s="1491" t="s">
        <v>342</v>
      </c>
      <c r="K246" s="200">
        <v>100</v>
      </c>
      <c r="L246" s="209"/>
      <c r="M246" s="589"/>
    </row>
    <row r="247" spans="1:18" ht="19.25" customHeight="1" x14ac:dyDescent="0.25">
      <c r="A247" s="1048"/>
      <c r="B247" s="1049"/>
      <c r="C247" s="1050"/>
      <c r="D247" s="1890"/>
      <c r="E247" s="436"/>
      <c r="F247" s="1116" t="s">
        <v>395</v>
      </c>
      <c r="G247" s="1193">
        <v>363.6</v>
      </c>
      <c r="H247" s="1194"/>
      <c r="I247" s="1195"/>
      <c r="J247" s="1493" t="s">
        <v>343</v>
      </c>
      <c r="K247" s="391">
        <v>11</v>
      </c>
      <c r="L247" s="275">
        <v>12</v>
      </c>
      <c r="M247" s="476">
        <v>12</v>
      </c>
    </row>
    <row r="248" spans="1:18" ht="19.25" customHeight="1" x14ac:dyDescent="0.25">
      <c r="A248" s="1048"/>
      <c r="B248" s="1049"/>
      <c r="C248" s="1050"/>
      <c r="D248" s="1891"/>
      <c r="E248" s="436"/>
      <c r="F248" s="1196" t="s">
        <v>394</v>
      </c>
      <c r="G248" s="1197">
        <v>179.5</v>
      </c>
      <c r="H248" s="1198"/>
      <c r="I248" s="1199"/>
      <c r="J248" s="1493"/>
      <c r="K248" s="349"/>
      <c r="L248" s="209"/>
      <c r="M248" s="545"/>
    </row>
    <row r="249" spans="1:18" ht="41.75" customHeight="1" x14ac:dyDescent="0.25">
      <c r="A249" s="1048"/>
      <c r="B249" s="1049"/>
      <c r="C249" s="1050"/>
      <c r="D249" s="575" t="s">
        <v>414</v>
      </c>
      <c r="E249" s="842"/>
      <c r="F249" s="1116" t="s">
        <v>381</v>
      </c>
      <c r="G249" s="1113">
        <f>694.8-320-320-39.9</f>
        <v>14.9</v>
      </c>
      <c r="H249" s="1110">
        <v>1130</v>
      </c>
      <c r="I249" s="1137"/>
      <c r="J249" s="1508" t="s">
        <v>290</v>
      </c>
      <c r="K249" s="359">
        <v>30</v>
      </c>
      <c r="L249" s="564">
        <v>100</v>
      </c>
      <c r="M249" s="584"/>
    </row>
    <row r="250" spans="1:18" ht="21" customHeight="1" x14ac:dyDescent="0.25">
      <c r="A250" s="1048"/>
      <c r="B250" s="1049"/>
      <c r="C250" s="1050"/>
      <c r="D250" s="719"/>
      <c r="E250" s="436"/>
      <c r="F250" s="1116" t="s">
        <v>394</v>
      </c>
      <c r="G250" s="1113">
        <v>455.1</v>
      </c>
      <c r="H250" s="1114"/>
      <c r="I250" s="1115"/>
      <c r="J250" s="1493"/>
      <c r="K250" s="349"/>
      <c r="L250" s="209"/>
      <c r="M250" s="584"/>
    </row>
    <row r="251" spans="1:18" ht="21" customHeight="1" x14ac:dyDescent="0.25">
      <c r="A251" s="1048"/>
      <c r="B251" s="1049"/>
      <c r="C251" s="1050"/>
      <c r="D251" s="550"/>
      <c r="E251" s="546"/>
      <c r="F251" s="1124"/>
      <c r="G251" s="1126"/>
      <c r="H251" s="1126"/>
      <c r="I251" s="1129"/>
      <c r="J251" s="1493"/>
      <c r="K251" s="1002"/>
      <c r="L251" s="741"/>
      <c r="M251" s="742"/>
    </row>
    <row r="252" spans="1:18" ht="23.25" customHeight="1" x14ac:dyDescent="0.25">
      <c r="A252" s="1868"/>
      <c r="B252" s="1869"/>
      <c r="C252" s="1870"/>
      <c r="D252" s="1776" t="s">
        <v>102</v>
      </c>
      <c r="E252" s="827" t="s">
        <v>198</v>
      </c>
      <c r="F252" s="1116" t="s">
        <v>382</v>
      </c>
      <c r="G252" s="1139">
        <v>11.8</v>
      </c>
      <c r="H252" s="1114"/>
      <c r="I252" s="1113"/>
      <c r="J252" s="1531" t="s">
        <v>335</v>
      </c>
      <c r="K252" s="359">
        <v>1</v>
      </c>
      <c r="L252" s="564"/>
      <c r="M252" s="589"/>
    </row>
    <row r="253" spans="1:18" ht="18" customHeight="1" x14ac:dyDescent="0.25">
      <c r="A253" s="1868"/>
      <c r="B253" s="1869"/>
      <c r="C253" s="1870"/>
      <c r="D253" s="1776"/>
      <c r="E253" s="856" t="s">
        <v>153</v>
      </c>
      <c r="F253" s="1116" t="s">
        <v>390</v>
      </c>
      <c r="G253" s="1113">
        <f>61.7+16.6</f>
        <v>78.3</v>
      </c>
      <c r="H253" s="1114"/>
      <c r="I253" s="1115"/>
      <c r="J253" s="493"/>
      <c r="K253" s="1071"/>
      <c r="L253" s="209"/>
      <c r="M253" s="141"/>
    </row>
    <row r="254" spans="1:18" ht="19.5" customHeight="1" x14ac:dyDescent="0.25">
      <c r="A254" s="1868"/>
      <c r="B254" s="1869"/>
      <c r="C254" s="1870"/>
      <c r="D254" s="1855"/>
      <c r="E254" s="857" t="s">
        <v>205</v>
      </c>
      <c r="F254" s="1116"/>
      <c r="G254" s="1113"/>
      <c r="H254" s="1114"/>
      <c r="I254" s="1113"/>
      <c r="J254" s="1511"/>
      <c r="K254" s="197"/>
      <c r="L254" s="207"/>
      <c r="M254" s="545"/>
    </row>
    <row r="255" spans="1:18" ht="14.25" customHeight="1" x14ac:dyDescent="0.25">
      <c r="A255" s="1753"/>
      <c r="B255" s="1790"/>
      <c r="C255" s="1870"/>
      <c r="D255" s="1775" t="s">
        <v>149</v>
      </c>
      <c r="E255" s="1886" t="s">
        <v>400</v>
      </c>
      <c r="F255" s="1119" t="s">
        <v>381</v>
      </c>
      <c r="G255" s="1109"/>
      <c r="H255" s="1110">
        <v>1.4</v>
      </c>
      <c r="I255" s="1111"/>
      <c r="J255" s="1508" t="s">
        <v>316</v>
      </c>
      <c r="K255" s="319"/>
      <c r="L255" s="558">
        <v>1</v>
      </c>
      <c r="M255" s="147"/>
    </row>
    <row r="256" spans="1:18" ht="14.25" customHeight="1" x14ac:dyDescent="0.25">
      <c r="A256" s="1753"/>
      <c r="B256" s="1790"/>
      <c r="C256" s="1870"/>
      <c r="D256" s="1776"/>
      <c r="E256" s="1887"/>
      <c r="F256" s="1116" t="s">
        <v>382</v>
      </c>
      <c r="G256" s="1113">
        <f>6.1-1.1</f>
        <v>5</v>
      </c>
      <c r="H256" s="1114"/>
      <c r="I256" s="1118"/>
      <c r="J256" s="1493"/>
      <c r="K256" s="1042"/>
      <c r="L256" s="193"/>
      <c r="M256" s="195"/>
    </row>
    <row r="257" spans="1:13" ht="19.5" customHeight="1" x14ac:dyDescent="0.25">
      <c r="A257" s="1753"/>
      <c r="B257" s="1790"/>
      <c r="C257" s="1870"/>
      <c r="D257" s="1776"/>
      <c r="E257" s="1888"/>
      <c r="F257" s="1124" t="s">
        <v>396</v>
      </c>
      <c r="G257" s="1125">
        <f>34.2-5.6</f>
        <v>28.6</v>
      </c>
      <c r="H257" s="1126">
        <v>8.3000000000000007</v>
      </c>
      <c r="I257" s="1127"/>
      <c r="J257" s="1511"/>
      <c r="K257" s="387"/>
      <c r="L257" s="280"/>
      <c r="M257" s="273"/>
    </row>
    <row r="258" spans="1:13" ht="14.25" customHeight="1" x14ac:dyDescent="0.25">
      <c r="A258" s="1753"/>
      <c r="B258" s="1790"/>
      <c r="C258" s="1870"/>
      <c r="D258" s="1775" t="s">
        <v>287</v>
      </c>
      <c r="E258" s="1886" t="s">
        <v>400</v>
      </c>
      <c r="F258" s="1116" t="s">
        <v>390</v>
      </c>
      <c r="G258" s="1113">
        <v>36.5</v>
      </c>
      <c r="H258" s="1114">
        <v>42.6</v>
      </c>
      <c r="I258" s="1113"/>
      <c r="J258" s="1493" t="s">
        <v>152</v>
      </c>
      <c r="K258" s="286"/>
      <c r="L258" s="279">
        <v>1</v>
      </c>
      <c r="M258" s="153"/>
    </row>
    <row r="259" spans="1:13" ht="13.5" customHeight="1" x14ac:dyDescent="0.25">
      <c r="A259" s="1753"/>
      <c r="B259" s="1790"/>
      <c r="C259" s="1870"/>
      <c r="D259" s="1776"/>
      <c r="E259" s="1887"/>
      <c r="F259" s="1116"/>
      <c r="G259" s="1113"/>
      <c r="H259" s="1114"/>
      <c r="I259" s="1113"/>
      <c r="J259" s="1493"/>
      <c r="K259" s="200"/>
      <c r="L259" s="209"/>
      <c r="M259" s="141"/>
    </row>
    <row r="260" spans="1:13" ht="14.25" customHeight="1" x14ac:dyDescent="0.25">
      <c r="A260" s="1753"/>
      <c r="B260" s="1790"/>
      <c r="C260" s="1870"/>
      <c r="D260" s="1855"/>
      <c r="E260" s="1888"/>
      <c r="F260" s="1124"/>
      <c r="G260" s="1125"/>
      <c r="H260" s="1126"/>
      <c r="I260" s="1125"/>
      <c r="J260" s="1511"/>
      <c r="K260" s="197"/>
      <c r="L260" s="207"/>
      <c r="M260" s="142"/>
    </row>
    <row r="261" spans="1:13" ht="24" customHeight="1" x14ac:dyDescent="0.25">
      <c r="A261" s="1753"/>
      <c r="B261" s="1790"/>
      <c r="C261" s="1870"/>
      <c r="D261" s="1775" t="s">
        <v>113</v>
      </c>
      <c r="E261" s="1044" t="s">
        <v>205</v>
      </c>
      <c r="F261" s="1119" t="s">
        <v>394</v>
      </c>
      <c r="G261" s="1109">
        <v>57.2</v>
      </c>
      <c r="H261" s="1110">
        <v>57.2</v>
      </c>
      <c r="I261" s="1109">
        <v>57.2</v>
      </c>
      <c r="J261" s="1500" t="s">
        <v>116</v>
      </c>
      <c r="K261" s="312">
        <v>16</v>
      </c>
      <c r="L261" s="208">
        <v>16</v>
      </c>
      <c r="M261" s="143">
        <v>16</v>
      </c>
    </row>
    <row r="262" spans="1:13" ht="29.75" customHeight="1" x14ac:dyDescent="0.25">
      <c r="A262" s="1753"/>
      <c r="B262" s="1790"/>
      <c r="C262" s="1870"/>
      <c r="D262" s="1776"/>
      <c r="E262" s="1032" t="s">
        <v>153</v>
      </c>
      <c r="F262" s="1116"/>
      <c r="G262" s="1113"/>
      <c r="H262" s="1114"/>
      <c r="I262" s="1113"/>
      <c r="J262" s="1493" t="s">
        <v>232</v>
      </c>
      <c r="K262" s="200">
        <v>5</v>
      </c>
      <c r="L262" s="209">
        <v>5</v>
      </c>
      <c r="M262" s="141">
        <v>5</v>
      </c>
    </row>
    <row r="263" spans="1:13" ht="17.75" customHeight="1" x14ac:dyDescent="0.25">
      <c r="A263" s="1753"/>
      <c r="B263" s="1790"/>
      <c r="C263" s="1870"/>
      <c r="D263" s="1855"/>
      <c r="E263" s="1045" t="s">
        <v>418</v>
      </c>
      <c r="F263" s="1124" t="s">
        <v>394</v>
      </c>
      <c r="G263" s="1125">
        <v>40.9</v>
      </c>
      <c r="H263" s="1126"/>
      <c r="I263" s="1125"/>
      <c r="J263" s="1532" t="s">
        <v>315</v>
      </c>
      <c r="K263" s="566">
        <v>8</v>
      </c>
      <c r="L263" s="605"/>
      <c r="M263" s="445"/>
    </row>
    <row r="264" spans="1:13" ht="15.75" customHeight="1" x14ac:dyDescent="0.25">
      <c r="A264" s="1753"/>
      <c r="B264" s="1790"/>
      <c r="C264" s="1870"/>
      <c r="D264" s="1775" t="s">
        <v>245</v>
      </c>
      <c r="E264" s="1044" t="s">
        <v>205</v>
      </c>
      <c r="F264" s="1119" t="s">
        <v>381</v>
      </c>
      <c r="G264" s="1109">
        <v>3.4</v>
      </c>
      <c r="H264" s="1110">
        <v>3.4</v>
      </c>
      <c r="I264" s="1109">
        <v>3.4</v>
      </c>
      <c r="J264" s="1777" t="s">
        <v>246</v>
      </c>
      <c r="K264" s="211">
        <v>3</v>
      </c>
      <c r="L264" s="564">
        <v>3</v>
      </c>
      <c r="M264" s="140">
        <v>3</v>
      </c>
    </row>
    <row r="265" spans="1:13" ht="13.5" customHeight="1" x14ac:dyDescent="0.25">
      <c r="A265" s="1753"/>
      <c r="B265" s="1790"/>
      <c r="C265" s="1870"/>
      <c r="D265" s="1855"/>
      <c r="E265" s="858" t="s">
        <v>153</v>
      </c>
      <c r="F265" s="1124"/>
      <c r="G265" s="1125"/>
      <c r="H265" s="1126"/>
      <c r="I265" s="1125"/>
      <c r="J265" s="1816"/>
      <c r="K265" s="197"/>
      <c r="L265" s="207"/>
      <c r="M265" s="142"/>
    </row>
    <row r="266" spans="1:13" ht="13.5" customHeight="1" x14ac:dyDescent="0.25">
      <c r="A266" s="1091"/>
      <c r="B266" s="1092"/>
      <c r="C266" s="1093"/>
      <c r="D266" s="1714" t="s">
        <v>448</v>
      </c>
      <c r="E266" s="1907" t="s">
        <v>447</v>
      </c>
      <c r="F266" s="1116"/>
      <c r="G266" s="1135"/>
      <c r="H266" s="1131"/>
      <c r="I266" s="1113"/>
      <c r="J266" s="1500" t="s">
        <v>449</v>
      </c>
      <c r="K266" s="375">
        <v>1</v>
      </c>
      <c r="L266" s="208"/>
      <c r="M266" s="143"/>
    </row>
    <row r="267" spans="1:13" ht="13.5" customHeight="1" x14ac:dyDescent="0.25">
      <c r="A267" s="1091"/>
      <c r="B267" s="1092"/>
      <c r="C267" s="1093"/>
      <c r="D267" s="1756"/>
      <c r="E267" s="1908"/>
      <c r="F267" s="1116"/>
      <c r="G267" s="1139"/>
      <c r="H267" s="1117"/>
      <c r="I267" s="1113"/>
      <c r="J267" s="1490" t="s">
        <v>450</v>
      </c>
      <c r="K267" s="349">
        <v>1</v>
      </c>
      <c r="L267" s="274"/>
      <c r="M267" s="144"/>
    </row>
    <row r="268" spans="1:13" ht="13.5" customHeight="1" x14ac:dyDescent="0.25">
      <c r="A268" s="1091"/>
      <c r="B268" s="1092"/>
      <c r="C268" s="1093"/>
      <c r="D268" s="1756"/>
      <c r="E268" s="1908"/>
      <c r="F268" s="1116"/>
      <c r="G268" s="1139"/>
      <c r="H268" s="1117"/>
      <c r="I268" s="1113"/>
      <c r="J268" s="1486" t="s">
        <v>451</v>
      </c>
      <c r="K268" s="391"/>
      <c r="L268" s="209">
        <v>5</v>
      </c>
      <c r="M268" s="141"/>
    </row>
    <row r="269" spans="1:13" ht="13.5" customHeight="1" x14ac:dyDescent="0.25">
      <c r="A269" s="1091"/>
      <c r="B269" s="1092"/>
      <c r="C269" s="1093"/>
      <c r="D269" s="1756"/>
      <c r="E269" s="1908"/>
      <c r="F269" s="1116"/>
      <c r="G269" s="1139"/>
      <c r="H269" s="1117"/>
      <c r="I269" s="1113"/>
      <c r="J269" s="1490" t="s">
        <v>452</v>
      </c>
      <c r="K269" s="391"/>
      <c r="L269" s="274">
        <v>5</v>
      </c>
      <c r="M269" s="198"/>
    </row>
    <row r="270" spans="1:13" ht="13.5" customHeight="1" x14ac:dyDescent="0.25">
      <c r="A270" s="1091"/>
      <c r="B270" s="1092"/>
      <c r="C270" s="1093"/>
      <c r="D270" s="1756"/>
      <c r="E270" s="1908"/>
      <c r="F270" s="1116"/>
      <c r="G270" s="1139"/>
      <c r="H270" s="1117"/>
      <c r="I270" s="1113"/>
      <c r="J270" s="1486" t="s">
        <v>453</v>
      </c>
      <c r="K270" s="391"/>
      <c r="L270" s="274">
        <v>2</v>
      </c>
      <c r="M270" s="198"/>
    </row>
    <row r="271" spans="1:13" ht="13.5" customHeight="1" x14ac:dyDescent="0.25">
      <c r="A271" s="1091"/>
      <c r="B271" s="1092"/>
      <c r="C271" s="1093"/>
      <c r="D271" s="1756"/>
      <c r="E271" s="1908"/>
      <c r="F271" s="1116"/>
      <c r="G271" s="1139"/>
      <c r="H271" s="1117"/>
      <c r="I271" s="1113"/>
      <c r="J271" s="1919" t="s">
        <v>454</v>
      </c>
      <c r="K271" s="391"/>
      <c r="L271" s="209">
        <v>1</v>
      </c>
      <c r="M271" s="476">
        <v>1</v>
      </c>
    </row>
    <row r="272" spans="1:13" ht="13.5" customHeight="1" x14ac:dyDescent="0.25">
      <c r="A272" s="1091"/>
      <c r="B272" s="1092"/>
      <c r="C272" s="1093"/>
      <c r="D272" s="1715"/>
      <c r="E272" s="858"/>
      <c r="F272" s="1116"/>
      <c r="G272" s="1157"/>
      <c r="H272" s="1128"/>
      <c r="I272" s="1113"/>
      <c r="J272" s="1816"/>
      <c r="K272" s="350"/>
      <c r="L272" s="207"/>
      <c r="M272" s="545"/>
    </row>
    <row r="273" spans="1:19" ht="14.25" customHeight="1" thickBot="1" x14ac:dyDescent="0.3">
      <c r="A273" s="21"/>
      <c r="B273" s="104"/>
      <c r="C273" s="1300"/>
      <c r="D273" s="694"/>
      <c r="E273" s="181"/>
      <c r="F273" s="518" t="s">
        <v>5</v>
      </c>
      <c r="G273" s="515">
        <f>+G230+G231+G232+G233+G234+G237+G235+G236</f>
        <v>1853.8</v>
      </c>
      <c r="H273" s="1100">
        <f t="shared" ref="H273:I273" si="10">+H230+H231+H232+H233+H234+H237+H235+H236</f>
        <v>2749.1</v>
      </c>
      <c r="I273" s="523">
        <f t="shared" si="10"/>
        <v>321.10000000000002</v>
      </c>
      <c r="J273" s="74"/>
      <c r="K273" s="284"/>
      <c r="L273" s="284"/>
      <c r="M273" s="102"/>
    </row>
    <row r="274" spans="1:19" ht="14.25" customHeight="1" thickBot="1" x14ac:dyDescent="0.3">
      <c r="A274" s="30" t="s">
        <v>4</v>
      </c>
      <c r="B274" s="25" t="s">
        <v>25</v>
      </c>
      <c r="C274" s="1840" t="s">
        <v>7</v>
      </c>
      <c r="D274" s="1840"/>
      <c r="E274" s="1840"/>
      <c r="F274" s="1841"/>
      <c r="G274" s="382">
        <f>G273+G229</f>
        <v>3651.3</v>
      </c>
      <c r="H274" s="104">
        <f t="shared" ref="H274:I274" si="11">H273+H229</f>
        <v>4553.8999999999996</v>
      </c>
      <c r="I274" s="258">
        <f t="shared" si="11"/>
        <v>2135.9</v>
      </c>
      <c r="J274" s="1862"/>
      <c r="K274" s="1863"/>
      <c r="L274" s="1863"/>
      <c r="M274" s="1864"/>
    </row>
    <row r="275" spans="1:19" ht="14.25" customHeight="1" thickBot="1" x14ac:dyDescent="0.3">
      <c r="A275" s="30" t="s">
        <v>4</v>
      </c>
      <c r="B275" s="1909" t="s">
        <v>8</v>
      </c>
      <c r="C275" s="1910"/>
      <c r="D275" s="1910"/>
      <c r="E275" s="1910"/>
      <c r="F275" s="1911"/>
      <c r="G275" s="383">
        <f>G274+G203+G158</f>
        <v>34868.5</v>
      </c>
      <c r="H275" s="265">
        <f>H274+H203+H158</f>
        <v>50372.1</v>
      </c>
      <c r="I275" s="259">
        <f>I274+I203+I158</f>
        <v>36476.9</v>
      </c>
      <c r="J275" s="1912"/>
      <c r="K275" s="1912"/>
      <c r="L275" s="1912"/>
      <c r="M275" s="1913"/>
    </row>
    <row r="276" spans="1:19" ht="15" customHeight="1" thickBot="1" x14ac:dyDescent="0.3">
      <c r="A276" s="33" t="s">
        <v>31</v>
      </c>
      <c r="B276" s="1914" t="s">
        <v>48</v>
      </c>
      <c r="C276" s="1915"/>
      <c r="D276" s="1915"/>
      <c r="E276" s="1915"/>
      <c r="F276" s="1916"/>
      <c r="G276" s="384">
        <f>SUM(G275)</f>
        <v>34868.5</v>
      </c>
      <c r="H276" s="266">
        <f t="shared" ref="H276:I276" si="12">SUM(H275)</f>
        <v>50372.1</v>
      </c>
      <c r="I276" s="260">
        <f t="shared" si="12"/>
        <v>36476.9</v>
      </c>
      <c r="J276" s="1917"/>
      <c r="K276" s="1917"/>
      <c r="L276" s="1917"/>
      <c r="M276" s="1918"/>
    </row>
    <row r="277" spans="1:19" ht="14.25" customHeight="1" x14ac:dyDescent="0.25">
      <c r="A277" s="1950"/>
      <c r="B277" s="1950"/>
      <c r="C277" s="1950"/>
      <c r="D277" s="1950"/>
      <c r="E277" s="1950"/>
      <c r="F277" s="608"/>
      <c r="G277" s="608"/>
      <c r="H277" s="608"/>
      <c r="I277" s="608"/>
      <c r="J277" s="34"/>
      <c r="K277" s="34"/>
      <c r="L277" s="34"/>
      <c r="M277" s="34"/>
    </row>
    <row r="278" spans="1:19" ht="14.25" customHeight="1" x14ac:dyDescent="0.25">
      <c r="A278" s="478"/>
      <c r="B278" s="478"/>
      <c r="C278" s="478"/>
      <c r="D278" s="478"/>
      <c r="E278" s="478"/>
      <c r="F278" s="478"/>
      <c r="G278" s="34"/>
      <c r="H278" s="34"/>
      <c r="I278" s="34"/>
      <c r="J278" s="34"/>
      <c r="K278" s="34"/>
      <c r="L278" s="34"/>
      <c r="M278" s="34"/>
    </row>
    <row r="279" spans="1:19" s="5" customFormat="1" ht="15" customHeight="1" thickBot="1" x14ac:dyDescent="0.3">
      <c r="A279" s="1951" t="s">
        <v>11</v>
      </c>
      <c r="B279" s="1951"/>
      <c r="C279" s="1951"/>
      <c r="D279" s="1951"/>
      <c r="E279" s="1951"/>
      <c r="F279" s="1951"/>
      <c r="G279" s="1951"/>
      <c r="H279" s="1951"/>
      <c r="I279" s="1951"/>
      <c r="J279" s="34"/>
      <c r="K279" s="34"/>
      <c r="L279" s="34"/>
      <c r="M279" s="34"/>
      <c r="O279" s="1"/>
      <c r="P279" s="1101"/>
      <c r="Q279" s="1101"/>
      <c r="R279" s="1101"/>
      <c r="S279" s="1107"/>
    </row>
    <row r="280" spans="1:19" ht="54" customHeight="1" thickBot="1" x14ac:dyDescent="0.3">
      <c r="A280" s="1895" t="s">
        <v>9</v>
      </c>
      <c r="B280" s="1896"/>
      <c r="C280" s="1896"/>
      <c r="D280" s="1896"/>
      <c r="E280" s="1896"/>
      <c r="F280" s="1897"/>
      <c r="G280" s="885" t="s">
        <v>419</v>
      </c>
      <c r="H280" s="885" t="s">
        <v>420</v>
      </c>
      <c r="I280" s="885" t="s">
        <v>421</v>
      </c>
      <c r="J280" s="1299"/>
      <c r="K280" s="10"/>
      <c r="L280" s="10"/>
      <c r="M280" s="10"/>
    </row>
    <row r="281" spans="1:19" ht="14.25" customHeight="1" x14ac:dyDescent="0.25">
      <c r="A281" s="1898" t="s">
        <v>12</v>
      </c>
      <c r="B281" s="1899"/>
      <c r="C281" s="1899"/>
      <c r="D281" s="1899"/>
      <c r="E281" s="1899"/>
      <c r="F281" s="1900"/>
      <c r="G281" s="94">
        <f>G282+G293+G294+G295+G292</f>
        <v>31560.5</v>
      </c>
      <c r="H281" s="94">
        <f>H282+H293+H294+H295+H292</f>
        <v>30542.6</v>
      </c>
      <c r="I281" s="94">
        <f>I282+I293+I294+I295+I292</f>
        <v>21416.799999999999</v>
      </c>
      <c r="J281" s="10"/>
      <c r="K281" s="10"/>
      <c r="L281" s="10"/>
      <c r="M281" s="10"/>
    </row>
    <row r="282" spans="1:19" ht="16.5" customHeight="1" x14ac:dyDescent="0.25">
      <c r="A282" s="1901" t="s">
        <v>62</v>
      </c>
      <c r="B282" s="1902"/>
      <c r="C282" s="1902"/>
      <c r="D282" s="1902"/>
      <c r="E282" s="1902"/>
      <c r="F282" s="1903"/>
      <c r="G282" s="93">
        <f t="shared" ref="G282:I282" si="13">SUM(G283:G291)</f>
        <v>29429.599999999999</v>
      </c>
      <c r="H282" s="93">
        <f t="shared" si="13"/>
        <v>30464.9</v>
      </c>
      <c r="I282" s="267">
        <f t="shared" si="13"/>
        <v>21390.799999999999</v>
      </c>
      <c r="J282" s="10"/>
      <c r="K282" s="10"/>
      <c r="L282" s="10"/>
      <c r="M282" s="10"/>
    </row>
    <row r="283" spans="1:19" ht="14.25" customHeight="1" x14ac:dyDescent="0.25">
      <c r="A283" s="1904" t="s">
        <v>17</v>
      </c>
      <c r="B283" s="1905"/>
      <c r="C283" s="1905"/>
      <c r="D283" s="1905"/>
      <c r="E283" s="1905"/>
      <c r="F283" s="1906"/>
      <c r="G283" s="124">
        <f>SUMIF(F16:F276,"SB",G16:G276)</f>
        <v>11559.2</v>
      </c>
      <c r="H283" s="124">
        <f>SUMIF(F16:F276,"SB",H16:H276)</f>
        <v>12249.1</v>
      </c>
      <c r="I283" s="44">
        <f>SUMIF(F16:F276,"SB",I16:I276)</f>
        <v>10328.299999999999</v>
      </c>
      <c r="J283" s="16"/>
      <c r="K283" s="10"/>
      <c r="L283" s="10"/>
      <c r="M283" s="10"/>
    </row>
    <row r="284" spans="1:19" ht="14.25" customHeight="1" x14ac:dyDescent="0.25">
      <c r="A284" s="1941" t="s">
        <v>364</v>
      </c>
      <c r="B284" s="1942"/>
      <c r="C284" s="1942"/>
      <c r="D284" s="1942"/>
      <c r="E284" s="1942"/>
      <c r="F284" s="1943"/>
      <c r="G284" s="124">
        <f>SUMIF(F16:F276,"SB(P)",G16:G276)</f>
        <v>422.4</v>
      </c>
      <c r="H284" s="124">
        <f>SUMIF(F16:F276,"SB(P)",H16:H276)</f>
        <v>0</v>
      </c>
      <c r="I284" s="44">
        <f>SUMIF(F16:F276,"SB(P)",I16:I276)</f>
        <v>0</v>
      </c>
      <c r="J284" s="16"/>
      <c r="K284" s="10"/>
      <c r="L284" s="10"/>
      <c r="M284" s="10"/>
    </row>
    <row r="285" spans="1:19" ht="27.75" customHeight="1" x14ac:dyDescent="0.25">
      <c r="A285" s="1941" t="s">
        <v>368</v>
      </c>
      <c r="B285" s="1942"/>
      <c r="C285" s="1942"/>
      <c r="D285" s="1942"/>
      <c r="E285" s="1942"/>
      <c r="F285" s="1943"/>
      <c r="G285" s="124">
        <f>SUMIF(F16:F276,"SB(K)",G16:G276)</f>
        <v>427.9</v>
      </c>
      <c r="H285" s="124">
        <f>SUMIF(F16:F276,"SB(K)",H16:H276)</f>
        <v>0</v>
      </c>
      <c r="I285" s="44">
        <f>SUMIF(F16:F276,"SB(K)",I16:I276)</f>
        <v>0</v>
      </c>
      <c r="J285" s="16"/>
      <c r="K285" s="10"/>
      <c r="L285" s="10"/>
      <c r="M285" s="10"/>
    </row>
    <row r="286" spans="1:19" ht="14.25" customHeight="1" x14ac:dyDescent="0.25">
      <c r="A286" s="1935" t="s">
        <v>58</v>
      </c>
      <c r="B286" s="1936"/>
      <c r="C286" s="1936"/>
      <c r="D286" s="1936"/>
      <c r="E286" s="1936"/>
      <c r="F286" s="1937"/>
      <c r="G286" s="124">
        <f>SUMIF(F16:F276,"SB(VR)",G16:G276)</f>
        <v>2074.5</v>
      </c>
      <c r="H286" s="124">
        <f>SUMIF(F16:F276,"SB(VR)",H16:H276)</f>
        <v>3500.2</v>
      </c>
      <c r="I286" s="44">
        <f>SUMIF(F16:F276,"SB(VR)",I16:I276)</f>
        <v>3245.2</v>
      </c>
      <c r="J286" s="10"/>
      <c r="K286" s="10"/>
      <c r="L286" s="10"/>
      <c r="M286" s="10"/>
    </row>
    <row r="287" spans="1:19" ht="14.25" customHeight="1" x14ac:dyDescent="0.25">
      <c r="A287" s="1941" t="s">
        <v>366</v>
      </c>
      <c r="B287" s="1942"/>
      <c r="C287" s="1942"/>
      <c r="D287" s="1942"/>
      <c r="E287" s="1942"/>
      <c r="F287" s="1943"/>
      <c r="G287" s="124">
        <f>SUMIF(F16:F276,"SB(SPI)",G16:G276)</f>
        <v>150</v>
      </c>
      <c r="H287" s="124">
        <f>SUMIF(F16:F276,"SB(SPI)",H16:H276)</f>
        <v>0</v>
      </c>
      <c r="I287" s="44">
        <f>SUMIF(F16:F276,"SB(SPI)",I16:I276)</f>
        <v>0</v>
      </c>
      <c r="J287" s="10"/>
      <c r="K287" s="10"/>
      <c r="L287" s="10"/>
      <c r="M287" s="10"/>
    </row>
    <row r="288" spans="1:19" ht="27" customHeight="1" x14ac:dyDescent="0.25">
      <c r="A288" s="1892" t="s">
        <v>415</v>
      </c>
      <c r="B288" s="1893"/>
      <c r="C288" s="1893"/>
      <c r="D288" s="1893"/>
      <c r="E288" s="1893"/>
      <c r="F288" s="1894"/>
      <c r="G288" s="17">
        <f>SUMIF(F16:F276,"SB(ES)",G16:G276)</f>
        <v>576.79999999999995</v>
      </c>
      <c r="H288" s="17">
        <f>SUMIF(F16:F276,"SB(ES)",H16:H276)</f>
        <v>805.7</v>
      </c>
      <c r="I288" s="268">
        <f>SUMIF(F16:F276,"SB(ES)",I16:I276)</f>
        <v>195.4</v>
      </c>
      <c r="J288" s="10"/>
      <c r="K288" s="10"/>
      <c r="L288" s="10"/>
      <c r="M288" s="10"/>
    </row>
    <row r="289" spans="1:21" ht="14.25" customHeight="1" x14ac:dyDescent="0.25">
      <c r="A289" s="1892" t="s">
        <v>122</v>
      </c>
      <c r="B289" s="1893"/>
      <c r="C289" s="1893"/>
      <c r="D289" s="1893"/>
      <c r="E289" s="1893"/>
      <c r="F289" s="1894"/>
      <c r="G289" s="17">
        <f>SUMIF(F16:F276,"SB(VB)",G16:G276)</f>
        <v>9036</v>
      </c>
      <c r="H289" s="17">
        <f>SUMIF(F16:F276,"SB(VB)",H16:H276)</f>
        <v>8000</v>
      </c>
      <c r="I289" s="268">
        <f>SUMIF(F16:F276,"SB(VB)",I16:I276)</f>
        <v>0</v>
      </c>
      <c r="J289" s="10"/>
      <c r="K289" s="10"/>
      <c r="L289" s="10"/>
      <c r="M289" s="10"/>
      <c r="U289" s="16"/>
    </row>
    <row r="290" spans="1:21" ht="26.25" customHeight="1" x14ac:dyDescent="0.25">
      <c r="A290" s="1941" t="s">
        <v>142</v>
      </c>
      <c r="B290" s="1942"/>
      <c r="C290" s="1942"/>
      <c r="D290" s="1942"/>
      <c r="E290" s="1942"/>
      <c r="F290" s="1943"/>
      <c r="G290" s="17">
        <f>SUMIF(F16:F276,"SB(KPP)",G16:G276)</f>
        <v>5154.2</v>
      </c>
      <c r="H290" s="17">
        <f>SUMIF(F16:F276,"SB(KPP)",H16:H276)</f>
        <v>5901.6</v>
      </c>
      <c r="I290" s="268">
        <f>SUMIF(F16:F276,"SB(KPP)",I16:I276)</f>
        <v>7621.9</v>
      </c>
      <c r="J290" s="10"/>
      <c r="K290" s="10"/>
      <c r="L290" s="10"/>
      <c r="M290" s="10"/>
    </row>
    <row r="291" spans="1:21" ht="27" customHeight="1" x14ac:dyDescent="0.25">
      <c r="A291" s="1941" t="s">
        <v>208</v>
      </c>
      <c r="B291" s="1942"/>
      <c r="C291" s="1942"/>
      <c r="D291" s="1942"/>
      <c r="E291" s="1942"/>
      <c r="F291" s="1943"/>
      <c r="G291" s="17">
        <f>SUMIF(F16:F276,"SB(ESA)",G16:G276)</f>
        <v>28.6</v>
      </c>
      <c r="H291" s="17">
        <f>SUMIF(F16:F276,"SB(ESA)",H16:H276)</f>
        <v>8.3000000000000007</v>
      </c>
      <c r="I291" s="268">
        <f>SUMIF(F16:F276,"SB(ESA)",I16:I276)</f>
        <v>0</v>
      </c>
      <c r="J291" s="10"/>
      <c r="K291" s="10"/>
      <c r="L291" s="10"/>
      <c r="M291" s="10"/>
    </row>
    <row r="292" spans="1:21" ht="26.25" customHeight="1" x14ac:dyDescent="0.25">
      <c r="A292" s="1944" t="s">
        <v>362</v>
      </c>
      <c r="B292" s="1945"/>
      <c r="C292" s="1945"/>
      <c r="D292" s="1945"/>
      <c r="E292" s="1945"/>
      <c r="F292" s="1946"/>
      <c r="G292" s="57">
        <f>SUMIF(F16:F276,"SB(ESL)",G16:G276)</f>
        <v>59.5</v>
      </c>
      <c r="H292" s="57">
        <f>SUMIF(F16:F276,"SB(ESL)",H16:H276)</f>
        <v>0</v>
      </c>
      <c r="I292" s="269">
        <f>SUMIF(F16:F276,"SB(ESL)",I16:I276)</f>
        <v>0</v>
      </c>
      <c r="J292" s="10"/>
      <c r="K292" s="10"/>
      <c r="L292" s="10"/>
      <c r="M292" s="10"/>
    </row>
    <row r="293" spans="1:21" ht="14.25" customHeight="1" x14ac:dyDescent="0.25">
      <c r="A293" s="1947" t="s">
        <v>65</v>
      </c>
      <c r="B293" s="1948"/>
      <c r="C293" s="1948"/>
      <c r="D293" s="1948"/>
      <c r="E293" s="1948"/>
      <c r="F293" s="1949"/>
      <c r="G293" s="57">
        <f>SUMIF(F16:F276,"SB(VRL)",G16:G276)</f>
        <v>427.7</v>
      </c>
      <c r="H293" s="57">
        <f>SUMIF(F16:F276,"SB(VRL)",H16:H276)</f>
        <v>77.7</v>
      </c>
      <c r="I293" s="269">
        <f>SUMIF(F16:F276,"SB(VRL)",I16:I276)</f>
        <v>26</v>
      </c>
      <c r="J293" s="10"/>
      <c r="K293" s="10"/>
      <c r="L293" s="10"/>
      <c r="M293" s="10"/>
    </row>
    <row r="294" spans="1:21" ht="14.25" customHeight="1" x14ac:dyDescent="0.25">
      <c r="A294" s="1944" t="s">
        <v>66</v>
      </c>
      <c r="B294" s="1948"/>
      <c r="C294" s="1948"/>
      <c r="D294" s="1948"/>
      <c r="E294" s="1948"/>
      <c r="F294" s="1949"/>
      <c r="G294" s="57">
        <f>SUMIF(F16:F276,"SB(ŽPL)",G16:G276)</f>
        <v>5.7</v>
      </c>
      <c r="H294" s="57">
        <f>SUMIF(F16:F276,"SB(ŽPL)",H16:H276)</f>
        <v>0</v>
      </c>
      <c r="I294" s="269">
        <f>SUMIF(F16:F276,"SB(ŽPL)",I16:I276)</f>
        <v>0</v>
      </c>
      <c r="J294" s="10"/>
      <c r="K294" s="10"/>
      <c r="L294" s="10"/>
      <c r="M294" s="10"/>
    </row>
    <row r="295" spans="1:21" ht="14.25" customHeight="1" x14ac:dyDescent="0.25">
      <c r="A295" s="1926" t="s">
        <v>96</v>
      </c>
      <c r="B295" s="1927"/>
      <c r="C295" s="1927"/>
      <c r="D295" s="1927"/>
      <c r="E295" s="1927"/>
      <c r="F295" s="1928"/>
      <c r="G295" s="57">
        <f>SUMIF(F16:F276,"SB(L)",G16:G276)</f>
        <v>1638</v>
      </c>
      <c r="H295" s="57">
        <f>SUMIF(F16:F276,"SB(L)",H16:H276)</f>
        <v>0</v>
      </c>
      <c r="I295" s="269">
        <f>SUMIF(F16:F276,"SB(L)",I16:I276)</f>
        <v>0</v>
      </c>
      <c r="J295" s="10"/>
      <c r="K295" s="10"/>
      <c r="L295" s="10"/>
      <c r="M295" s="10"/>
    </row>
    <row r="296" spans="1:21" ht="14.25" customHeight="1" x14ac:dyDescent="0.25">
      <c r="A296" s="1929" t="s">
        <v>13</v>
      </c>
      <c r="B296" s="1930"/>
      <c r="C296" s="1930"/>
      <c r="D296" s="1930"/>
      <c r="E296" s="1930"/>
      <c r="F296" s="1931"/>
      <c r="G296" s="58">
        <f t="shared" ref="G296:I296" si="14">G298+G299+G300+G297</f>
        <v>3308</v>
      </c>
      <c r="H296" s="58">
        <f t="shared" si="14"/>
        <v>19829.5</v>
      </c>
      <c r="I296" s="270">
        <f t="shared" si="14"/>
        <v>15060.1</v>
      </c>
      <c r="J296" s="10"/>
      <c r="K296" s="10"/>
      <c r="L296" s="10"/>
      <c r="M296" s="10"/>
    </row>
    <row r="297" spans="1:21" ht="14.25" customHeight="1" x14ac:dyDescent="0.25">
      <c r="A297" s="1892" t="s">
        <v>18</v>
      </c>
      <c r="B297" s="1893"/>
      <c r="C297" s="1893"/>
      <c r="D297" s="1893"/>
      <c r="E297" s="1893"/>
      <c r="F297" s="1894"/>
      <c r="G297" s="17">
        <f>SUMIF(F16:F276,"ES",G16:G276)</f>
        <v>114.8</v>
      </c>
      <c r="H297" s="17">
        <f>SUMIF(F16:F276,"ES",H16:H276)</f>
        <v>1712.8</v>
      </c>
      <c r="I297" s="268">
        <f>SUMIF(F16:F276,"ES",I16:I276)</f>
        <v>1545.1</v>
      </c>
      <c r="J297" s="10"/>
      <c r="K297" s="10"/>
      <c r="L297" s="10"/>
      <c r="M297" s="10"/>
    </row>
    <row r="298" spans="1:21" ht="14.25" customHeight="1" x14ac:dyDescent="0.25">
      <c r="A298" s="1932" t="s">
        <v>19</v>
      </c>
      <c r="B298" s="1933"/>
      <c r="C298" s="1933"/>
      <c r="D298" s="1933"/>
      <c r="E298" s="1933"/>
      <c r="F298" s="1934"/>
      <c r="G298" s="17">
        <f>SUMIF(F16:F276,"KVJUD",G16:G276)</f>
        <v>1500</v>
      </c>
      <c r="H298" s="17">
        <f>SUMIF(F16:F276,"KVJUD",H16:H276)</f>
        <v>1500</v>
      </c>
      <c r="I298" s="268">
        <f>SUMIF(F16:F276,"KVJUD",I16:I276)</f>
        <v>1500</v>
      </c>
      <c r="J298" s="16"/>
      <c r="K298" s="16"/>
      <c r="L298" s="16"/>
      <c r="M298" s="16"/>
    </row>
    <row r="299" spans="1:21" ht="14.25" customHeight="1" x14ac:dyDescent="0.25">
      <c r="A299" s="1935" t="s">
        <v>20</v>
      </c>
      <c r="B299" s="1936"/>
      <c r="C299" s="1936"/>
      <c r="D299" s="1936"/>
      <c r="E299" s="1936"/>
      <c r="F299" s="1937"/>
      <c r="G299" s="17">
        <f>SUMIF(F16:F276,"LRVB",G16:G276)</f>
        <v>1500</v>
      </c>
      <c r="H299" s="17">
        <f>SUMIF(F16:F276,"LRVB",H16:H276)</f>
        <v>16530.7</v>
      </c>
      <c r="I299" s="268">
        <f>SUMIF(F16:F276,"LRVB",I16:I276)</f>
        <v>12015</v>
      </c>
      <c r="J299" s="16"/>
      <c r="K299" s="16"/>
      <c r="L299" s="16"/>
      <c r="M299" s="16"/>
    </row>
    <row r="300" spans="1:21" ht="14.25" customHeight="1" x14ac:dyDescent="0.25">
      <c r="A300" s="1938" t="s">
        <v>21</v>
      </c>
      <c r="B300" s="1939"/>
      <c r="C300" s="1939"/>
      <c r="D300" s="1939"/>
      <c r="E300" s="1939"/>
      <c r="F300" s="1940"/>
      <c r="G300" s="17">
        <f>SUMIF(F16:F276,"Kt",G16:G276)</f>
        <v>193.2</v>
      </c>
      <c r="H300" s="17">
        <f>SUMIF(F16:F276,"Kt",H16:H276)</f>
        <v>86</v>
      </c>
      <c r="I300" s="268">
        <f>SUMIF(F16:F276,"Kt",I16:I276)</f>
        <v>0</v>
      </c>
      <c r="J300" s="16"/>
      <c r="K300" s="16"/>
      <c r="L300" s="16"/>
      <c r="M300" s="16"/>
    </row>
    <row r="301" spans="1:21" ht="14.25" customHeight="1" thickBot="1" x14ac:dyDescent="0.3">
      <c r="A301" s="1920" t="s">
        <v>14</v>
      </c>
      <c r="B301" s="1921"/>
      <c r="C301" s="1921"/>
      <c r="D301" s="1921"/>
      <c r="E301" s="1921"/>
      <c r="F301" s="1922"/>
      <c r="G301" s="59">
        <f>SUM(G281,G296)</f>
        <v>34868.5</v>
      </c>
      <c r="H301" s="59">
        <f>SUM(H281,H296)</f>
        <v>50372.1</v>
      </c>
      <c r="I301" s="271">
        <f>SUM(I281,I296)</f>
        <v>36476.9</v>
      </c>
      <c r="J301" s="16"/>
      <c r="K301" s="16"/>
      <c r="L301" s="16"/>
      <c r="M301" s="16"/>
    </row>
    <row r="302" spans="1:21" x14ac:dyDescent="0.25">
      <c r="F302" s="81"/>
      <c r="G302" s="82"/>
      <c r="H302" s="82"/>
      <c r="I302" s="82"/>
      <c r="J302" s="4"/>
    </row>
    <row r="303" spans="1:21" x14ac:dyDescent="0.25">
      <c r="E303" s="1024"/>
      <c r="F303" s="839"/>
      <c r="G303" s="840"/>
      <c r="H303" s="840"/>
      <c r="I303" s="840"/>
    </row>
    <row r="304" spans="1:21" x14ac:dyDescent="0.25">
      <c r="G304" s="10"/>
      <c r="H304" s="10"/>
      <c r="I304" s="10"/>
    </row>
    <row r="305" spans="5:19" x14ac:dyDescent="0.25">
      <c r="G305" s="10"/>
      <c r="H305" s="10"/>
      <c r="I305" s="10"/>
    </row>
    <row r="306" spans="5:19" x14ac:dyDescent="0.25">
      <c r="J306" s="10"/>
    </row>
    <row r="309" spans="5:19" s="2" customFormat="1" x14ac:dyDescent="0.25">
      <c r="E309" s="182"/>
      <c r="F309" s="3"/>
      <c r="J309" s="10"/>
      <c r="O309" s="1"/>
      <c r="P309" s="1101"/>
      <c r="Q309" s="1101"/>
      <c r="R309" s="1101"/>
      <c r="S309" s="1102"/>
    </row>
    <row r="312" spans="5:19" s="2" customFormat="1" x14ac:dyDescent="0.25">
      <c r="E312" s="182"/>
      <c r="F312" s="3"/>
      <c r="J312" s="10"/>
      <c r="O312" s="1"/>
      <c r="P312" s="1101"/>
      <c r="Q312" s="1101"/>
      <c r="R312" s="1101"/>
      <c r="S312" s="1102"/>
    </row>
    <row r="315" spans="5:19" s="2" customFormat="1" x14ac:dyDescent="0.25">
      <c r="E315" s="182"/>
      <c r="F315" s="3"/>
      <c r="J315" s="10"/>
      <c r="O315" s="1"/>
      <c r="P315" s="1101"/>
      <c r="Q315" s="1101"/>
      <c r="R315" s="1101"/>
      <c r="S315" s="1102"/>
    </row>
  </sheetData>
  <mergeCells count="209">
    <mergeCell ref="A301:F301"/>
    <mergeCell ref="J1:M1"/>
    <mergeCell ref="J2:M2"/>
    <mergeCell ref="J85:J86"/>
    <mergeCell ref="J127:J128"/>
    <mergeCell ref="A295:F295"/>
    <mergeCell ref="A296:F296"/>
    <mergeCell ref="A297:F297"/>
    <mergeCell ref="A298:F298"/>
    <mergeCell ref="A299:F299"/>
    <mergeCell ref="A300:F300"/>
    <mergeCell ref="A290:F290"/>
    <mergeCell ref="A291:F291"/>
    <mergeCell ref="A292:F292"/>
    <mergeCell ref="A293:F293"/>
    <mergeCell ref="A294:F294"/>
    <mergeCell ref="A284:F284"/>
    <mergeCell ref="A285:F285"/>
    <mergeCell ref="A286:F286"/>
    <mergeCell ref="A287:F287"/>
    <mergeCell ref="A289:F289"/>
    <mergeCell ref="A277:E277"/>
    <mergeCell ref="A279:I279"/>
    <mergeCell ref="J264:J265"/>
    <mergeCell ref="J274:M274"/>
    <mergeCell ref="B275:F275"/>
    <mergeCell ref="J275:M275"/>
    <mergeCell ref="B276:F276"/>
    <mergeCell ref="J276:M276"/>
    <mergeCell ref="A264:A265"/>
    <mergeCell ref="B264:B265"/>
    <mergeCell ref="C264:C265"/>
    <mergeCell ref="D264:D265"/>
    <mergeCell ref="J271:J272"/>
    <mergeCell ref="A261:A263"/>
    <mergeCell ref="B261:B263"/>
    <mergeCell ref="C261:C263"/>
    <mergeCell ref="D261:D263"/>
    <mergeCell ref="A288:F288"/>
    <mergeCell ref="A258:A260"/>
    <mergeCell ref="B258:B260"/>
    <mergeCell ref="C258:C260"/>
    <mergeCell ref="D258:D260"/>
    <mergeCell ref="E258:E260"/>
    <mergeCell ref="A280:F280"/>
    <mergeCell ref="A281:F281"/>
    <mergeCell ref="A282:F282"/>
    <mergeCell ref="A283:F283"/>
    <mergeCell ref="D266:D272"/>
    <mergeCell ref="E266:E271"/>
    <mergeCell ref="C274:F274"/>
    <mergeCell ref="A255:A257"/>
    <mergeCell ref="B255:B257"/>
    <mergeCell ref="C255:C257"/>
    <mergeCell ref="D255:D257"/>
    <mergeCell ref="E255:E257"/>
    <mergeCell ref="D246:D248"/>
    <mergeCell ref="A252:A254"/>
    <mergeCell ref="B252:B254"/>
    <mergeCell ref="C252:C254"/>
    <mergeCell ref="D252:D254"/>
    <mergeCell ref="J238:J239"/>
    <mergeCell ref="J240:J241"/>
    <mergeCell ref="D243:D245"/>
    <mergeCell ref="J243:J244"/>
    <mergeCell ref="D219:D220"/>
    <mergeCell ref="J219:J220"/>
    <mergeCell ref="D197:D198"/>
    <mergeCell ref="C203:F203"/>
    <mergeCell ref="D230:D237"/>
    <mergeCell ref="E230:E237"/>
    <mergeCell ref="D205:D208"/>
    <mergeCell ref="D209:D213"/>
    <mergeCell ref="A238:A241"/>
    <mergeCell ref="B238:B241"/>
    <mergeCell ref="C238:C241"/>
    <mergeCell ref="D238:D241"/>
    <mergeCell ref="D221:D222"/>
    <mergeCell ref="A224:A225"/>
    <mergeCell ref="B224:B225"/>
    <mergeCell ref="C224:C225"/>
    <mergeCell ref="D224:D225"/>
    <mergeCell ref="D192:D193"/>
    <mergeCell ref="D195:D196"/>
    <mergeCell ref="D187:D188"/>
    <mergeCell ref="J187:J188"/>
    <mergeCell ref="D189:D190"/>
    <mergeCell ref="E189:E190"/>
    <mergeCell ref="J203:M203"/>
    <mergeCell ref="C204:M204"/>
    <mergeCell ref="D217:D218"/>
    <mergeCell ref="K181:K182"/>
    <mergeCell ref="L181:L182"/>
    <mergeCell ref="M181:M182"/>
    <mergeCell ref="A181:A182"/>
    <mergeCell ref="B181:B182"/>
    <mergeCell ref="C181:C182"/>
    <mergeCell ref="D181:D182"/>
    <mergeCell ref="E181:E182"/>
    <mergeCell ref="A183:A184"/>
    <mergeCell ref="B183:B184"/>
    <mergeCell ref="C183:C184"/>
    <mergeCell ref="D183:D184"/>
    <mergeCell ref="E183:E186"/>
    <mergeCell ref="J181:J182"/>
    <mergeCell ref="D174:D176"/>
    <mergeCell ref="D177:D178"/>
    <mergeCell ref="D179:D180"/>
    <mergeCell ref="J179:J180"/>
    <mergeCell ref="D151:D154"/>
    <mergeCell ref="C158:F158"/>
    <mergeCell ref="C159:M159"/>
    <mergeCell ref="D166:D167"/>
    <mergeCell ref="E160:E162"/>
    <mergeCell ref="D138:D140"/>
    <mergeCell ref="D141:D143"/>
    <mergeCell ref="D144:D146"/>
    <mergeCell ref="D149:D150"/>
    <mergeCell ref="D127:D128"/>
    <mergeCell ref="E132:E133"/>
    <mergeCell ref="D136:D137"/>
    <mergeCell ref="D171:D172"/>
    <mergeCell ref="J171:J172"/>
    <mergeCell ref="D134:D135"/>
    <mergeCell ref="D121:D122"/>
    <mergeCell ref="J121:J122"/>
    <mergeCell ref="D123:D124"/>
    <mergeCell ref="J123:J124"/>
    <mergeCell ref="A119:A120"/>
    <mergeCell ref="B119:B120"/>
    <mergeCell ref="C119:C120"/>
    <mergeCell ref="D119:D120"/>
    <mergeCell ref="K99:K112"/>
    <mergeCell ref="L99:L112"/>
    <mergeCell ref="M99:M112"/>
    <mergeCell ref="D114:D116"/>
    <mergeCell ref="A117:A118"/>
    <mergeCell ref="B117:B118"/>
    <mergeCell ref="C117:C118"/>
    <mergeCell ref="D117:D118"/>
    <mergeCell ref="J117:J118"/>
    <mergeCell ref="J98:J112"/>
    <mergeCell ref="F99:F112"/>
    <mergeCell ref="G99:G112"/>
    <mergeCell ref="H99:H112"/>
    <mergeCell ref="I99:I112"/>
    <mergeCell ref="D68:D72"/>
    <mergeCell ref="J68:J69"/>
    <mergeCell ref="D73:D74"/>
    <mergeCell ref="J62:J64"/>
    <mergeCell ref="J65:J67"/>
    <mergeCell ref="K65:K67"/>
    <mergeCell ref="D84:D86"/>
    <mergeCell ref="D87:D88"/>
    <mergeCell ref="D92:D94"/>
    <mergeCell ref="J92:J94"/>
    <mergeCell ref="D75:D76"/>
    <mergeCell ref="D77:D78"/>
    <mergeCell ref="D82:D83"/>
    <mergeCell ref="E87:E88"/>
    <mergeCell ref="D89:D90"/>
    <mergeCell ref="E89:E90"/>
    <mergeCell ref="L65:L67"/>
    <mergeCell ref="M65:M67"/>
    <mergeCell ref="A57:A61"/>
    <mergeCell ref="B57:B61"/>
    <mergeCell ref="C57:C67"/>
    <mergeCell ref="D57:D61"/>
    <mergeCell ref="J57:J60"/>
    <mergeCell ref="A62:A67"/>
    <mergeCell ref="B62:B67"/>
    <mergeCell ref="D62:D64"/>
    <mergeCell ref="C15:M15"/>
    <mergeCell ref="D16:D29"/>
    <mergeCell ref="D30:D34"/>
    <mergeCell ref="J31:J34"/>
    <mergeCell ref="E30:E31"/>
    <mergeCell ref="C47:C56"/>
    <mergeCell ref="D47:D51"/>
    <mergeCell ref="J47:J49"/>
    <mergeCell ref="D52:D56"/>
    <mergeCell ref="J52:J56"/>
    <mergeCell ref="D44:D46"/>
    <mergeCell ref="E49:E50"/>
    <mergeCell ref="J38:J39"/>
    <mergeCell ref="D125:D126"/>
    <mergeCell ref="A4:M4"/>
    <mergeCell ref="A5:M5"/>
    <mergeCell ref="A6:M6"/>
    <mergeCell ref="J8:M8"/>
    <mergeCell ref="A9:A11"/>
    <mergeCell ref="B9:B11"/>
    <mergeCell ref="C9:C11"/>
    <mergeCell ref="D9:D11"/>
    <mergeCell ref="I9:I11"/>
    <mergeCell ref="J9:M9"/>
    <mergeCell ref="J10:J11"/>
    <mergeCell ref="K10:M10"/>
    <mergeCell ref="A12:M12"/>
    <mergeCell ref="A13:M13"/>
    <mergeCell ref="E9:E11"/>
    <mergeCell ref="F9:F11"/>
    <mergeCell ref="G9:G11"/>
    <mergeCell ref="H9:H11"/>
    <mergeCell ref="A38:A43"/>
    <mergeCell ref="B38:B43"/>
    <mergeCell ref="C38:C43"/>
    <mergeCell ref="D38:D41"/>
    <mergeCell ref="B14:M14"/>
  </mergeCells>
  <printOptions horizontalCentered="1"/>
  <pageMargins left="0.78740157480314965" right="0.19685039370078741" top="0.59055118110236227" bottom="0.39370078740157483" header="0" footer="0"/>
  <pageSetup paperSize="9" scale="60" orientation="portrait" r:id="rId1"/>
  <headerFooter alignWithMargins="0"/>
  <rowBreaks count="4" manualBreakCount="4">
    <brk id="70" max="12" man="1"/>
    <brk id="128" max="12" man="1"/>
    <brk id="188" max="12" man="1"/>
    <brk id="248"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16"/>
  <sheetViews>
    <sheetView topLeftCell="A191" zoomScaleNormal="100" zoomScaleSheetLayoutView="100" workbookViewId="0">
      <selection activeCell="L208" sqref="L208"/>
    </sheetView>
  </sheetViews>
  <sheetFormatPr defaultColWidth="9.1796875" defaultRowHeight="13" x14ac:dyDescent="0.25"/>
  <cols>
    <col min="1" max="3" width="2.81640625" style="2" customWidth="1"/>
    <col min="4" max="4" width="39.54296875" style="2" customWidth="1"/>
    <col min="5" max="5" width="4.453125" style="182" customWidth="1"/>
    <col min="6" max="6" width="8.81640625" style="3" customWidth="1"/>
    <col min="7" max="15" width="7.81640625" style="2" customWidth="1"/>
    <col min="16" max="16" width="39.81640625" style="2" customWidth="1"/>
    <col min="17" max="18" width="5.1796875" style="2" customWidth="1"/>
    <col min="19" max="20" width="5" style="2" customWidth="1"/>
    <col min="21" max="22" width="4.81640625" style="2" customWidth="1"/>
    <col min="23" max="23" width="34.1796875" style="2" customWidth="1"/>
    <col min="24" max="24" width="13.453125" style="1" customWidth="1"/>
    <col min="25" max="25" width="11.54296875" style="1" hidden="1" customWidth="1"/>
    <col min="26" max="27" width="9.1796875" style="1" hidden="1" customWidth="1"/>
    <col min="28" max="28" width="9.1796875" style="1" customWidth="1"/>
    <col min="29" max="16384" width="9.1796875" style="1"/>
  </cols>
  <sheetData>
    <row r="1" spans="1:27" ht="36" customHeight="1" x14ac:dyDescent="0.25">
      <c r="E1" s="174"/>
      <c r="G1" s="3"/>
      <c r="H1" s="3"/>
      <c r="I1" s="3"/>
      <c r="J1" s="3"/>
      <c r="K1" s="3"/>
      <c r="L1" s="3"/>
      <c r="M1" s="3"/>
      <c r="N1" s="3"/>
      <c r="O1" s="3"/>
      <c r="P1" s="787"/>
      <c r="Q1" s="787"/>
      <c r="R1" s="787"/>
      <c r="S1" s="787"/>
      <c r="T1" s="787"/>
      <c r="U1" s="787"/>
      <c r="V1" s="2044" t="s">
        <v>430</v>
      </c>
      <c r="W1" s="2044"/>
    </row>
    <row r="2" spans="1:27" ht="15.75" customHeight="1" x14ac:dyDescent="0.25">
      <c r="E2" s="174"/>
      <c r="G2" s="3"/>
      <c r="H2" s="3"/>
      <c r="I2" s="3"/>
      <c r="J2" s="3"/>
      <c r="K2" s="3"/>
      <c r="L2" s="3"/>
      <c r="M2" s="3"/>
      <c r="N2" s="3"/>
      <c r="O2" s="3"/>
      <c r="P2" s="787"/>
      <c r="Q2" s="787"/>
      <c r="R2" s="787"/>
      <c r="S2" s="787"/>
      <c r="T2" s="787"/>
      <c r="U2" s="787"/>
      <c r="V2" s="787"/>
      <c r="W2" s="787"/>
    </row>
    <row r="3" spans="1:27" ht="16.5" customHeight="1" x14ac:dyDescent="0.25">
      <c r="E3" s="174"/>
      <c r="G3" s="3"/>
      <c r="H3" s="3"/>
      <c r="I3" s="3"/>
      <c r="J3" s="3"/>
      <c r="K3" s="3"/>
      <c r="L3" s="3"/>
      <c r="M3" s="3"/>
      <c r="N3" s="3"/>
      <c r="O3" s="3"/>
      <c r="P3" s="787"/>
      <c r="Q3" s="787"/>
      <c r="R3" s="787"/>
      <c r="S3" s="787"/>
      <c r="T3" s="787"/>
      <c r="U3" s="787"/>
      <c r="V3" s="787"/>
      <c r="W3" s="787"/>
    </row>
    <row r="4" spans="1:27" s="2" customFormat="1" ht="15" customHeight="1" x14ac:dyDescent="0.25">
      <c r="A4" s="1716" t="s">
        <v>380</v>
      </c>
      <c r="B4" s="1716"/>
      <c r="C4" s="1716"/>
      <c r="D4" s="1716"/>
      <c r="E4" s="1716"/>
      <c r="F4" s="1716"/>
      <c r="G4" s="1716"/>
      <c r="H4" s="1716"/>
      <c r="I4" s="1716"/>
      <c r="J4" s="1716"/>
      <c r="K4" s="1716"/>
      <c r="L4" s="1716"/>
      <c r="M4" s="1716"/>
      <c r="N4" s="1716"/>
      <c r="O4" s="1716"/>
      <c r="P4" s="1716"/>
      <c r="Q4" s="1716"/>
      <c r="R4" s="1716"/>
      <c r="S4" s="1716"/>
      <c r="T4" s="1716"/>
      <c r="U4" s="1716"/>
      <c r="V4" s="1716"/>
      <c r="W4" s="1716"/>
    </row>
    <row r="5" spans="1:27" ht="15.75" customHeight="1" x14ac:dyDescent="0.25">
      <c r="A5" s="1717" t="s">
        <v>26</v>
      </c>
      <c r="B5" s="1717"/>
      <c r="C5" s="1717"/>
      <c r="D5" s="1717"/>
      <c r="E5" s="1717"/>
      <c r="F5" s="1717"/>
      <c r="G5" s="1717"/>
      <c r="H5" s="1717"/>
      <c r="I5" s="1717"/>
      <c r="J5" s="1717"/>
      <c r="K5" s="1717"/>
      <c r="L5" s="1717"/>
      <c r="M5" s="1717"/>
      <c r="N5" s="1717"/>
      <c r="O5" s="1717"/>
      <c r="P5" s="1717"/>
      <c r="Q5" s="1717"/>
      <c r="R5" s="1717"/>
      <c r="S5" s="1717"/>
      <c r="T5" s="1717"/>
      <c r="U5" s="1717"/>
      <c r="V5" s="1717"/>
      <c r="W5" s="1717"/>
    </row>
    <row r="6" spans="1:27" ht="15" customHeight="1" x14ac:dyDescent="0.25">
      <c r="A6" s="1718" t="s">
        <v>15</v>
      </c>
      <c r="B6" s="1718"/>
      <c r="C6" s="1718"/>
      <c r="D6" s="1718"/>
      <c r="E6" s="1718"/>
      <c r="F6" s="1718"/>
      <c r="G6" s="1718"/>
      <c r="H6" s="1718"/>
      <c r="I6" s="1718"/>
      <c r="J6" s="1718"/>
      <c r="K6" s="1718"/>
      <c r="L6" s="1718"/>
      <c r="M6" s="1718"/>
      <c r="N6" s="1718"/>
      <c r="O6" s="1718"/>
      <c r="P6" s="1718"/>
      <c r="Q6" s="1718"/>
      <c r="R6" s="1718"/>
      <c r="S6" s="1718"/>
      <c r="T6" s="1718"/>
      <c r="U6" s="1718"/>
      <c r="V6" s="1718"/>
      <c r="W6" s="1718"/>
    </row>
    <row r="7" spans="1:27" ht="15" customHeight="1" thickBot="1" x14ac:dyDescent="0.3">
      <c r="A7" s="11"/>
      <c r="B7" s="11"/>
      <c r="C7" s="11"/>
      <c r="D7" s="11"/>
      <c r="E7" s="175"/>
      <c r="F7" s="53"/>
      <c r="G7" s="11"/>
      <c r="H7" s="11"/>
      <c r="I7" s="11"/>
      <c r="J7" s="11"/>
      <c r="K7" s="11"/>
      <c r="L7" s="11"/>
      <c r="M7" s="11"/>
      <c r="N7" s="11"/>
      <c r="O7" s="11"/>
      <c r="P7" s="1719"/>
      <c r="Q7" s="1719"/>
      <c r="R7" s="1719"/>
      <c r="S7" s="1719"/>
      <c r="T7" s="1719"/>
      <c r="U7" s="1719"/>
      <c r="V7" s="889"/>
      <c r="W7" s="889" t="s">
        <v>74</v>
      </c>
    </row>
    <row r="8" spans="1:27" s="14" customFormat="1" ht="27.75" customHeight="1" x14ac:dyDescent="0.25">
      <c r="A8" s="1720" t="s">
        <v>16</v>
      </c>
      <c r="B8" s="1723" t="s">
        <v>0</v>
      </c>
      <c r="C8" s="1723" t="s">
        <v>1</v>
      </c>
      <c r="D8" s="1726" t="s">
        <v>10</v>
      </c>
      <c r="E8" s="1744" t="s">
        <v>2</v>
      </c>
      <c r="F8" s="1747" t="s">
        <v>3</v>
      </c>
      <c r="G8" s="1729" t="s">
        <v>419</v>
      </c>
      <c r="H8" s="2021" t="s">
        <v>424</v>
      </c>
      <c r="I8" s="2019" t="s">
        <v>425</v>
      </c>
      <c r="J8" s="1729" t="s">
        <v>420</v>
      </c>
      <c r="K8" s="1750" t="s">
        <v>426</v>
      </c>
      <c r="L8" s="2035" t="s">
        <v>425</v>
      </c>
      <c r="M8" s="1729" t="s">
        <v>421</v>
      </c>
      <c r="N8" s="2021" t="s">
        <v>427</v>
      </c>
      <c r="O8" s="2019" t="s">
        <v>425</v>
      </c>
      <c r="P8" s="1731" t="s">
        <v>422</v>
      </c>
      <c r="Q8" s="1732"/>
      <c r="R8" s="1732"/>
      <c r="S8" s="1732"/>
      <c r="T8" s="1732"/>
      <c r="U8" s="1732"/>
      <c r="V8" s="1733"/>
      <c r="W8" s="2048" t="s">
        <v>429</v>
      </c>
      <c r="X8" s="884"/>
    </row>
    <row r="9" spans="1:27" s="14" customFormat="1" ht="22.5" customHeight="1" x14ac:dyDescent="0.25">
      <c r="A9" s="1721"/>
      <c r="B9" s="1724"/>
      <c r="C9" s="1724"/>
      <c r="D9" s="1727"/>
      <c r="E9" s="1745"/>
      <c r="F9" s="1748"/>
      <c r="G9" s="1730"/>
      <c r="H9" s="2022"/>
      <c r="I9" s="2020"/>
      <c r="J9" s="1730"/>
      <c r="K9" s="1751"/>
      <c r="L9" s="2036"/>
      <c r="M9" s="1730"/>
      <c r="N9" s="2022"/>
      <c r="O9" s="2020"/>
      <c r="P9" s="2017" t="s">
        <v>10</v>
      </c>
      <c r="Q9" s="1736" t="s">
        <v>423</v>
      </c>
      <c r="R9" s="1736"/>
      <c r="S9" s="1736"/>
      <c r="T9" s="1736"/>
      <c r="U9" s="1736"/>
      <c r="V9" s="1737"/>
      <c r="W9" s="2049"/>
      <c r="X9" s="884"/>
    </row>
    <row r="10" spans="1:27" s="14" customFormat="1" ht="98.15" customHeight="1" thickBot="1" x14ac:dyDescent="0.3">
      <c r="A10" s="1722"/>
      <c r="B10" s="1725"/>
      <c r="C10" s="1725"/>
      <c r="D10" s="1728"/>
      <c r="E10" s="1746"/>
      <c r="F10" s="1749"/>
      <c r="G10" s="1730"/>
      <c r="H10" s="2022"/>
      <c r="I10" s="2020"/>
      <c r="J10" s="1730"/>
      <c r="K10" s="1751"/>
      <c r="L10" s="2036"/>
      <c r="M10" s="1730"/>
      <c r="N10" s="2022"/>
      <c r="O10" s="2020"/>
      <c r="P10" s="2018"/>
      <c r="Q10" s="1483" t="s">
        <v>249</v>
      </c>
      <c r="R10" s="894" t="s">
        <v>428</v>
      </c>
      <c r="S10" s="883" t="s">
        <v>250</v>
      </c>
      <c r="T10" s="894" t="s">
        <v>428</v>
      </c>
      <c r="U10" s="883" t="s">
        <v>251</v>
      </c>
      <c r="V10" s="895" t="s">
        <v>428</v>
      </c>
      <c r="W10" s="2049"/>
      <c r="X10" s="884"/>
    </row>
    <row r="11" spans="1:27" s="7" customFormat="1" ht="15" customHeight="1" x14ac:dyDescent="0.25">
      <c r="A11" s="1738" t="s">
        <v>51</v>
      </c>
      <c r="B11" s="1739"/>
      <c r="C11" s="1739"/>
      <c r="D11" s="1739"/>
      <c r="E11" s="1739"/>
      <c r="F11" s="1739"/>
      <c r="G11" s="1739"/>
      <c r="H11" s="1739"/>
      <c r="I11" s="1739"/>
      <c r="J11" s="1739"/>
      <c r="K11" s="1739"/>
      <c r="L11" s="1739"/>
      <c r="M11" s="1739"/>
      <c r="N11" s="1739"/>
      <c r="O11" s="1739"/>
      <c r="P11" s="1739"/>
      <c r="Q11" s="1739"/>
      <c r="R11" s="1739"/>
      <c r="S11" s="1739"/>
      <c r="T11" s="1739"/>
      <c r="U11" s="1739"/>
      <c r="V11" s="1536"/>
      <c r="W11" s="1537"/>
    </row>
    <row r="12" spans="1:27" s="7" customFormat="1" ht="15" customHeight="1" x14ac:dyDescent="0.25">
      <c r="A12" s="1741" t="s">
        <v>23</v>
      </c>
      <c r="B12" s="1742"/>
      <c r="C12" s="1742"/>
      <c r="D12" s="1742"/>
      <c r="E12" s="1742"/>
      <c r="F12" s="1742"/>
      <c r="G12" s="1742"/>
      <c r="H12" s="1742"/>
      <c r="I12" s="1742"/>
      <c r="J12" s="1742"/>
      <c r="K12" s="1742"/>
      <c r="L12" s="1742"/>
      <c r="M12" s="1742"/>
      <c r="N12" s="1742"/>
      <c r="O12" s="1742"/>
      <c r="P12" s="1742"/>
      <c r="Q12" s="1742"/>
      <c r="R12" s="1742"/>
      <c r="S12" s="1742"/>
      <c r="T12" s="1742"/>
      <c r="U12" s="1742"/>
      <c r="V12" s="1538"/>
      <c r="W12" s="1539"/>
    </row>
    <row r="13" spans="1:27" ht="15" customHeight="1" x14ac:dyDescent="0.25">
      <c r="A13" s="13" t="s">
        <v>4</v>
      </c>
      <c r="B13" s="1757" t="s">
        <v>27</v>
      </c>
      <c r="C13" s="1758"/>
      <c r="D13" s="1758"/>
      <c r="E13" s="1758"/>
      <c r="F13" s="1758"/>
      <c r="G13" s="1758"/>
      <c r="H13" s="1758"/>
      <c r="I13" s="1758"/>
      <c r="J13" s="1758"/>
      <c r="K13" s="1758"/>
      <c r="L13" s="1758"/>
      <c r="M13" s="1758"/>
      <c r="N13" s="1758"/>
      <c r="O13" s="1758"/>
      <c r="P13" s="1758"/>
      <c r="Q13" s="1758"/>
      <c r="R13" s="1758"/>
      <c r="S13" s="1758"/>
      <c r="T13" s="1758"/>
      <c r="U13" s="1758"/>
      <c r="V13" s="1544"/>
      <c r="W13" s="1545"/>
    </row>
    <row r="14" spans="1:27" ht="15" customHeight="1" thickBot="1" x14ac:dyDescent="0.3">
      <c r="A14" s="898" t="s">
        <v>4</v>
      </c>
      <c r="B14" s="127" t="s">
        <v>4</v>
      </c>
      <c r="C14" s="2013" t="s">
        <v>191</v>
      </c>
      <c r="D14" s="2014"/>
      <c r="E14" s="2014"/>
      <c r="F14" s="2014"/>
      <c r="G14" s="2014"/>
      <c r="H14" s="2014"/>
      <c r="I14" s="2014"/>
      <c r="J14" s="2014"/>
      <c r="K14" s="2014"/>
      <c r="L14" s="2014"/>
      <c r="M14" s="2014"/>
      <c r="N14" s="2014"/>
      <c r="O14" s="2014"/>
      <c r="P14" s="2014"/>
      <c r="Q14" s="2014"/>
      <c r="R14" s="2014"/>
      <c r="S14" s="2014"/>
      <c r="T14" s="2014"/>
      <c r="U14" s="2014"/>
      <c r="V14" s="891"/>
      <c r="W14" s="896"/>
      <c r="Y14" s="889" t="s">
        <v>431</v>
      </c>
    </row>
    <row r="15" spans="1:27" ht="13.5" customHeight="1" x14ac:dyDescent="0.25">
      <c r="A15" s="128" t="s">
        <v>4</v>
      </c>
      <c r="B15" s="120" t="s">
        <v>4</v>
      </c>
      <c r="C15" s="1574" t="s">
        <v>4</v>
      </c>
      <c r="D15" s="1765" t="s">
        <v>167</v>
      </c>
      <c r="E15" s="859" t="s">
        <v>41</v>
      </c>
      <c r="F15" s="1301" t="s">
        <v>22</v>
      </c>
      <c r="G15" s="1305">
        <f>3860.4-20+250+291.2+316</f>
        <v>4697.6000000000004</v>
      </c>
      <c r="H15" s="1305">
        <f>3860.4-20+250+291.2+316+187.5</f>
        <v>4885.1000000000004</v>
      </c>
      <c r="I15" s="1329">
        <f>+H15-G15</f>
        <v>187.5</v>
      </c>
      <c r="J15" s="1305">
        <f>3925.7+355+370.6</f>
        <v>4651.3</v>
      </c>
      <c r="K15" s="1305">
        <f>3925.7+355+370.6+30+190-218.3+5</f>
        <v>4658</v>
      </c>
      <c r="L15" s="1329">
        <f>+K15-J15</f>
        <v>6.7</v>
      </c>
      <c r="M15" s="1559">
        <f>4149.9-5.7</f>
        <v>4144.2</v>
      </c>
      <c r="N15" s="1559">
        <f>4149.9-5.7</f>
        <v>4144.2</v>
      </c>
      <c r="O15" s="1596">
        <f>+N15-M15</f>
        <v>0</v>
      </c>
      <c r="P15" s="414"/>
      <c r="Q15" s="797"/>
      <c r="R15" s="965"/>
      <c r="S15" s="964"/>
      <c r="T15" s="965"/>
      <c r="U15" s="964"/>
      <c r="V15" s="897"/>
      <c r="W15" s="1629"/>
      <c r="Y15" s="16">
        <f>+G29+G37+G40+G50+G57+G59+G63+G65+G68+G75+G79+G81+G83+G88+G90+G97+G98+G103+G123+G125+G128+G129+G132+G134+G135+G146+G149+G152+G155+G165</f>
        <v>4697.6000000000004</v>
      </c>
      <c r="Z15" s="16">
        <f>+J29+J37+J40+J50+J57+J59+J63+J65+J68+J75+J79+J81+J83+J88+J90+J97+J98+J103+J123+J125+J128+J129+J132+J135+J146+J149+J152+J155+J165</f>
        <v>4296.3</v>
      </c>
      <c r="AA15" s="16">
        <f>+M29+M37+M40+M50+M57+M59+M63+M65+M68+M75+M79+M81+M83+M88+M90+M97+M98+M103+M123+M125+M128+M129+M132+M135+M146+M149+M152+M155+M165</f>
        <v>4144.2</v>
      </c>
    </row>
    <row r="16" spans="1:27" ht="13.5" customHeight="1" x14ac:dyDescent="0.25">
      <c r="A16" s="1572"/>
      <c r="B16" s="127"/>
      <c r="C16" s="1574"/>
      <c r="D16" s="1765"/>
      <c r="E16" s="843" t="s">
        <v>178</v>
      </c>
      <c r="F16" s="20" t="s">
        <v>367</v>
      </c>
      <c r="G16" s="1559">
        <v>414.1</v>
      </c>
      <c r="H16" s="1559">
        <v>414.1</v>
      </c>
      <c r="I16" s="1554">
        <f>+H16-G16</f>
        <v>0</v>
      </c>
      <c r="J16" s="1559"/>
      <c r="K16" s="1559"/>
      <c r="L16" s="1554"/>
      <c r="M16" s="1559"/>
      <c r="N16" s="1559"/>
      <c r="O16" s="1596"/>
      <c r="P16" s="414"/>
      <c r="Q16" s="899"/>
      <c r="R16" s="966"/>
      <c r="S16" s="964"/>
      <c r="T16" s="966"/>
      <c r="U16" s="964"/>
      <c r="V16" s="798"/>
      <c r="W16" s="408"/>
      <c r="Y16" s="16">
        <f>+G51+G58+G69</f>
        <v>294.3</v>
      </c>
      <c r="Z16" s="16">
        <f>+J51+J58+J69</f>
        <v>0</v>
      </c>
      <c r="AA16" s="16">
        <f>+M51+M58+M69</f>
        <v>0</v>
      </c>
    </row>
    <row r="17" spans="1:27" ht="13.5" customHeight="1" x14ac:dyDescent="0.25">
      <c r="A17" s="1572"/>
      <c r="B17" s="127"/>
      <c r="C17" s="1574"/>
      <c r="D17" s="1765"/>
      <c r="E17" s="436"/>
      <c r="F17" s="20" t="s">
        <v>363</v>
      </c>
      <c r="G17" s="1559">
        <f>358+64.4</f>
        <v>422.4</v>
      </c>
      <c r="H17" s="1559">
        <f>358+64.4</f>
        <v>422.4</v>
      </c>
      <c r="I17" s="1554">
        <f t="shared" ref="I17:I28" si="0">+H17-G17</f>
        <v>0</v>
      </c>
      <c r="J17" s="1559"/>
      <c r="K17" s="1559"/>
      <c r="L17" s="1554"/>
      <c r="M17" s="1559"/>
      <c r="N17" s="1559"/>
      <c r="O17" s="1596"/>
      <c r="P17" s="414"/>
      <c r="Q17" s="899"/>
      <c r="R17" s="966"/>
      <c r="S17" s="964"/>
      <c r="T17" s="966"/>
      <c r="U17" s="964"/>
      <c r="V17" s="798"/>
      <c r="W17" s="408"/>
      <c r="Y17" s="16">
        <f>+G64</f>
        <v>358</v>
      </c>
      <c r="Z17" s="16">
        <f>+J64</f>
        <v>0</v>
      </c>
      <c r="AA17" s="16">
        <f>+M64</f>
        <v>0</v>
      </c>
    </row>
    <row r="18" spans="1:27" ht="13.5" customHeight="1" x14ac:dyDescent="0.25">
      <c r="A18" s="1572"/>
      <c r="B18" s="127"/>
      <c r="C18" s="1574"/>
      <c r="D18" s="1765"/>
      <c r="E18" s="436"/>
      <c r="F18" s="20" t="s">
        <v>365</v>
      </c>
      <c r="G18" s="1559">
        <v>150</v>
      </c>
      <c r="H18" s="1559">
        <v>150</v>
      </c>
      <c r="I18" s="1554">
        <f t="shared" si="0"/>
        <v>0</v>
      </c>
      <c r="J18" s="1559"/>
      <c r="K18" s="1559"/>
      <c r="L18" s="1554"/>
      <c r="M18" s="1559"/>
      <c r="N18" s="1559"/>
      <c r="O18" s="1596"/>
      <c r="P18" s="414"/>
      <c r="Q18" s="899"/>
      <c r="R18" s="966"/>
      <c r="S18" s="964"/>
      <c r="T18" s="966"/>
      <c r="U18" s="964"/>
      <c r="V18" s="798"/>
      <c r="W18" s="408"/>
      <c r="Y18" s="16">
        <f>+G60</f>
        <v>150</v>
      </c>
      <c r="Z18" s="16">
        <f>+J60</f>
        <v>0</v>
      </c>
      <c r="AA18" s="16">
        <f>+M60</f>
        <v>0</v>
      </c>
    </row>
    <row r="19" spans="1:27" ht="13.5" customHeight="1" x14ac:dyDescent="0.25">
      <c r="A19" s="1572"/>
      <c r="B19" s="127"/>
      <c r="C19" s="1574"/>
      <c r="D19" s="1765"/>
      <c r="E19" s="436"/>
      <c r="F19" s="1095" t="s">
        <v>68</v>
      </c>
      <c r="G19" s="1305">
        <f>6248.6-2462+102.1+78+192.6-53.5+100+20.4+170+11.5+1.7+10+3.5+24.2</f>
        <v>4447.1000000000004</v>
      </c>
      <c r="H19" s="1305">
        <f>6248.6-2462+102.1+78+192.6-53.5+100+20.4+170+11.5+1.7+10+3.5+24.2+150</f>
        <v>4597.1000000000004</v>
      </c>
      <c r="I19" s="1304">
        <f t="shared" si="0"/>
        <v>150</v>
      </c>
      <c r="J19" s="1305">
        <f>5072.3+292.7</f>
        <v>5365</v>
      </c>
      <c r="K19" s="1305">
        <f>5072.3+292.7+100+76.6</f>
        <v>5541.6</v>
      </c>
      <c r="L19" s="1304">
        <f>+K19-J19</f>
        <v>176.6</v>
      </c>
      <c r="M19" s="1305">
        <f>6174.6+1835-7.7</f>
        <v>8001.9</v>
      </c>
      <c r="N19" s="1305">
        <f>6174.6+1835-7.7-590</f>
        <v>7411.9</v>
      </c>
      <c r="O19" s="1307">
        <f>+N19-M19</f>
        <v>-590</v>
      </c>
      <c r="P19" s="414"/>
      <c r="Q19" s="899"/>
      <c r="R19" s="966"/>
      <c r="S19" s="964"/>
      <c r="T19" s="966"/>
      <c r="U19" s="964"/>
      <c r="V19" s="798"/>
      <c r="W19" s="408"/>
      <c r="Y19" s="16">
        <f>+G36+G39+G56+G67+G70+G74+G82+G85+G89+G104+G121+G122+G127+G131+G133+G138+G140+G141+G142+G144+G147+G159+G161+G139</f>
        <v>4447.1000000000004</v>
      </c>
      <c r="Z19" s="16">
        <f>+J36+J39+J56+J67+J70+J74+J82+J85+J89+J104+J121+J122+J127+J131+J133+J140+J141+J142+J144+J147+J160+J161+J139</f>
        <v>5365</v>
      </c>
      <c r="AA19" s="16">
        <f>+M36+M39+M56+M67+M70+M74+M82+M85+M89+M104+M121+M122+M127+M131+M133+M140+M141+M142+M144+M147+M160+M161+M139</f>
        <v>8001.9</v>
      </c>
    </row>
    <row r="20" spans="1:27" ht="13.5" customHeight="1" x14ac:dyDescent="0.25">
      <c r="A20" s="1572"/>
      <c r="B20" s="127"/>
      <c r="C20" s="1574"/>
      <c r="D20" s="1765"/>
      <c r="E20" s="436"/>
      <c r="F20" s="1588" t="s">
        <v>209</v>
      </c>
      <c r="G20" s="1559">
        <f>9038.6-2.6</f>
        <v>9036</v>
      </c>
      <c r="H20" s="1559">
        <f>9038.6-2.6</f>
        <v>9036</v>
      </c>
      <c r="I20" s="1554">
        <f t="shared" si="0"/>
        <v>0</v>
      </c>
      <c r="J20" s="1559">
        <v>8000</v>
      </c>
      <c r="K20" s="1559">
        <v>8000</v>
      </c>
      <c r="L20" s="1554">
        <f>+K20-J20</f>
        <v>0</v>
      </c>
      <c r="M20" s="1559"/>
      <c r="N20" s="1559"/>
      <c r="O20" s="1596"/>
      <c r="P20" s="414"/>
      <c r="Q20" s="899"/>
      <c r="R20" s="966"/>
      <c r="S20" s="964"/>
      <c r="T20" s="966"/>
      <c r="U20" s="964"/>
      <c r="V20" s="798"/>
      <c r="W20" s="408"/>
      <c r="Y20" s="16">
        <f>+G32+G34</f>
        <v>9036</v>
      </c>
      <c r="Z20" s="16">
        <f>+J32+J34</f>
        <v>8000</v>
      </c>
      <c r="AA20" s="16">
        <f>+M32+M34</f>
        <v>0</v>
      </c>
    </row>
    <row r="21" spans="1:27" ht="13" customHeight="1" x14ac:dyDescent="0.25">
      <c r="A21" s="1572"/>
      <c r="B21" s="127"/>
      <c r="C21" s="1574"/>
      <c r="D21" s="1765"/>
      <c r="E21" s="436"/>
      <c r="F21" s="20" t="s">
        <v>115</v>
      </c>
      <c r="G21" s="1559">
        <f>33.8+418.4+125-0.4</f>
        <v>576.79999999999995</v>
      </c>
      <c r="H21" s="1559">
        <f>33.8+418.4+125-0.4</f>
        <v>576.79999999999995</v>
      </c>
      <c r="I21" s="1554">
        <f t="shared" si="0"/>
        <v>0</v>
      </c>
      <c r="J21" s="1559">
        <v>805.7</v>
      </c>
      <c r="K21" s="1559">
        <v>805.7</v>
      </c>
      <c r="L21" s="1554">
        <f>+K21-J21</f>
        <v>0</v>
      </c>
      <c r="M21" s="1559">
        <v>195.4</v>
      </c>
      <c r="N21" s="1559">
        <v>195.4</v>
      </c>
      <c r="O21" s="1596">
        <f>+N21-M21</f>
        <v>0</v>
      </c>
      <c r="P21" s="414"/>
      <c r="Q21" s="899"/>
      <c r="R21" s="966"/>
      <c r="S21" s="964"/>
      <c r="T21" s="966"/>
      <c r="U21" s="964"/>
      <c r="V21" s="798"/>
      <c r="W21" s="408"/>
      <c r="Y21" s="16">
        <f>+G76+G42+G55+G61</f>
        <v>576.79999999999995</v>
      </c>
      <c r="Z21" s="16"/>
      <c r="AA21" s="16"/>
    </row>
    <row r="22" spans="1:27" ht="13.5" customHeight="1" x14ac:dyDescent="0.25">
      <c r="A22" s="1572"/>
      <c r="B22" s="127"/>
      <c r="C22" s="1574"/>
      <c r="D22" s="1765"/>
      <c r="E22" s="436"/>
      <c r="F22" s="1588" t="s">
        <v>42</v>
      </c>
      <c r="G22" s="1559">
        <v>1500</v>
      </c>
      <c r="H22" s="1559">
        <v>1500</v>
      </c>
      <c r="I22" s="1554">
        <f t="shared" si="0"/>
        <v>0</v>
      </c>
      <c r="J22" s="1559">
        <v>1500</v>
      </c>
      <c r="K22" s="1559">
        <v>1500</v>
      </c>
      <c r="L22" s="1554">
        <f>+K22-J22</f>
        <v>0</v>
      </c>
      <c r="M22" s="1559">
        <v>1500</v>
      </c>
      <c r="N22" s="1559">
        <v>1500</v>
      </c>
      <c r="O22" s="1596">
        <f>+N22-M22</f>
        <v>0</v>
      </c>
      <c r="P22" s="414"/>
      <c r="Q22" s="899"/>
      <c r="R22" s="966"/>
      <c r="S22" s="964"/>
      <c r="T22" s="966"/>
      <c r="U22" s="964"/>
      <c r="V22" s="798"/>
      <c r="W22" s="408"/>
      <c r="Y22" s="16">
        <f>+G35</f>
        <v>1500</v>
      </c>
      <c r="Z22" s="16">
        <f>+J35</f>
        <v>1500</v>
      </c>
      <c r="AA22" s="16">
        <f>+M35</f>
        <v>1500</v>
      </c>
    </row>
    <row r="23" spans="1:27" ht="13.5" customHeight="1" x14ac:dyDescent="0.25">
      <c r="A23" s="1572"/>
      <c r="B23" s="127"/>
      <c r="C23" s="1574"/>
      <c r="D23" s="1765"/>
      <c r="E23" s="436"/>
      <c r="F23" s="1588" t="s">
        <v>121</v>
      </c>
      <c r="G23" s="1559">
        <f>12500-11000</f>
        <v>1500</v>
      </c>
      <c r="H23" s="1559">
        <f>12500-11000</f>
        <v>1500</v>
      </c>
      <c r="I23" s="1554">
        <f t="shared" si="0"/>
        <v>0</v>
      </c>
      <c r="J23" s="1559">
        <f>13991.7+2539</f>
        <v>16530.7</v>
      </c>
      <c r="K23" s="1559">
        <f>13991.7+2539</f>
        <v>16530.7</v>
      </c>
      <c r="L23" s="1554">
        <f t="shared" ref="L23:L25" si="1">+K23-J23</f>
        <v>0</v>
      </c>
      <c r="M23" s="1559">
        <f>12015</f>
        <v>12015</v>
      </c>
      <c r="N23" s="1559">
        <f>12015</f>
        <v>12015</v>
      </c>
      <c r="O23" s="1596">
        <f t="shared" ref="O23:O24" si="2">+N23-M23</f>
        <v>0</v>
      </c>
      <c r="P23" s="414"/>
      <c r="Q23" s="899"/>
      <c r="R23" s="966"/>
      <c r="S23" s="964"/>
      <c r="T23" s="966"/>
      <c r="U23" s="964"/>
      <c r="V23" s="798"/>
      <c r="W23" s="408"/>
      <c r="Y23" s="16">
        <f>+G38+G33+G47+G92+G166</f>
        <v>1500</v>
      </c>
      <c r="Z23" s="16">
        <f>+J38+J33+J47+J92+J166</f>
        <v>16530.7</v>
      </c>
      <c r="AA23" s="16">
        <f>+M38+M33+M47+M92+M166</f>
        <v>12015</v>
      </c>
    </row>
    <row r="24" spans="1:27" ht="13.5" customHeight="1" x14ac:dyDescent="0.25">
      <c r="A24" s="1572"/>
      <c r="B24" s="127"/>
      <c r="C24" s="1574"/>
      <c r="D24" s="1765"/>
      <c r="E24" s="436"/>
      <c r="F24" s="20" t="s">
        <v>38</v>
      </c>
      <c r="G24" s="1559">
        <f>483-358-125</f>
        <v>0</v>
      </c>
      <c r="H24" s="1559">
        <f>483-358-125</f>
        <v>0</v>
      </c>
      <c r="I24" s="1554">
        <f t="shared" si="0"/>
        <v>0</v>
      </c>
      <c r="J24" s="1559">
        <f>1100.9-805.7</f>
        <v>295.2</v>
      </c>
      <c r="K24" s="1559">
        <f>1100.9-805.7</f>
        <v>295.2</v>
      </c>
      <c r="L24" s="1554">
        <f t="shared" si="1"/>
        <v>0</v>
      </c>
      <c r="M24" s="1559">
        <f>438.8-268.7</f>
        <v>170.1</v>
      </c>
      <c r="N24" s="1559">
        <f>438.8-268.7</f>
        <v>170.1</v>
      </c>
      <c r="O24" s="1596">
        <f t="shared" si="2"/>
        <v>0</v>
      </c>
      <c r="P24" s="414"/>
      <c r="Q24" s="899"/>
      <c r="R24" s="966"/>
      <c r="S24" s="964"/>
      <c r="T24" s="966"/>
      <c r="U24" s="964"/>
      <c r="V24" s="798"/>
      <c r="W24" s="408"/>
      <c r="Y24" s="16">
        <f>+G54+G91+G62</f>
        <v>0</v>
      </c>
      <c r="Z24" s="16">
        <f>+J54+J91+J62</f>
        <v>295.2</v>
      </c>
      <c r="AA24" s="16">
        <f>+M54+M91+M62</f>
        <v>170.1</v>
      </c>
    </row>
    <row r="25" spans="1:27" ht="13.5" customHeight="1" x14ac:dyDescent="0.25">
      <c r="A25" s="1572"/>
      <c r="B25" s="127"/>
      <c r="C25" s="1574"/>
      <c r="D25" s="1765"/>
      <c r="E25" s="436"/>
      <c r="F25" s="1095" t="s">
        <v>39</v>
      </c>
      <c r="G25" s="1305">
        <v>255.2</v>
      </c>
      <c r="H25" s="1305">
        <f>255.2-62</f>
        <v>193.2</v>
      </c>
      <c r="I25" s="1304">
        <f t="shared" si="0"/>
        <v>-62</v>
      </c>
      <c r="J25" s="1305">
        <v>24</v>
      </c>
      <c r="K25" s="1305">
        <f>24+62</f>
        <v>86</v>
      </c>
      <c r="L25" s="1304">
        <f t="shared" si="1"/>
        <v>62</v>
      </c>
      <c r="M25" s="1559"/>
      <c r="N25" s="1559"/>
      <c r="O25" s="1596"/>
      <c r="P25" s="414"/>
      <c r="Q25" s="899"/>
      <c r="R25" s="966"/>
      <c r="S25" s="964"/>
      <c r="T25" s="966"/>
      <c r="U25" s="964"/>
      <c r="V25" s="798"/>
      <c r="W25" s="408"/>
      <c r="Y25" s="16">
        <f>+G44+G84+G93+G78</f>
        <v>255.2</v>
      </c>
      <c r="Z25" s="16">
        <f>+J44+J84+J93+J78</f>
        <v>24</v>
      </c>
      <c r="AA25" s="16">
        <f>+M44+M84+M93+M78</f>
        <v>0</v>
      </c>
    </row>
    <row r="26" spans="1:27" ht="13.5" customHeight="1" x14ac:dyDescent="0.25">
      <c r="A26" s="1572"/>
      <c r="B26" s="127"/>
      <c r="C26" s="1574"/>
      <c r="D26" s="1765"/>
      <c r="E26" s="436"/>
      <c r="F26" s="1588" t="s">
        <v>50</v>
      </c>
      <c r="G26" s="1559">
        <f>635.6-24.2+35.6+13.5+5</f>
        <v>665.5</v>
      </c>
      <c r="H26" s="1559">
        <f>635.6-24.2+35.6+13.5+5</f>
        <v>665.5</v>
      </c>
      <c r="I26" s="1554">
        <f t="shared" si="0"/>
        <v>0</v>
      </c>
      <c r="J26" s="1559"/>
      <c r="K26" s="1559"/>
      <c r="L26" s="1554"/>
      <c r="M26" s="1559"/>
      <c r="N26" s="1559"/>
      <c r="O26" s="1596"/>
      <c r="P26" s="414"/>
      <c r="Q26" s="899"/>
      <c r="R26" s="966"/>
      <c r="S26" s="964"/>
      <c r="T26" s="966"/>
      <c r="U26" s="964"/>
      <c r="V26" s="798"/>
      <c r="W26" s="408"/>
      <c r="Y26" s="16">
        <f>+G31+G53+G66+G86+G158+G162+G163</f>
        <v>652.70000000000005</v>
      </c>
      <c r="Z26" s="16">
        <f>+J31+J53+J66+J86+J158+J162+J163</f>
        <v>0</v>
      </c>
      <c r="AA26" s="16">
        <f>+M31+M53+M66+M86+M158+M162+M163</f>
        <v>0</v>
      </c>
    </row>
    <row r="27" spans="1:27" ht="13.5" customHeight="1" x14ac:dyDescent="0.25">
      <c r="A27" s="1572"/>
      <c r="B27" s="127"/>
      <c r="C27" s="1574"/>
      <c r="D27" s="1765"/>
      <c r="E27" s="436"/>
      <c r="F27" s="1588" t="s">
        <v>67</v>
      </c>
      <c r="G27" s="1559">
        <v>5.7</v>
      </c>
      <c r="H27" s="1559">
        <v>5.7</v>
      </c>
      <c r="I27" s="1554">
        <f>+H27-G27</f>
        <v>0</v>
      </c>
      <c r="J27" s="1559"/>
      <c r="K27" s="1559"/>
      <c r="L27" s="1554"/>
      <c r="M27" s="1559"/>
      <c r="N27" s="1559"/>
      <c r="O27" s="1596"/>
      <c r="P27" s="414"/>
      <c r="Q27" s="899"/>
      <c r="R27" s="966"/>
      <c r="S27" s="964"/>
      <c r="T27" s="966"/>
      <c r="U27" s="964"/>
      <c r="V27" s="798"/>
      <c r="W27" s="408"/>
      <c r="Y27" s="16"/>
      <c r="Z27" s="16"/>
      <c r="AA27" s="16"/>
    </row>
    <row r="28" spans="1:27" ht="13.5" customHeight="1" x14ac:dyDescent="0.25">
      <c r="A28" s="1572"/>
      <c r="B28" s="127"/>
      <c r="C28" s="1574"/>
      <c r="D28" s="1765"/>
      <c r="E28" s="436"/>
      <c r="F28" s="20" t="s">
        <v>360</v>
      </c>
      <c r="G28" s="1559">
        <f>59.1+0.4</f>
        <v>59.5</v>
      </c>
      <c r="H28" s="1559">
        <f>59.1+0.4</f>
        <v>59.5</v>
      </c>
      <c r="I28" s="1554">
        <f t="shared" si="0"/>
        <v>0</v>
      </c>
      <c r="J28" s="1559"/>
      <c r="K28" s="1559"/>
      <c r="L28" s="1554"/>
      <c r="M28" s="1559"/>
      <c r="N28" s="1559"/>
      <c r="O28" s="1596"/>
      <c r="P28" s="415"/>
      <c r="Q28" s="799"/>
      <c r="R28" s="800"/>
      <c r="S28" s="397"/>
      <c r="T28" s="800"/>
      <c r="U28" s="397"/>
      <c r="V28" s="322"/>
      <c r="W28" s="399"/>
      <c r="Y28" s="16">
        <f>+G77</f>
        <v>59.5</v>
      </c>
      <c r="Z28" s="16">
        <f>+J77</f>
        <v>0</v>
      </c>
      <c r="AA28" s="16">
        <f>+M77</f>
        <v>0</v>
      </c>
    </row>
    <row r="29" spans="1:27" ht="17.75" customHeight="1" x14ac:dyDescent="0.25">
      <c r="A29" s="1540"/>
      <c r="B29" s="1541"/>
      <c r="C29" s="1542"/>
      <c r="D29" s="1766" t="s">
        <v>81</v>
      </c>
      <c r="E29" s="1771" t="s">
        <v>399</v>
      </c>
      <c r="F29" s="1108" t="s">
        <v>381</v>
      </c>
      <c r="G29" s="1135">
        <v>390.8</v>
      </c>
      <c r="H29" s="1109">
        <f>+G29</f>
        <v>390.8</v>
      </c>
      <c r="I29" s="1137">
        <f>+H29-G29</f>
        <v>0</v>
      </c>
      <c r="J29" s="1131"/>
      <c r="K29" s="1110"/>
      <c r="L29" s="1137"/>
      <c r="M29" s="1110">
        <f>340.5-5.7</f>
        <v>334.8</v>
      </c>
      <c r="N29" s="1110">
        <f>340.5-5.7</f>
        <v>334.8</v>
      </c>
      <c r="O29" s="1111">
        <f>+N29-M29</f>
        <v>0</v>
      </c>
      <c r="P29" s="1599" t="s">
        <v>40</v>
      </c>
      <c r="Q29" s="833"/>
      <c r="R29" s="589"/>
      <c r="S29" s="527"/>
      <c r="T29" s="563"/>
      <c r="U29" s="349"/>
      <c r="V29" s="563"/>
      <c r="W29" s="1979" t="s">
        <v>501</v>
      </c>
      <c r="Y29" s="16">
        <f>SUM(Y15:Y28)</f>
        <v>23527.200000000001</v>
      </c>
      <c r="Z29" s="16">
        <f t="shared" ref="Z29:AA29" si="3">SUM(Z15:Z28)</f>
        <v>36011.199999999997</v>
      </c>
      <c r="AA29" s="16">
        <f t="shared" si="3"/>
        <v>25831.200000000001</v>
      </c>
    </row>
    <row r="30" spans="1:27" ht="17.75" customHeight="1" x14ac:dyDescent="0.25">
      <c r="A30" s="1540"/>
      <c r="B30" s="1541"/>
      <c r="C30" s="1542"/>
      <c r="D30" s="1767"/>
      <c r="E30" s="1772"/>
      <c r="F30" s="1116" t="s">
        <v>389</v>
      </c>
      <c r="G30" s="1113">
        <v>56.4</v>
      </c>
      <c r="H30" s="1114">
        <f>56.4+100.5</f>
        <v>156.9</v>
      </c>
      <c r="I30" s="1115">
        <f>+H30-G30</f>
        <v>100.5</v>
      </c>
      <c r="J30" s="1117"/>
      <c r="K30" s="1114"/>
      <c r="L30" s="1115"/>
      <c r="M30" s="1117"/>
      <c r="N30" s="1114"/>
      <c r="O30" s="1118"/>
      <c r="P30" s="1599"/>
      <c r="Q30" s="526"/>
      <c r="R30" s="836"/>
      <c r="S30" s="526"/>
      <c r="T30" s="589"/>
      <c r="U30" s="526"/>
      <c r="V30" s="141"/>
      <c r="W30" s="1980"/>
      <c r="Y30" s="16"/>
      <c r="Z30" s="16"/>
      <c r="AA30" s="16"/>
    </row>
    <row r="31" spans="1:27" ht="13.5" customHeight="1" x14ac:dyDescent="0.25">
      <c r="A31" s="1540"/>
      <c r="B31" s="1541"/>
      <c r="C31" s="1542"/>
      <c r="D31" s="1767"/>
      <c r="E31" s="1772"/>
      <c r="F31" s="1112" t="s">
        <v>483</v>
      </c>
      <c r="G31" s="1139">
        <v>5.7</v>
      </c>
      <c r="H31" s="1113">
        <v>5.7</v>
      </c>
      <c r="I31" s="1115">
        <f>+H31-G31</f>
        <v>0</v>
      </c>
      <c r="J31" s="1117"/>
      <c r="K31" s="1114"/>
      <c r="L31" s="1115"/>
      <c r="M31" s="1117"/>
      <c r="N31" s="1114"/>
      <c r="O31" s="1118"/>
      <c r="P31" s="2015" t="s">
        <v>119</v>
      </c>
      <c r="Q31" s="1635">
        <v>35</v>
      </c>
      <c r="R31" s="1636">
        <v>37</v>
      </c>
      <c r="S31" s="349">
        <v>85</v>
      </c>
      <c r="T31" s="476"/>
      <c r="U31" s="349">
        <v>100</v>
      </c>
      <c r="V31" s="476"/>
      <c r="W31" s="1980"/>
      <c r="Y31" s="16">
        <f>+Y29-G167</f>
        <v>-202.7</v>
      </c>
      <c r="Z31" s="16">
        <f>+Z29-J167</f>
        <v>-1160.7</v>
      </c>
      <c r="AA31" s="16">
        <f>+AA29-M167</f>
        <v>-195.4</v>
      </c>
    </row>
    <row r="32" spans="1:27" ht="13.5" customHeight="1" x14ac:dyDescent="0.25">
      <c r="A32" s="1540"/>
      <c r="B32" s="1541"/>
      <c r="C32" s="1542"/>
      <c r="D32" s="1767"/>
      <c r="E32" s="859" t="s">
        <v>41</v>
      </c>
      <c r="F32" s="1112" t="s">
        <v>383</v>
      </c>
      <c r="G32" s="1139"/>
      <c r="H32" s="1113"/>
      <c r="I32" s="1115"/>
      <c r="J32" s="1117">
        <v>8000</v>
      </c>
      <c r="K32" s="1114">
        <f>+J32</f>
        <v>8000</v>
      </c>
      <c r="L32" s="1115">
        <f>+K32-J32</f>
        <v>0</v>
      </c>
      <c r="M32" s="1117"/>
      <c r="N32" s="1114"/>
      <c r="O32" s="1118"/>
      <c r="P32" s="2011"/>
      <c r="Q32" s="833"/>
      <c r="R32" s="589"/>
      <c r="S32" s="349"/>
      <c r="T32" s="589"/>
      <c r="U32" s="349"/>
      <c r="V32" s="141"/>
      <c r="W32" s="1980"/>
    </row>
    <row r="33" spans="1:27" ht="13.5" customHeight="1" x14ac:dyDescent="0.25">
      <c r="A33" s="1540"/>
      <c r="B33" s="1541"/>
      <c r="C33" s="1542"/>
      <c r="D33" s="1767"/>
      <c r="E33" s="1565" t="s">
        <v>418</v>
      </c>
      <c r="F33" s="1112" t="s">
        <v>384</v>
      </c>
      <c r="G33" s="1139">
        <f>11000-11000</f>
        <v>0</v>
      </c>
      <c r="H33" s="1113">
        <f>11000-11000</f>
        <v>0</v>
      </c>
      <c r="I33" s="1115">
        <f t="shared" ref="I33:I44" si="4">+H33-G33</f>
        <v>0</v>
      </c>
      <c r="J33" s="1117">
        <f>5000-1400-1623.4+2539</f>
        <v>4515.6000000000004</v>
      </c>
      <c r="K33" s="1117">
        <f>5000-1400-1623.4+2539</f>
        <v>4515.6000000000004</v>
      </c>
      <c r="L33" s="1115">
        <f>+K33-J33</f>
        <v>0</v>
      </c>
      <c r="M33" s="1117"/>
      <c r="N33" s="1114"/>
      <c r="O33" s="1118"/>
      <c r="P33" s="2011"/>
      <c r="Q33" s="833"/>
      <c r="R33" s="589"/>
      <c r="S33" s="349"/>
      <c r="T33" s="589"/>
      <c r="U33" s="349"/>
      <c r="V33" s="141"/>
      <c r="W33" s="1980"/>
      <c r="Y33" s="16">
        <f>+I33+I34+I36+I39+I41+I52+I53+I54+I55+I61+I62+I67+I70+I75+I76+I77+I79+I82+I95+I104+I122+I125++I133+I138+I139+I142+I161+I162+I127</f>
        <v>150</v>
      </c>
    </row>
    <row r="34" spans="1:27" ht="13.5" customHeight="1" x14ac:dyDescent="0.25">
      <c r="A34" s="1540"/>
      <c r="B34" s="1541"/>
      <c r="C34" s="1542"/>
      <c r="D34" s="1767"/>
      <c r="E34" s="1565"/>
      <c r="F34" s="1112" t="s">
        <v>383</v>
      </c>
      <c r="G34" s="1114">
        <f>9038.6-2.6</f>
        <v>9036</v>
      </c>
      <c r="H34" s="1114">
        <f>9038.6-2.6</f>
        <v>9036</v>
      </c>
      <c r="I34" s="1115">
        <f t="shared" si="4"/>
        <v>0</v>
      </c>
      <c r="J34" s="1117"/>
      <c r="K34" s="1114"/>
      <c r="L34" s="1115"/>
      <c r="M34" s="1117"/>
      <c r="N34" s="1114"/>
      <c r="O34" s="1118"/>
      <c r="P34" s="2011"/>
      <c r="Q34" s="833"/>
      <c r="R34" s="589"/>
      <c r="S34" s="349"/>
      <c r="T34" s="589"/>
      <c r="U34" s="349"/>
      <c r="V34" s="141"/>
      <c r="W34" s="1980"/>
    </row>
    <row r="35" spans="1:27" ht="13.5" customHeight="1" x14ac:dyDescent="0.25">
      <c r="A35" s="1540"/>
      <c r="B35" s="1541"/>
      <c r="C35" s="1542"/>
      <c r="D35" s="1767"/>
      <c r="E35" s="844"/>
      <c r="F35" s="1112" t="s">
        <v>385</v>
      </c>
      <c r="G35" s="1138">
        <v>1500</v>
      </c>
      <c r="H35" s="1114">
        <f>+G35</f>
        <v>1500</v>
      </c>
      <c r="I35" s="1115">
        <f t="shared" si="4"/>
        <v>0</v>
      </c>
      <c r="J35" s="1117">
        <v>1500</v>
      </c>
      <c r="K35" s="1114">
        <f>+J35</f>
        <v>1500</v>
      </c>
      <c r="L35" s="1115">
        <f>+K35-J35</f>
        <v>0</v>
      </c>
      <c r="M35" s="1117">
        <v>1500</v>
      </c>
      <c r="N35" s="1114">
        <f>+M35</f>
        <v>1500</v>
      </c>
      <c r="O35" s="1118">
        <f>+N35-M35</f>
        <v>0</v>
      </c>
      <c r="P35" s="2016"/>
      <c r="Q35" s="833"/>
      <c r="R35" s="589"/>
      <c r="S35" s="349"/>
      <c r="T35" s="589"/>
      <c r="U35" s="349"/>
      <c r="V35" s="141"/>
      <c r="W35" s="1980"/>
    </row>
    <row r="36" spans="1:27" ht="27" customHeight="1" x14ac:dyDescent="0.25">
      <c r="A36" s="1540"/>
      <c r="B36" s="1541"/>
      <c r="C36" s="1542"/>
      <c r="D36" s="1561" t="s">
        <v>179</v>
      </c>
      <c r="E36" s="785"/>
      <c r="F36" s="1095" t="s">
        <v>386</v>
      </c>
      <c r="G36" s="1305">
        <f>754.4+800+1400-100-265-1884.4-577.6</f>
        <v>127.4</v>
      </c>
      <c r="H36" s="1305">
        <f>754.4+800+1400-100-265-1884.4-577.6+150</f>
        <v>277.39999999999998</v>
      </c>
      <c r="I36" s="1304">
        <f t="shared" si="4"/>
        <v>150</v>
      </c>
      <c r="J36" s="1559">
        <f>549.7+100+752.6+292.7</f>
        <v>1695</v>
      </c>
      <c r="K36" s="1559">
        <f>549.7+100+752.6+292.7</f>
        <v>1695</v>
      </c>
      <c r="L36" s="1554">
        <f>+K36-J36</f>
        <v>0</v>
      </c>
      <c r="M36" s="1305">
        <f>10.2+870.8+265+1835</f>
        <v>2981</v>
      </c>
      <c r="N36" s="1305">
        <f>10.2+870.8+265+1835-590</f>
        <v>2391</v>
      </c>
      <c r="O36" s="1307">
        <f>+N36-M36</f>
        <v>-590</v>
      </c>
      <c r="P36" s="431" t="s">
        <v>206</v>
      </c>
      <c r="Q36" s="525">
        <v>100</v>
      </c>
      <c r="R36" s="469"/>
      <c r="S36" s="395"/>
      <c r="T36" s="469"/>
      <c r="U36" s="395"/>
      <c r="V36" s="144"/>
      <c r="W36" s="1980"/>
    </row>
    <row r="37" spans="1:27" ht="27" customHeight="1" x14ac:dyDescent="0.25">
      <c r="A37" s="1540"/>
      <c r="B37" s="1541"/>
      <c r="C37" s="1542"/>
      <c r="D37" s="1543"/>
      <c r="E37" s="785"/>
      <c r="F37" s="1116" t="s">
        <v>381</v>
      </c>
      <c r="G37" s="1139">
        <f>603.9-390.8</f>
        <v>213.1</v>
      </c>
      <c r="H37" s="1113">
        <f>+G37</f>
        <v>213.1</v>
      </c>
      <c r="I37" s="1115">
        <f t="shared" si="4"/>
        <v>0</v>
      </c>
      <c r="J37" s="1117"/>
      <c r="K37" s="1114"/>
      <c r="L37" s="1115"/>
      <c r="M37" s="1559"/>
      <c r="N37" s="1553"/>
      <c r="O37" s="1596"/>
      <c r="P37" s="413" t="s">
        <v>169</v>
      </c>
      <c r="Q37" s="526"/>
      <c r="R37" s="836"/>
      <c r="S37" s="394"/>
      <c r="T37" s="836"/>
      <c r="U37" s="394"/>
      <c r="V37" s="290"/>
      <c r="W37" s="1980"/>
    </row>
    <row r="38" spans="1:27" ht="46.5" customHeight="1" x14ac:dyDescent="0.25">
      <c r="A38" s="1540"/>
      <c r="B38" s="1541"/>
      <c r="C38" s="1542"/>
      <c r="D38" s="1546"/>
      <c r="E38" s="785"/>
      <c r="F38" s="1116" t="s">
        <v>384</v>
      </c>
      <c r="G38" s="1139">
        <v>1500</v>
      </c>
      <c r="H38" s="1113">
        <f>+G38</f>
        <v>1500</v>
      </c>
      <c r="I38" s="1115">
        <f t="shared" si="4"/>
        <v>0</v>
      </c>
      <c r="J38" s="1117">
        <v>2000</v>
      </c>
      <c r="K38" s="1114">
        <f>+J38</f>
        <v>2000</v>
      </c>
      <c r="L38" s="1115">
        <f>+K38-J38</f>
        <v>0</v>
      </c>
      <c r="M38" s="1559"/>
      <c r="N38" s="1553"/>
      <c r="O38" s="1596"/>
      <c r="P38" s="408" t="s">
        <v>170</v>
      </c>
      <c r="Q38" s="833">
        <v>40</v>
      </c>
      <c r="R38" s="589"/>
      <c r="S38" s="349">
        <v>60</v>
      </c>
      <c r="T38" s="589"/>
      <c r="U38" s="349"/>
      <c r="V38" s="141"/>
      <c r="W38" s="1981"/>
    </row>
    <row r="39" spans="1:27" ht="15.65" customHeight="1" x14ac:dyDescent="0.25">
      <c r="A39" s="1753"/>
      <c r="B39" s="1754"/>
      <c r="C39" s="1755"/>
      <c r="D39" s="1714" t="s">
        <v>131</v>
      </c>
      <c r="E39" s="845" t="s">
        <v>178</v>
      </c>
      <c r="F39" s="1119" t="s">
        <v>386</v>
      </c>
      <c r="G39" s="1110">
        <f>314.6-111+102.1</f>
        <v>305.7</v>
      </c>
      <c r="H39" s="1110">
        <f>314.6-111+102.1</f>
        <v>305.7</v>
      </c>
      <c r="I39" s="1137">
        <f t="shared" si="4"/>
        <v>0</v>
      </c>
      <c r="J39" s="1131"/>
      <c r="K39" s="1110"/>
      <c r="L39" s="1137"/>
      <c r="M39" s="1131"/>
      <c r="N39" s="1110"/>
      <c r="O39" s="1111"/>
      <c r="P39" s="1957" t="s">
        <v>455</v>
      </c>
      <c r="Q39" s="527">
        <v>100</v>
      </c>
      <c r="R39" s="563"/>
      <c r="S39" s="359"/>
      <c r="T39" s="563"/>
      <c r="U39" s="359"/>
      <c r="V39" s="140"/>
      <c r="W39" s="1959"/>
      <c r="AA39" s="16"/>
    </row>
    <row r="40" spans="1:27" ht="15.65" customHeight="1" x14ac:dyDescent="0.25">
      <c r="A40" s="1753"/>
      <c r="B40" s="1754"/>
      <c r="C40" s="1755"/>
      <c r="D40" s="1756"/>
      <c r="E40" s="859" t="s">
        <v>41</v>
      </c>
      <c r="F40" s="1116" t="s">
        <v>381</v>
      </c>
      <c r="G40" s="1138">
        <f>358.5+170.2-204.9</f>
        <v>323.8</v>
      </c>
      <c r="H40" s="1114">
        <f>358.5+170.2-204.9</f>
        <v>323.8</v>
      </c>
      <c r="I40" s="1115">
        <f t="shared" si="4"/>
        <v>0</v>
      </c>
      <c r="J40" s="1117"/>
      <c r="K40" s="1114"/>
      <c r="L40" s="1115"/>
      <c r="M40" s="1117"/>
      <c r="N40" s="1114"/>
      <c r="O40" s="1118"/>
      <c r="P40" s="1958"/>
      <c r="Q40" s="833"/>
      <c r="R40" s="589"/>
      <c r="S40" s="349"/>
      <c r="T40" s="589"/>
      <c r="U40" s="349"/>
      <c r="V40" s="141"/>
      <c r="W40" s="1960"/>
    </row>
    <row r="41" spans="1:27" ht="15.65" customHeight="1" x14ac:dyDescent="0.25">
      <c r="A41" s="1753"/>
      <c r="B41" s="1754"/>
      <c r="C41" s="1755"/>
      <c r="D41" s="1756"/>
      <c r="E41" s="843"/>
      <c r="F41" s="1116" t="s">
        <v>382</v>
      </c>
      <c r="G41" s="1114">
        <v>13.5</v>
      </c>
      <c r="H41" s="1114">
        <v>13.5</v>
      </c>
      <c r="I41" s="1115">
        <f t="shared" si="4"/>
        <v>0</v>
      </c>
      <c r="J41" s="1117"/>
      <c r="K41" s="1114"/>
      <c r="L41" s="1115"/>
      <c r="M41" s="1117"/>
      <c r="N41" s="1114"/>
      <c r="O41" s="1118"/>
      <c r="P41" s="1581"/>
      <c r="Q41" s="833"/>
      <c r="R41" s="589"/>
      <c r="S41" s="349"/>
      <c r="T41" s="589"/>
      <c r="U41" s="349"/>
      <c r="V41" s="141"/>
      <c r="W41" s="1960"/>
      <c r="AA41" s="16"/>
    </row>
    <row r="42" spans="1:27" ht="15.65" customHeight="1" x14ac:dyDescent="0.25">
      <c r="A42" s="1753"/>
      <c r="B42" s="1754"/>
      <c r="C42" s="1755"/>
      <c r="D42" s="1756"/>
      <c r="E42" s="1565" t="s">
        <v>418</v>
      </c>
      <c r="F42" s="1116" t="s">
        <v>387</v>
      </c>
      <c r="G42" s="1139">
        <v>0.1</v>
      </c>
      <c r="H42" s="1113">
        <f>+G42</f>
        <v>0.1</v>
      </c>
      <c r="I42" s="1115">
        <f t="shared" si="4"/>
        <v>0</v>
      </c>
      <c r="J42" s="1117"/>
      <c r="K42" s="1114"/>
      <c r="L42" s="1115"/>
      <c r="M42" s="1117"/>
      <c r="N42" s="1114"/>
      <c r="O42" s="1118"/>
      <c r="P42" s="1585"/>
      <c r="Q42" s="833"/>
      <c r="R42" s="589"/>
      <c r="S42" s="349"/>
      <c r="T42" s="589"/>
      <c r="U42" s="349"/>
      <c r="V42" s="141"/>
      <c r="W42" s="1960"/>
    </row>
    <row r="43" spans="1:27" ht="15.65" customHeight="1" x14ac:dyDescent="0.25">
      <c r="A43" s="1753"/>
      <c r="B43" s="1754"/>
      <c r="C43" s="1755"/>
      <c r="D43" s="1756"/>
      <c r="E43" s="1565"/>
      <c r="F43" s="1116" t="s">
        <v>389</v>
      </c>
      <c r="G43" s="1113">
        <v>63.4</v>
      </c>
      <c r="H43" s="1114">
        <v>63.4</v>
      </c>
      <c r="I43" s="1115">
        <f t="shared" si="4"/>
        <v>0</v>
      </c>
      <c r="J43" s="1117"/>
      <c r="K43" s="1114"/>
      <c r="L43" s="1115"/>
      <c r="M43" s="1117"/>
      <c r="N43" s="1114"/>
      <c r="O43" s="1118"/>
      <c r="P43" s="1585"/>
      <c r="Q43" s="833"/>
      <c r="R43" s="589"/>
      <c r="S43" s="349"/>
      <c r="T43" s="589"/>
      <c r="U43" s="349"/>
      <c r="V43" s="141"/>
      <c r="W43" s="1960"/>
    </row>
    <row r="44" spans="1:27" ht="17.5" customHeight="1" x14ac:dyDescent="0.25">
      <c r="A44" s="1753"/>
      <c r="B44" s="1754"/>
      <c r="C44" s="1755"/>
      <c r="D44" s="1756"/>
      <c r="E44" s="1565"/>
      <c r="F44" s="1116" t="s">
        <v>388</v>
      </c>
      <c r="G44" s="1331">
        <f>244.4-170.2</f>
        <v>74.2</v>
      </c>
      <c r="H44" s="1114">
        <f>+G44</f>
        <v>74.2</v>
      </c>
      <c r="I44" s="1115">
        <f t="shared" si="4"/>
        <v>0</v>
      </c>
      <c r="J44" s="1117"/>
      <c r="K44" s="1114"/>
      <c r="L44" s="1115"/>
      <c r="M44" s="1117"/>
      <c r="N44" s="1114"/>
      <c r="O44" s="1118"/>
      <c r="P44" s="1585"/>
      <c r="Q44" s="526"/>
      <c r="R44" s="589"/>
      <c r="S44" s="349"/>
      <c r="T44" s="589"/>
      <c r="U44" s="349"/>
      <c r="V44" s="141"/>
      <c r="W44" s="1961"/>
    </row>
    <row r="45" spans="1:27" ht="25.5" customHeight="1" x14ac:dyDescent="0.25">
      <c r="A45" s="1753"/>
      <c r="B45" s="1754"/>
      <c r="C45" s="1755"/>
      <c r="D45" s="77" t="s">
        <v>274</v>
      </c>
      <c r="E45" s="157"/>
      <c r="F45" s="1120"/>
      <c r="G45" s="1200"/>
      <c r="H45" s="1122"/>
      <c r="I45" s="1162"/>
      <c r="J45" s="1343"/>
      <c r="K45" s="1122"/>
      <c r="L45" s="1162"/>
      <c r="M45" s="1343"/>
      <c r="N45" s="1122"/>
      <c r="O45" s="1123"/>
      <c r="P45" s="406" t="s">
        <v>98</v>
      </c>
      <c r="Q45" s="525">
        <v>100</v>
      </c>
      <c r="R45" s="469"/>
      <c r="S45" s="395"/>
      <c r="T45" s="469"/>
      <c r="U45" s="395"/>
      <c r="V45" s="144"/>
      <c r="W45" s="144"/>
    </row>
    <row r="46" spans="1:27" ht="27.75" customHeight="1" x14ac:dyDescent="0.25">
      <c r="A46" s="1753"/>
      <c r="B46" s="1754"/>
      <c r="C46" s="1755"/>
      <c r="D46" s="1602" t="s">
        <v>275</v>
      </c>
      <c r="E46" s="1566"/>
      <c r="F46" s="1124"/>
      <c r="G46" s="1157"/>
      <c r="H46" s="1126"/>
      <c r="I46" s="1129"/>
      <c r="J46" s="1128"/>
      <c r="K46" s="1126"/>
      <c r="L46" s="1129"/>
      <c r="M46" s="1679"/>
      <c r="N46" s="1679"/>
      <c r="O46" s="1127"/>
      <c r="P46" s="1587" t="s">
        <v>99</v>
      </c>
      <c r="Q46" s="681">
        <v>100</v>
      </c>
      <c r="R46" s="545"/>
      <c r="S46" s="350"/>
      <c r="T46" s="545"/>
      <c r="U46" s="566"/>
      <c r="V46" s="142"/>
      <c r="W46" s="142"/>
    </row>
    <row r="47" spans="1:27" ht="15" customHeight="1" x14ac:dyDescent="0.25">
      <c r="A47" s="1540"/>
      <c r="B47" s="1541"/>
      <c r="C47" s="1542"/>
      <c r="D47" s="1714" t="s">
        <v>334</v>
      </c>
      <c r="E47" s="435" t="s">
        <v>41</v>
      </c>
      <c r="F47" s="1116" t="s">
        <v>384</v>
      </c>
      <c r="G47" s="1139"/>
      <c r="H47" s="1114"/>
      <c r="I47" s="1137"/>
      <c r="J47" s="1117">
        <v>10000</v>
      </c>
      <c r="K47" s="1114">
        <f>+J47</f>
        <v>10000</v>
      </c>
      <c r="L47" s="1137">
        <f>+K47-J47</f>
        <v>0</v>
      </c>
      <c r="M47" s="1117">
        <v>12000</v>
      </c>
      <c r="N47" s="1117">
        <f>+M47</f>
        <v>12000</v>
      </c>
      <c r="O47" s="1118">
        <f>+N47-M47</f>
        <v>0</v>
      </c>
      <c r="P47" s="1599" t="s">
        <v>290</v>
      </c>
      <c r="Q47" s="900"/>
      <c r="R47" s="969"/>
      <c r="S47" s="348">
        <v>40</v>
      </c>
      <c r="T47" s="967"/>
      <c r="U47" s="348">
        <v>80</v>
      </c>
      <c r="V47" s="138"/>
      <c r="W47" s="138"/>
    </row>
    <row r="48" spans="1:27" ht="15" customHeight="1" x14ac:dyDescent="0.25">
      <c r="A48" s="1540"/>
      <c r="B48" s="1541"/>
      <c r="C48" s="1542"/>
      <c r="D48" s="1756"/>
      <c r="E48" s="1565" t="s">
        <v>418</v>
      </c>
      <c r="F48" s="1116"/>
      <c r="G48" s="1139"/>
      <c r="H48" s="1114"/>
      <c r="I48" s="1115"/>
      <c r="J48" s="1117"/>
      <c r="K48" s="1114"/>
      <c r="L48" s="1115"/>
      <c r="M48" s="1117"/>
      <c r="N48" s="1117"/>
      <c r="O48" s="1118"/>
      <c r="P48" s="1599"/>
      <c r="Q48" s="900"/>
      <c r="R48" s="967"/>
      <c r="S48" s="348"/>
      <c r="T48" s="967"/>
      <c r="U48" s="348"/>
      <c r="V48" s="138"/>
      <c r="W48" s="138"/>
    </row>
    <row r="49" spans="1:23" ht="15" customHeight="1" x14ac:dyDescent="0.25">
      <c r="A49" s="1540"/>
      <c r="B49" s="1541"/>
      <c r="C49" s="1542"/>
      <c r="D49" s="1715"/>
      <c r="E49" s="166"/>
      <c r="F49" s="20"/>
      <c r="G49" s="1589"/>
      <c r="H49" s="1553"/>
      <c r="I49" s="1554"/>
      <c r="J49" s="1559"/>
      <c r="K49" s="1553"/>
      <c r="L49" s="1554"/>
      <c r="M49" s="1559"/>
      <c r="N49" s="1559"/>
      <c r="O49" s="1596"/>
      <c r="P49" s="1599"/>
      <c r="Q49" s="900"/>
      <c r="R49" s="967"/>
      <c r="S49" s="348"/>
      <c r="T49" s="967"/>
      <c r="U49" s="348"/>
      <c r="V49" s="138"/>
      <c r="W49" s="138"/>
    </row>
    <row r="50" spans="1:23" ht="15" customHeight="1" x14ac:dyDescent="0.25">
      <c r="A50" s="1572"/>
      <c r="B50" s="1573"/>
      <c r="C50" s="1773" t="s">
        <v>157</v>
      </c>
      <c r="D50" s="1775" t="s">
        <v>401</v>
      </c>
      <c r="E50" s="846" t="s">
        <v>178</v>
      </c>
      <c r="F50" s="1119" t="s">
        <v>381</v>
      </c>
      <c r="G50" s="1135"/>
      <c r="H50" s="1110">
        <v>0.5</v>
      </c>
      <c r="I50" s="1137">
        <f>+H50-G50</f>
        <v>0.5</v>
      </c>
      <c r="J50" s="1131">
        <f>696.2-244.2</f>
        <v>452</v>
      </c>
      <c r="K50" s="1110">
        <f>+J50</f>
        <v>452</v>
      </c>
      <c r="L50" s="1137">
        <f>+K50-J50</f>
        <v>0</v>
      </c>
      <c r="M50" s="1131">
        <f>300-150</f>
        <v>150</v>
      </c>
      <c r="N50" s="1131">
        <f>+M50</f>
        <v>150</v>
      </c>
      <c r="O50" s="1111">
        <f>+N50-M50</f>
        <v>0</v>
      </c>
      <c r="P50" s="1957" t="s">
        <v>173</v>
      </c>
      <c r="Q50" s="618"/>
      <c r="R50" s="619"/>
      <c r="S50" s="496"/>
      <c r="T50" s="619"/>
      <c r="U50" s="496"/>
      <c r="V50" s="147"/>
      <c r="W50" s="1967" t="s">
        <v>494</v>
      </c>
    </row>
    <row r="51" spans="1:23" ht="15" customHeight="1" x14ac:dyDescent="0.25">
      <c r="A51" s="1572"/>
      <c r="B51" s="1573"/>
      <c r="C51" s="1773"/>
      <c r="D51" s="1776"/>
      <c r="E51" s="859" t="s">
        <v>41</v>
      </c>
      <c r="F51" s="1116" t="s">
        <v>389</v>
      </c>
      <c r="G51" s="1139">
        <v>100</v>
      </c>
      <c r="H51" s="1114">
        <f>+G51</f>
        <v>100</v>
      </c>
      <c r="I51" s="1115">
        <f t="shared" ref="I51:I56" si="5">+H51-G51</f>
        <v>0</v>
      </c>
      <c r="J51" s="1117"/>
      <c r="K51" s="1114"/>
      <c r="L51" s="1115"/>
      <c r="M51" s="1117"/>
      <c r="N51" s="1117"/>
      <c r="O51" s="1118"/>
      <c r="P51" s="1958"/>
      <c r="Q51" s="1605"/>
      <c r="R51" s="1603"/>
      <c r="S51" s="392"/>
      <c r="T51" s="1603"/>
      <c r="U51" s="392"/>
      <c r="V51" s="195"/>
      <c r="W51" s="1978"/>
    </row>
    <row r="52" spans="1:23" ht="15" customHeight="1" x14ac:dyDescent="0.25">
      <c r="A52" s="1572"/>
      <c r="B52" s="1573"/>
      <c r="C52" s="1773"/>
      <c r="D52" s="1776"/>
      <c r="E52" s="859"/>
      <c r="F52" s="1116" t="s">
        <v>392</v>
      </c>
      <c r="G52" s="1114">
        <v>64.400000000000006</v>
      </c>
      <c r="H52" s="1114">
        <v>64.400000000000006</v>
      </c>
      <c r="I52" s="1115">
        <f t="shared" si="5"/>
        <v>0</v>
      </c>
      <c r="J52" s="1117"/>
      <c r="K52" s="1114"/>
      <c r="L52" s="1115"/>
      <c r="M52" s="1117"/>
      <c r="N52" s="1117"/>
      <c r="O52" s="1118"/>
      <c r="P52" s="1958"/>
      <c r="Q52" s="1605"/>
      <c r="R52" s="1603"/>
      <c r="S52" s="392"/>
      <c r="T52" s="1603"/>
      <c r="U52" s="392"/>
      <c r="V52" s="195"/>
      <c r="W52" s="1978"/>
    </row>
    <row r="53" spans="1:23" ht="15" customHeight="1" x14ac:dyDescent="0.25">
      <c r="A53" s="1572"/>
      <c r="B53" s="1573"/>
      <c r="C53" s="1773"/>
      <c r="D53" s="1776"/>
      <c r="E53" s="1772" t="s">
        <v>400</v>
      </c>
      <c r="F53" s="1116" t="s">
        <v>382</v>
      </c>
      <c r="G53" s="1114">
        <f>5.2+35.6</f>
        <v>40.799999999999997</v>
      </c>
      <c r="H53" s="1114">
        <f>5.2+35.6</f>
        <v>40.799999999999997</v>
      </c>
      <c r="I53" s="1115">
        <f t="shared" si="5"/>
        <v>0</v>
      </c>
      <c r="J53" s="1117"/>
      <c r="K53" s="1114"/>
      <c r="L53" s="1115"/>
      <c r="M53" s="1117"/>
      <c r="N53" s="1117"/>
      <c r="O53" s="1118"/>
      <c r="P53" s="1963"/>
      <c r="Q53" s="901"/>
      <c r="R53" s="970"/>
      <c r="S53" s="510"/>
      <c r="T53" s="970"/>
      <c r="U53" s="510"/>
      <c r="V53" s="184"/>
      <c r="W53" s="1978"/>
    </row>
    <row r="54" spans="1:23" ht="26.25" customHeight="1" x14ac:dyDescent="0.25">
      <c r="A54" s="1572"/>
      <c r="B54" s="127"/>
      <c r="C54" s="1773"/>
      <c r="D54" s="1776"/>
      <c r="E54" s="1772"/>
      <c r="F54" s="1116" t="s">
        <v>390</v>
      </c>
      <c r="G54" s="1114">
        <f>358-358</f>
        <v>0</v>
      </c>
      <c r="H54" s="1114">
        <f>358-358</f>
        <v>0</v>
      </c>
      <c r="I54" s="1115">
        <f t="shared" si="5"/>
        <v>0</v>
      </c>
      <c r="J54" s="1114">
        <f>805.7-805.7</f>
        <v>0</v>
      </c>
      <c r="K54" s="1114">
        <f>805.7-805.7</f>
        <v>0</v>
      </c>
      <c r="L54" s="1115">
        <f>+K54-J54</f>
        <v>0</v>
      </c>
      <c r="M54" s="1117">
        <f>268.7-268.7</f>
        <v>0</v>
      </c>
      <c r="N54" s="1117">
        <f>268.7-268.7</f>
        <v>0</v>
      </c>
      <c r="O54" s="1118">
        <f>+N54-M54</f>
        <v>0</v>
      </c>
      <c r="P54" s="1598" t="s">
        <v>354</v>
      </c>
      <c r="Q54" s="1637">
        <v>20</v>
      </c>
      <c r="R54" s="1318" t="s">
        <v>155</v>
      </c>
      <c r="S54" s="1673">
        <v>60</v>
      </c>
      <c r="T54" s="1318"/>
      <c r="U54" s="1620">
        <v>100</v>
      </c>
      <c r="V54" s="610"/>
      <c r="W54" s="1978"/>
    </row>
    <row r="55" spans="1:23" ht="15.65" customHeight="1" x14ac:dyDescent="0.25">
      <c r="A55" s="1572"/>
      <c r="B55" s="127"/>
      <c r="C55" s="1773"/>
      <c r="D55" s="1776"/>
      <c r="E55" s="1608"/>
      <c r="F55" s="1116" t="s">
        <v>387</v>
      </c>
      <c r="G55" s="1114">
        <f>358+60.4</f>
        <v>418.4</v>
      </c>
      <c r="H55" s="1114">
        <f>358+60.4</f>
        <v>418.4</v>
      </c>
      <c r="I55" s="1115">
        <f t="shared" si="5"/>
        <v>0</v>
      </c>
      <c r="J55" s="1114">
        <v>805.7</v>
      </c>
      <c r="K55" s="1114">
        <v>805.7</v>
      </c>
      <c r="L55" s="1115">
        <f>+K55-J55</f>
        <v>0</v>
      </c>
      <c r="M55" s="1117">
        <v>195.4</v>
      </c>
      <c r="N55" s="1117">
        <v>195.4</v>
      </c>
      <c r="O55" s="1118">
        <f>+N55-M55</f>
        <v>0</v>
      </c>
      <c r="P55" s="1097"/>
      <c r="Q55" s="901"/>
      <c r="R55" s="970"/>
      <c r="S55" s="392"/>
      <c r="T55" s="1603"/>
      <c r="U55" s="901"/>
      <c r="V55" s="970"/>
      <c r="W55" s="1978"/>
    </row>
    <row r="56" spans="1:23" ht="15.65" customHeight="1" x14ac:dyDescent="0.25">
      <c r="A56" s="1572"/>
      <c r="B56" s="127"/>
      <c r="C56" s="1773"/>
      <c r="D56" s="1776"/>
      <c r="E56" s="1565" t="s">
        <v>418</v>
      </c>
      <c r="F56" s="124" t="s">
        <v>386</v>
      </c>
      <c r="G56" s="38">
        <v>100</v>
      </c>
      <c r="H56" s="214">
        <f>+G56</f>
        <v>100</v>
      </c>
      <c r="I56" s="456">
        <f t="shared" si="5"/>
        <v>0</v>
      </c>
      <c r="J56" s="1305">
        <v>647.4</v>
      </c>
      <c r="K56" s="1303">
        <f>+J56+100</f>
        <v>747.4</v>
      </c>
      <c r="L56" s="1304">
        <f>+K56-J56</f>
        <v>100</v>
      </c>
      <c r="M56" s="202">
        <f>529.2-7.7</f>
        <v>521.5</v>
      </c>
      <c r="N56" s="202">
        <f>529.2-7.7</f>
        <v>521.5</v>
      </c>
      <c r="O56" s="44">
        <f>+N56-M56</f>
        <v>0</v>
      </c>
      <c r="P56" s="1" t="s">
        <v>172</v>
      </c>
      <c r="Q56" s="903">
        <v>5</v>
      </c>
      <c r="R56" s="722"/>
      <c r="S56" s="788">
        <v>5</v>
      </c>
      <c r="T56" s="722"/>
      <c r="U56" s="973"/>
      <c r="V56" s="902"/>
      <c r="W56" s="1974"/>
    </row>
    <row r="57" spans="1:23" ht="22.5" customHeight="1" x14ac:dyDescent="0.25">
      <c r="A57" s="65"/>
      <c r="B57" s="127"/>
      <c r="C57" s="1773"/>
      <c r="D57" s="1714" t="s">
        <v>253</v>
      </c>
      <c r="E57" s="860" t="s">
        <v>178</v>
      </c>
      <c r="F57" s="1119" t="s">
        <v>381</v>
      </c>
      <c r="G57" s="1139"/>
      <c r="H57" s="1114"/>
      <c r="I57" s="1115"/>
      <c r="J57" s="1131">
        <f>432-150</f>
        <v>282</v>
      </c>
      <c r="K57" s="1110">
        <f>+J57</f>
        <v>282</v>
      </c>
      <c r="L57" s="1137">
        <f>+K57-J57</f>
        <v>0</v>
      </c>
      <c r="M57" s="1117">
        <v>216</v>
      </c>
      <c r="N57" s="1117">
        <f>+M57</f>
        <v>216</v>
      </c>
      <c r="O57" s="1118">
        <f>+N57-M57</f>
        <v>0</v>
      </c>
      <c r="P57" s="1964" t="s">
        <v>87</v>
      </c>
      <c r="Q57" s="1678">
        <v>40</v>
      </c>
      <c r="R57" s="1677">
        <v>15</v>
      </c>
      <c r="S57" s="991">
        <v>70</v>
      </c>
      <c r="T57" s="619"/>
      <c r="U57" s="991">
        <v>100</v>
      </c>
      <c r="V57" s="147"/>
      <c r="W57" s="1967" t="s">
        <v>500</v>
      </c>
    </row>
    <row r="58" spans="1:23" ht="22.5" customHeight="1" x14ac:dyDescent="0.25">
      <c r="A58" s="65"/>
      <c r="B58" s="127"/>
      <c r="C58" s="1773"/>
      <c r="D58" s="1756"/>
      <c r="E58" s="436" t="s">
        <v>41</v>
      </c>
      <c r="F58" s="1116" t="s">
        <v>389</v>
      </c>
      <c r="G58" s="1139">
        <v>194.3</v>
      </c>
      <c r="H58" s="1114">
        <f>+G58-104.7</f>
        <v>89.6</v>
      </c>
      <c r="I58" s="1115">
        <f t="shared" ref="I58:I70" si="6">+H58-G58</f>
        <v>-104.7</v>
      </c>
      <c r="J58" s="1117"/>
      <c r="K58" s="1114"/>
      <c r="L58" s="1115"/>
      <c r="M58" s="1117"/>
      <c r="N58" s="1117"/>
      <c r="O58" s="1118"/>
      <c r="P58" s="1965"/>
      <c r="Q58" s="193"/>
      <c r="R58" s="1603"/>
      <c r="S58" s="392"/>
      <c r="T58" s="1603"/>
      <c r="U58" s="392"/>
      <c r="V58" s="195"/>
      <c r="W58" s="1978"/>
    </row>
    <row r="59" spans="1:23" ht="15.5" customHeight="1" x14ac:dyDescent="0.25">
      <c r="A59" s="65"/>
      <c r="B59" s="127"/>
      <c r="C59" s="1773"/>
      <c r="D59" s="1756"/>
      <c r="E59" s="1565" t="s">
        <v>418</v>
      </c>
      <c r="F59" s="1116" t="s">
        <v>381</v>
      </c>
      <c r="G59" s="1139">
        <v>21.7</v>
      </c>
      <c r="H59" s="1114">
        <f>+G59+0.4</f>
        <v>22.1</v>
      </c>
      <c r="I59" s="1115">
        <f t="shared" si="6"/>
        <v>0.4</v>
      </c>
      <c r="J59" s="1117"/>
      <c r="K59" s="1114"/>
      <c r="L59" s="1115"/>
      <c r="M59" s="1117"/>
      <c r="N59" s="1117"/>
      <c r="O59" s="1118"/>
      <c r="P59" s="1965"/>
      <c r="Q59" s="193"/>
      <c r="R59" s="1603"/>
      <c r="S59" s="392"/>
      <c r="T59" s="1603"/>
      <c r="U59" s="392"/>
      <c r="V59" s="195"/>
      <c r="W59" s="1978"/>
    </row>
    <row r="60" spans="1:23" ht="15.5" customHeight="1" x14ac:dyDescent="0.25">
      <c r="A60" s="65"/>
      <c r="B60" s="127"/>
      <c r="C60" s="1773"/>
      <c r="D60" s="1756"/>
      <c r="E60" s="1608"/>
      <c r="F60" s="1116" t="s">
        <v>391</v>
      </c>
      <c r="G60" s="1139">
        <v>150</v>
      </c>
      <c r="H60" s="1114">
        <f>+G60</f>
        <v>150</v>
      </c>
      <c r="I60" s="1115">
        <f t="shared" si="6"/>
        <v>0</v>
      </c>
      <c r="J60" s="1117"/>
      <c r="K60" s="1114"/>
      <c r="L60" s="1115"/>
      <c r="M60" s="1117"/>
      <c r="N60" s="1117"/>
      <c r="O60" s="1118"/>
      <c r="P60" s="1965"/>
      <c r="Q60" s="193"/>
      <c r="R60" s="1603"/>
      <c r="S60" s="392"/>
      <c r="T60" s="1603"/>
      <c r="U60" s="392"/>
      <c r="V60" s="195"/>
      <c r="W60" s="1978"/>
    </row>
    <row r="61" spans="1:23" ht="15.5" customHeight="1" x14ac:dyDescent="0.25">
      <c r="A61" s="65"/>
      <c r="B61" s="127"/>
      <c r="C61" s="1773"/>
      <c r="D61" s="1756"/>
      <c r="E61" s="1608"/>
      <c r="F61" s="1116" t="s">
        <v>387</v>
      </c>
      <c r="G61" s="1114">
        <v>125</v>
      </c>
      <c r="H61" s="1114">
        <v>125</v>
      </c>
      <c r="I61" s="1115">
        <f t="shared" si="6"/>
        <v>0</v>
      </c>
      <c r="J61" s="1117"/>
      <c r="K61" s="1114"/>
      <c r="L61" s="1115"/>
      <c r="M61" s="1117"/>
      <c r="N61" s="1117"/>
      <c r="O61" s="1118"/>
      <c r="P61" s="1965"/>
      <c r="Q61" s="193"/>
      <c r="R61" s="1603"/>
      <c r="S61" s="392"/>
      <c r="T61" s="1603"/>
      <c r="U61" s="392"/>
      <c r="V61" s="195"/>
      <c r="W61" s="1978"/>
    </row>
    <row r="62" spans="1:23" ht="59.25" customHeight="1" x14ac:dyDescent="0.25">
      <c r="A62" s="65"/>
      <c r="B62" s="127"/>
      <c r="C62" s="1774"/>
      <c r="D62" s="1715"/>
      <c r="E62" s="1608"/>
      <c r="F62" s="1124" t="s">
        <v>390</v>
      </c>
      <c r="G62" s="1126">
        <f>125-125</f>
        <v>0</v>
      </c>
      <c r="H62" s="1126">
        <f>125-125</f>
        <v>0</v>
      </c>
      <c r="I62" s="1129">
        <f t="shared" si="6"/>
        <v>0</v>
      </c>
      <c r="J62" s="1128">
        <v>250</v>
      </c>
      <c r="K62" s="1126">
        <f>+J62</f>
        <v>250</v>
      </c>
      <c r="L62" s="1129">
        <f>+K62-J62</f>
        <v>0</v>
      </c>
      <c r="M62" s="1128">
        <v>125</v>
      </c>
      <c r="N62" s="1128">
        <f>+M62</f>
        <v>125</v>
      </c>
      <c r="O62" s="1127">
        <f>+N62-M62</f>
        <v>0</v>
      </c>
      <c r="P62" s="1966"/>
      <c r="Q62" s="544"/>
      <c r="R62" s="971"/>
      <c r="S62" s="968"/>
      <c r="T62" s="971"/>
      <c r="U62" s="347"/>
      <c r="V62" s="148"/>
      <c r="W62" s="1974"/>
    </row>
    <row r="63" spans="1:23" ht="15" customHeight="1" x14ac:dyDescent="0.25">
      <c r="A63" s="1789"/>
      <c r="B63" s="1790"/>
      <c r="C63" s="1791" t="s">
        <v>183</v>
      </c>
      <c r="D63" s="1766" t="s">
        <v>49</v>
      </c>
      <c r="E63" s="845" t="s">
        <v>178</v>
      </c>
      <c r="F63" s="1119" t="s">
        <v>381</v>
      </c>
      <c r="G63" s="1135">
        <f>1003.8-697.4-161.5-144.9+21.7</f>
        <v>21.7</v>
      </c>
      <c r="H63" s="1131">
        <f>1003.8-697.4-161.5-144.9+21.7</f>
        <v>21.7</v>
      </c>
      <c r="I63" s="1137">
        <f t="shared" si="6"/>
        <v>0</v>
      </c>
      <c r="J63" s="1131"/>
      <c r="K63" s="1110"/>
      <c r="L63" s="1137"/>
      <c r="M63" s="1131"/>
      <c r="N63" s="1131"/>
      <c r="O63" s="1111"/>
      <c r="P63" s="1957" t="s">
        <v>404</v>
      </c>
      <c r="Q63" s="904">
        <v>100</v>
      </c>
      <c r="R63" s="969"/>
      <c r="S63" s="533"/>
      <c r="T63" s="969"/>
      <c r="U63" s="533"/>
      <c r="V63" s="137"/>
      <c r="W63" s="1954"/>
    </row>
    <row r="64" spans="1:23" ht="15" customHeight="1" x14ac:dyDescent="0.25">
      <c r="A64" s="1789"/>
      <c r="B64" s="1790"/>
      <c r="C64" s="1792"/>
      <c r="D64" s="1767"/>
      <c r="E64" s="859" t="s">
        <v>41</v>
      </c>
      <c r="F64" s="1116" t="s">
        <v>392</v>
      </c>
      <c r="G64" s="1139">
        <v>358</v>
      </c>
      <c r="H64" s="1117">
        <v>358</v>
      </c>
      <c r="I64" s="1115">
        <f t="shared" si="6"/>
        <v>0</v>
      </c>
      <c r="J64" s="1117"/>
      <c r="K64" s="1114"/>
      <c r="L64" s="1115"/>
      <c r="M64" s="1117"/>
      <c r="N64" s="1117"/>
      <c r="O64" s="1118"/>
      <c r="P64" s="1958"/>
      <c r="Q64" s="900"/>
      <c r="R64" s="967"/>
      <c r="S64" s="348"/>
      <c r="T64" s="967"/>
      <c r="U64" s="348"/>
      <c r="V64" s="138"/>
      <c r="W64" s="1955"/>
    </row>
    <row r="65" spans="1:28" ht="17.25" customHeight="1" x14ac:dyDescent="0.25">
      <c r="A65" s="1789"/>
      <c r="B65" s="1790"/>
      <c r="C65" s="1792"/>
      <c r="D65" s="1767"/>
      <c r="E65" s="1565" t="s">
        <v>418</v>
      </c>
      <c r="F65" s="1116" t="s">
        <v>381</v>
      </c>
      <c r="G65" s="1139">
        <f>154.8+697.4-213.1-21.7</f>
        <v>617.4</v>
      </c>
      <c r="H65" s="1117">
        <f>154.8+697.4-213.1-21.7-65</f>
        <v>552.4</v>
      </c>
      <c r="I65" s="1115">
        <f t="shared" si="6"/>
        <v>-65</v>
      </c>
      <c r="J65" s="1117"/>
      <c r="K65" s="1114"/>
      <c r="L65" s="1115"/>
      <c r="M65" s="1117"/>
      <c r="N65" s="1117"/>
      <c r="O65" s="1118"/>
      <c r="P65" s="1958"/>
      <c r="Q65" s="900"/>
      <c r="R65" s="967"/>
      <c r="S65" s="348"/>
      <c r="T65" s="967"/>
      <c r="U65" s="348"/>
      <c r="V65" s="138"/>
      <c r="W65" s="1955"/>
    </row>
    <row r="66" spans="1:28" ht="15.65" customHeight="1" x14ac:dyDescent="0.25">
      <c r="A66" s="1789"/>
      <c r="B66" s="1790"/>
      <c r="C66" s="1792"/>
      <c r="D66" s="1767"/>
      <c r="E66" s="125"/>
      <c r="F66" s="1116" t="s">
        <v>382</v>
      </c>
      <c r="G66" s="1139">
        <v>475.5</v>
      </c>
      <c r="H66" s="1117">
        <v>475.5</v>
      </c>
      <c r="I66" s="1115">
        <f t="shared" si="6"/>
        <v>0</v>
      </c>
      <c r="J66" s="1117"/>
      <c r="K66" s="1114"/>
      <c r="L66" s="1115"/>
      <c r="M66" s="1117"/>
      <c r="N66" s="1117"/>
      <c r="O66" s="1118"/>
      <c r="P66" s="1977"/>
      <c r="Q66" s="900"/>
      <c r="R66" s="967"/>
      <c r="S66" s="348"/>
      <c r="T66" s="967"/>
      <c r="U66" s="348"/>
      <c r="V66" s="138"/>
      <c r="W66" s="1955"/>
    </row>
    <row r="67" spans="1:28" ht="17.25" customHeight="1" x14ac:dyDescent="0.25">
      <c r="A67" s="1789"/>
      <c r="B67" s="1790"/>
      <c r="C67" s="1792"/>
      <c r="D67" s="1767"/>
      <c r="E67" s="125"/>
      <c r="F67" s="1124" t="s">
        <v>386</v>
      </c>
      <c r="G67" s="1126">
        <f>200+78-102</f>
        <v>176</v>
      </c>
      <c r="H67" s="1126">
        <f>200+78-102</f>
        <v>176</v>
      </c>
      <c r="I67" s="1129">
        <f t="shared" si="6"/>
        <v>0</v>
      </c>
      <c r="J67" s="1128"/>
      <c r="K67" s="1126"/>
      <c r="L67" s="1129"/>
      <c r="M67" s="1128"/>
      <c r="N67" s="1128"/>
      <c r="O67" s="1127"/>
      <c r="P67" s="411"/>
      <c r="Q67" s="905"/>
      <c r="R67" s="972"/>
      <c r="S67" s="346"/>
      <c r="T67" s="972"/>
      <c r="U67" s="346"/>
      <c r="V67" s="135"/>
      <c r="W67" s="1956"/>
    </row>
    <row r="68" spans="1:28" ht="14.25" customHeight="1" x14ac:dyDescent="0.25">
      <c r="A68" s="1789"/>
      <c r="B68" s="1790"/>
      <c r="C68" s="1792"/>
      <c r="D68" s="1775" t="s">
        <v>107</v>
      </c>
      <c r="E68" s="92" t="s">
        <v>178</v>
      </c>
      <c r="F68" s="1119" t="s">
        <v>381</v>
      </c>
      <c r="G68" s="1135">
        <f>300-119.8</f>
        <v>180.2</v>
      </c>
      <c r="H68" s="1110">
        <f>+G68</f>
        <v>180.2</v>
      </c>
      <c r="I68" s="1137">
        <f t="shared" si="6"/>
        <v>0</v>
      </c>
      <c r="J68" s="1131">
        <v>300</v>
      </c>
      <c r="K68" s="1110">
        <f>+J68</f>
        <v>300</v>
      </c>
      <c r="L68" s="1137">
        <f>+K68-J68</f>
        <v>0</v>
      </c>
      <c r="M68" s="1131">
        <f>431.4-380.1-51.3</f>
        <v>0</v>
      </c>
      <c r="N68" s="1131"/>
      <c r="O68" s="1111"/>
      <c r="P68" s="1979" t="s">
        <v>276</v>
      </c>
      <c r="Q68" s="904">
        <v>100</v>
      </c>
      <c r="R68" s="561"/>
      <c r="S68" s="539"/>
      <c r="T68" s="561"/>
      <c r="U68" s="539"/>
      <c r="V68" s="139"/>
      <c r="W68" s="139"/>
    </row>
    <row r="69" spans="1:28" ht="14.25" customHeight="1" x14ac:dyDescent="0.25">
      <c r="A69" s="1789"/>
      <c r="B69" s="1790"/>
      <c r="C69" s="1792"/>
      <c r="D69" s="1776"/>
      <c r="E69" s="859" t="s">
        <v>41</v>
      </c>
      <c r="F69" s="1116" t="s">
        <v>389</v>
      </c>
      <c r="G69" s="1114">
        <f>119.8-119.8</f>
        <v>0</v>
      </c>
      <c r="H69" s="1114">
        <f>119.8-119.8</f>
        <v>0</v>
      </c>
      <c r="I69" s="1115">
        <f t="shared" si="6"/>
        <v>0</v>
      </c>
      <c r="J69" s="1117"/>
      <c r="K69" s="1114"/>
      <c r="L69" s="1115"/>
      <c r="M69" s="1117"/>
      <c r="N69" s="1117"/>
      <c r="O69" s="1118"/>
      <c r="P69" s="1980"/>
      <c r="Q69" s="900"/>
      <c r="R69" s="967"/>
      <c r="S69" s="348"/>
      <c r="T69" s="967"/>
      <c r="U69" s="348"/>
      <c r="V69" s="138"/>
      <c r="W69" s="1470"/>
    </row>
    <row r="70" spans="1:28" ht="15.75" customHeight="1" x14ac:dyDescent="0.25">
      <c r="A70" s="1789"/>
      <c r="B70" s="1790"/>
      <c r="C70" s="1792"/>
      <c r="D70" s="1776"/>
      <c r="E70" s="1565" t="s">
        <v>418</v>
      </c>
      <c r="F70" s="1116" t="s">
        <v>386</v>
      </c>
      <c r="G70" s="1114">
        <f>880+192.6</f>
        <v>1072.5999999999999</v>
      </c>
      <c r="H70" s="1114">
        <f>880+192.6</f>
        <v>1072.5999999999999</v>
      </c>
      <c r="I70" s="1115">
        <f t="shared" si="6"/>
        <v>0</v>
      </c>
      <c r="J70" s="1117">
        <v>1000</v>
      </c>
      <c r="K70" s="1114">
        <f>+J70</f>
        <v>1000</v>
      </c>
      <c r="L70" s="1115">
        <f>+K70-J70</f>
        <v>0</v>
      </c>
      <c r="M70" s="1117">
        <f>2100-100-27.7</f>
        <v>1972.3</v>
      </c>
      <c r="N70" s="1117">
        <f>+M70</f>
        <v>1972.3</v>
      </c>
      <c r="O70" s="1118">
        <f>+N70-M70</f>
        <v>0</v>
      </c>
      <c r="P70" s="1992"/>
      <c r="Q70" s="537"/>
      <c r="R70" s="440"/>
      <c r="S70" s="974"/>
      <c r="T70" s="440"/>
      <c r="U70" s="974"/>
      <c r="V70" s="906"/>
      <c r="W70" s="440"/>
    </row>
    <row r="71" spans="1:28" ht="15.75" customHeight="1" x14ac:dyDescent="0.25">
      <c r="A71" s="1789"/>
      <c r="B71" s="1790"/>
      <c r="C71" s="1792"/>
      <c r="D71" s="1549"/>
      <c r="E71" s="439"/>
      <c r="F71" s="1116"/>
      <c r="G71" s="1139"/>
      <c r="H71" s="1114"/>
      <c r="I71" s="1115"/>
      <c r="J71" s="1117"/>
      <c r="K71" s="1114"/>
      <c r="L71" s="1115"/>
      <c r="M71" s="1117"/>
      <c r="N71" s="1117"/>
      <c r="O71" s="1118"/>
      <c r="P71" s="1989" t="s">
        <v>357</v>
      </c>
      <c r="Q71" s="1783">
        <v>50</v>
      </c>
      <c r="R71" s="1786"/>
      <c r="S71" s="1802">
        <v>100</v>
      </c>
      <c r="T71" s="1786"/>
      <c r="U71" s="1991"/>
      <c r="V71" s="2053"/>
      <c r="W71" s="2045"/>
    </row>
    <row r="72" spans="1:28" ht="15.75" customHeight="1" x14ac:dyDescent="0.25">
      <c r="A72" s="1789"/>
      <c r="B72" s="1790"/>
      <c r="C72" s="1792"/>
      <c r="D72" s="1549"/>
      <c r="E72" s="439"/>
      <c r="F72" s="1116"/>
      <c r="G72" s="1139"/>
      <c r="H72" s="1114"/>
      <c r="I72" s="1115"/>
      <c r="J72" s="1117"/>
      <c r="K72" s="1114"/>
      <c r="L72" s="1115"/>
      <c r="M72" s="1117"/>
      <c r="N72" s="1117"/>
      <c r="O72" s="1118"/>
      <c r="P72" s="1980"/>
      <c r="Q72" s="1784"/>
      <c r="R72" s="1787"/>
      <c r="S72" s="1803"/>
      <c r="T72" s="1787"/>
      <c r="U72" s="1803"/>
      <c r="V72" s="2054"/>
      <c r="W72" s="2046"/>
    </row>
    <row r="73" spans="1:28" ht="20.25" customHeight="1" x14ac:dyDescent="0.25">
      <c r="A73" s="1789"/>
      <c r="B73" s="1790"/>
      <c r="C73" s="1793"/>
      <c r="D73" s="1563"/>
      <c r="E73" s="163"/>
      <c r="F73" s="1130"/>
      <c r="G73" s="1157"/>
      <c r="H73" s="1126"/>
      <c r="I73" s="1129"/>
      <c r="J73" s="1128"/>
      <c r="K73" s="1126"/>
      <c r="L73" s="1129"/>
      <c r="M73" s="1128"/>
      <c r="N73" s="1128"/>
      <c r="O73" s="1127"/>
      <c r="P73" s="1981"/>
      <c r="Q73" s="1785"/>
      <c r="R73" s="1788"/>
      <c r="S73" s="1804"/>
      <c r="T73" s="1788"/>
      <c r="U73" s="1804"/>
      <c r="V73" s="2055"/>
      <c r="W73" s="2047"/>
    </row>
    <row r="74" spans="1:28" ht="14.25" customHeight="1" x14ac:dyDescent="0.25">
      <c r="A74" s="1540"/>
      <c r="B74" s="1541"/>
      <c r="C74" s="75"/>
      <c r="D74" s="1756" t="s">
        <v>405</v>
      </c>
      <c r="E74" s="843" t="s">
        <v>178</v>
      </c>
      <c r="F74" s="1116" t="s">
        <v>386</v>
      </c>
      <c r="G74" s="1114">
        <f>38.5-31.8</f>
        <v>6.7</v>
      </c>
      <c r="H74" s="1114">
        <f>38.5-31.8</f>
        <v>6.7</v>
      </c>
      <c r="I74" s="1115">
        <f t="shared" ref="I74:I79" si="7">+H74-G74</f>
        <v>0</v>
      </c>
      <c r="J74" s="1117"/>
      <c r="K74" s="1114"/>
      <c r="L74" s="1115"/>
      <c r="M74" s="1117"/>
      <c r="N74" s="1117"/>
      <c r="O74" s="1118"/>
      <c r="P74" s="1957" t="s">
        <v>87</v>
      </c>
      <c r="Q74" s="527">
        <v>100</v>
      </c>
      <c r="R74" s="589"/>
      <c r="S74" s="349"/>
      <c r="T74" s="589"/>
      <c r="U74" s="349"/>
      <c r="V74" s="141"/>
      <c r="W74" s="1952"/>
    </row>
    <row r="75" spans="1:28" ht="14.25" customHeight="1" x14ac:dyDescent="0.25">
      <c r="A75" s="1540"/>
      <c r="B75" s="1541"/>
      <c r="C75" s="75"/>
      <c r="D75" s="1756"/>
      <c r="E75" s="859" t="s">
        <v>41</v>
      </c>
      <c r="F75" s="1116" t="s">
        <v>381</v>
      </c>
      <c r="G75" s="1114">
        <f>20-20</f>
        <v>0</v>
      </c>
      <c r="H75" s="1114">
        <f>20-20</f>
        <v>0</v>
      </c>
      <c r="I75" s="1115">
        <f t="shared" si="7"/>
        <v>0</v>
      </c>
      <c r="J75" s="1117"/>
      <c r="K75" s="1114"/>
      <c r="L75" s="1115"/>
      <c r="M75" s="1117"/>
      <c r="N75" s="1117"/>
      <c r="O75" s="1118"/>
      <c r="P75" s="1958"/>
      <c r="Q75" s="833"/>
      <c r="R75" s="589"/>
      <c r="S75" s="349"/>
      <c r="T75" s="589"/>
      <c r="U75" s="349"/>
      <c r="V75" s="141"/>
      <c r="W75" s="1984"/>
    </row>
    <row r="76" spans="1:28" ht="14.25" customHeight="1" x14ac:dyDescent="0.25">
      <c r="A76" s="1540"/>
      <c r="B76" s="1541"/>
      <c r="C76" s="75"/>
      <c r="D76" s="1756"/>
      <c r="E76" s="1565" t="s">
        <v>418</v>
      </c>
      <c r="F76" s="1116" t="s">
        <v>387</v>
      </c>
      <c r="G76" s="1114">
        <f>33.7-0.4</f>
        <v>33.299999999999997</v>
      </c>
      <c r="H76" s="1114">
        <f>33.7-0.4</f>
        <v>33.299999999999997</v>
      </c>
      <c r="I76" s="1115">
        <f t="shared" si="7"/>
        <v>0</v>
      </c>
      <c r="J76" s="1117"/>
      <c r="K76" s="1114"/>
      <c r="L76" s="1115"/>
      <c r="M76" s="1117"/>
      <c r="N76" s="1117"/>
      <c r="O76" s="1118"/>
      <c r="P76" s="1581"/>
      <c r="Q76" s="833"/>
      <c r="R76" s="589"/>
      <c r="S76" s="349"/>
      <c r="T76" s="589"/>
      <c r="U76" s="349"/>
      <c r="V76" s="141"/>
      <c r="W76" s="1984"/>
    </row>
    <row r="77" spans="1:28" ht="14.25" customHeight="1" x14ac:dyDescent="0.25">
      <c r="A77" s="1540"/>
      <c r="B77" s="1541"/>
      <c r="C77" s="75"/>
      <c r="D77" s="1756"/>
      <c r="E77" s="1608"/>
      <c r="F77" s="1116" t="s">
        <v>393</v>
      </c>
      <c r="G77" s="1114">
        <f>59.1+0.4</f>
        <v>59.5</v>
      </c>
      <c r="H77" s="1114">
        <f>59.1+0.4</f>
        <v>59.5</v>
      </c>
      <c r="I77" s="1115">
        <f t="shared" si="7"/>
        <v>0</v>
      </c>
      <c r="J77" s="1117"/>
      <c r="K77" s="1114"/>
      <c r="L77" s="1115"/>
      <c r="M77" s="1117"/>
      <c r="N77" s="1117"/>
      <c r="O77" s="1118"/>
      <c r="P77" s="1581"/>
      <c r="Q77" s="833"/>
      <c r="R77" s="589"/>
      <c r="S77" s="349"/>
      <c r="T77" s="589"/>
      <c r="U77" s="349"/>
      <c r="V77" s="141"/>
      <c r="W77" s="1984"/>
    </row>
    <row r="78" spans="1:28" ht="14.25" customHeight="1" x14ac:dyDescent="0.25">
      <c r="A78" s="1540"/>
      <c r="B78" s="1541"/>
      <c r="C78" s="75"/>
      <c r="D78" s="1756"/>
      <c r="E78" s="1608"/>
      <c r="F78" s="1116" t="s">
        <v>388</v>
      </c>
      <c r="G78" s="1157">
        <v>16.2</v>
      </c>
      <c r="H78" s="1114">
        <f>+G78</f>
        <v>16.2</v>
      </c>
      <c r="I78" s="1115">
        <f t="shared" si="7"/>
        <v>0</v>
      </c>
      <c r="J78" s="1117"/>
      <c r="K78" s="1114"/>
      <c r="L78" s="1115"/>
      <c r="M78" s="1117"/>
      <c r="N78" s="1117"/>
      <c r="O78" s="1118"/>
      <c r="P78" s="1581"/>
      <c r="Q78" s="833"/>
      <c r="R78" s="589"/>
      <c r="S78" s="349"/>
      <c r="T78" s="589"/>
      <c r="U78" s="349"/>
      <c r="V78" s="141"/>
      <c r="W78" s="1985"/>
    </row>
    <row r="79" spans="1:28" ht="28.5" customHeight="1" x14ac:dyDescent="0.25">
      <c r="A79" s="1540"/>
      <c r="B79" s="1541"/>
      <c r="C79" s="75"/>
      <c r="D79" s="1714" t="s">
        <v>255</v>
      </c>
      <c r="E79" s="1705" t="s">
        <v>41</v>
      </c>
      <c r="F79" s="123" t="s">
        <v>381</v>
      </c>
      <c r="G79" s="213">
        <f>16.3+13.7</f>
        <v>30</v>
      </c>
      <c r="H79" s="213">
        <f>16.3+13.7</f>
        <v>30</v>
      </c>
      <c r="I79" s="522">
        <f t="shared" si="7"/>
        <v>0</v>
      </c>
      <c r="J79" s="1319">
        <v>50</v>
      </c>
      <c r="K79" s="1309">
        <f>+J79+30</f>
        <v>80</v>
      </c>
      <c r="L79" s="1310">
        <f>+K79-J79</f>
        <v>30</v>
      </c>
      <c r="M79" s="224">
        <v>103.2</v>
      </c>
      <c r="N79" s="224">
        <f>+M79</f>
        <v>103.2</v>
      </c>
      <c r="O79" s="215">
        <f>+N79-M79</f>
        <v>0</v>
      </c>
      <c r="P79" s="417" t="s">
        <v>256</v>
      </c>
      <c r="Q79" s="501"/>
      <c r="R79" s="563"/>
      <c r="S79" s="375">
        <v>1</v>
      </c>
      <c r="T79" s="465"/>
      <c r="U79" s="359"/>
      <c r="V79" s="140"/>
      <c r="W79" s="1952" t="s">
        <v>507</v>
      </c>
      <c r="X79" s="1710"/>
      <c r="Y79" s="1711"/>
      <c r="Z79" s="1711"/>
      <c r="AA79" s="1711"/>
      <c r="AB79" s="1711"/>
    </row>
    <row r="80" spans="1:28" ht="83.5" customHeight="1" x14ac:dyDescent="0.25">
      <c r="A80" s="1540"/>
      <c r="B80" s="1541"/>
      <c r="C80" s="75"/>
      <c r="D80" s="1715"/>
      <c r="E80" s="449"/>
      <c r="F80" s="124"/>
      <c r="G80" s="214"/>
      <c r="H80" s="214"/>
      <c r="I80" s="456"/>
      <c r="J80" s="202"/>
      <c r="K80" s="214"/>
      <c r="L80" s="456"/>
      <c r="M80" s="202"/>
      <c r="N80" s="202"/>
      <c r="O80" s="44"/>
      <c r="P80" s="407" t="s">
        <v>333</v>
      </c>
      <c r="Q80" s="203"/>
      <c r="R80" s="445"/>
      <c r="S80" s="350"/>
      <c r="T80" s="545"/>
      <c r="U80" s="566"/>
      <c r="V80" s="568"/>
      <c r="W80" s="1953"/>
      <c r="X80" s="1710"/>
      <c r="Y80" s="1711"/>
      <c r="Z80" s="1711"/>
      <c r="AA80" s="1711"/>
      <c r="AB80" s="1711"/>
    </row>
    <row r="81" spans="1:28" ht="16.5" customHeight="1" x14ac:dyDescent="0.25">
      <c r="A81" s="1540"/>
      <c r="B81" s="1541"/>
      <c r="C81" s="1542"/>
      <c r="D81" s="1756" t="s">
        <v>156</v>
      </c>
      <c r="E81" s="843" t="s">
        <v>178</v>
      </c>
      <c r="F81" s="1709" t="s">
        <v>381</v>
      </c>
      <c r="G81" s="213">
        <f>150+250</f>
        <v>400</v>
      </c>
      <c r="H81" s="213">
        <f>150+250</f>
        <v>400</v>
      </c>
      <c r="I81" s="1707">
        <f t="shared" ref="I81:I86" si="8">+H81-G81</f>
        <v>0</v>
      </c>
      <c r="J81" s="1305">
        <f t="shared" ref="J81:M81" si="9">250-50</f>
        <v>200</v>
      </c>
      <c r="K81" s="1303">
        <f>+J81+190</f>
        <v>390</v>
      </c>
      <c r="L81" s="1304">
        <f>+K81-J81</f>
        <v>190</v>
      </c>
      <c r="M81" s="224">
        <f t="shared" si="9"/>
        <v>200</v>
      </c>
      <c r="N81" s="1706">
        <f>+M81</f>
        <v>200</v>
      </c>
      <c r="O81" s="1708">
        <f>+N81-M81</f>
        <v>0</v>
      </c>
      <c r="P81" s="400" t="s">
        <v>63</v>
      </c>
      <c r="Q81" s="553"/>
      <c r="R81" s="975"/>
      <c r="S81" s="541"/>
      <c r="T81" s="975"/>
      <c r="U81" s="541"/>
      <c r="V81" s="443"/>
      <c r="W81" s="1952" t="s">
        <v>508</v>
      </c>
      <c r="X81" s="1710"/>
      <c r="Y81" s="1711"/>
      <c r="Z81" s="1711"/>
      <c r="AA81" s="1711"/>
      <c r="AB81" s="1711"/>
    </row>
    <row r="82" spans="1:28" ht="173.15" customHeight="1" x14ac:dyDescent="0.25">
      <c r="A82" s="1540"/>
      <c r="B82" s="1541"/>
      <c r="C82" s="1542"/>
      <c r="D82" s="1756"/>
      <c r="E82" s="859" t="s">
        <v>41</v>
      </c>
      <c r="F82" s="96" t="s">
        <v>386</v>
      </c>
      <c r="G82" s="214">
        <f>200-53.5+102+31.8</f>
        <v>280.3</v>
      </c>
      <c r="H82" s="214">
        <f>200-53.5+102+31.8</f>
        <v>280.3</v>
      </c>
      <c r="I82" s="456">
        <f t="shared" si="8"/>
        <v>0</v>
      </c>
      <c r="J82" s="1315">
        <v>200</v>
      </c>
      <c r="K82" s="1322">
        <f>+J82+76.6</f>
        <v>276.60000000000002</v>
      </c>
      <c r="L82" s="1323">
        <f>+K82-J82</f>
        <v>76.599999999999994</v>
      </c>
      <c r="M82" s="202">
        <v>200</v>
      </c>
      <c r="N82" s="43">
        <f>+M82</f>
        <v>200</v>
      </c>
      <c r="O82" s="456">
        <f>+N82-M82</f>
        <v>0</v>
      </c>
      <c r="P82" s="418" t="s">
        <v>175</v>
      </c>
      <c r="Q82" s="1313">
        <v>45</v>
      </c>
      <c r="R82" s="1314">
        <v>35</v>
      </c>
      <c r="S82" s="1712">
        <v>85</v>
      </c>
      <c r="T82" s="1639">
        <v>90</v>
      </c>
      <c r="U82" s="349">
        <v>100</v>
      </c>
      <c r="V82" s="141"/>
      <c r="W82" s="1962"/>
      <c r="X82" s="1710"/>
      <c r="Y82" s="1711"/>
      <c r="Z82" s="1711"/>
      <c r="AA82" s="1711"/>
      <c r="AB82" s="1711"/>
    </row>
    <row r="83" spans="1:28" ht="26.75" customHeight="1" x14ac:dyDescent="0.25">
      <c r="A83" s="1550"/>
      <c r="B83" s="1551"/>
      <c r="C83" s="72"/>
      <c r="D83" s="1764" t="s">
        <v>226</v>
      </c>
      <c r="E83" s="109"/>
      <c r="F83" s="1119" t="s">
        <v>381</v>
      </c>
      <c r="G83" s="1109">
        <f>381.6-100</f>
        <v>281.60000000000002</v>
      </c>
      <c r="H83" s="1110">
        <f>+G83</f>
        <v>281.60000000000002</v>
      </c>
      <c r="I83" s="1137">
        <f t="shared" si="8"/>
        <v>0</v>
      </c>
      <c r="J83" s="1131">
        <v>250</v>
      </c>
      <c r="K83" s="1110">
        <f>+J83</f>
        <v>250</v>
      </c>
      <c r="L83" s="1137">
        <f>+K83-J83</f>
        <v>0</v>
      </c>
      <c r="M83" s="1131">
        <v>300.10000000000002</v>
      </c>
      <c r="N83" s="1110">
        <f>+M83</f>
        <v>300.10000000000002</v>
      </c>
      <c r="O83" s="1111">
        <f>+N83-M83</f>
        <v>0</v>
      </c>
      <c r="P83" s="409" t="s">
        <v>177</v>
      </c>
      <c r="Q83" s="501">
        <v>100</v>
      </c>
      <c r="R83" s="465"/>
      <c r="S83" s="375"/>
      <c r="T83" s="465"/>
      <c r="U83" s="375"/>
      <c r="V83" s="143"/>
      <c r="W83" s="1952" t="s">
        <v>495</v>
      </c>
    </row>
    <row r="84" spans="1:28" ht="27" customHeight="1" x14ac:dyDescent="0.25">
      <c r="A84" s="1550"/>
      <c r="B84" s="1551"/>
      <c r="C84" s="72"/>
      <c r="D84" s="1807"/>
      <c r="E84" s="783"/>
      <c r="F84" s="1095" t="s">
        <v>388</v>
      </c>
      <c r="G84" s="1306">
        <v>159.9</v>
      </c>
      <c r="H84" s="1303">
        <f>+G84-62</f>
        <v>97.9</v>
      </c>
      <c r="I84" s="1304">
        <f t="shared" si="8"/>
        <v>-62</v>
      </c>
      <c r="J84" s="1305">
        <v>24</v>
      </c>
      <c r="K84" s="1303">
        <f>+J84+62</f>
        <v>86</v>
      </c>
      <c r="L84" s="1304">
        <f>+K84-J84</f>
        <v>62</v>
      </c>
      <c r="M84" s="1559"/>
      <c r="N84" s="1553"/>
      <c r="O84" s="1596"/>
      <c r="P84" s="424" t="s">
        <v>176</v>
      </c>
      <c r="Q84" s="837">
        <v>100</v>
      </c>
      <c r="R84" s="476"/>
      <c r="S84" s="391"/>
      <c r="T84" s="476"/>
      <c r="U84" s="391"/>
      <c r="V84" s="198"/>
      <c r="W84" s="1976"/>
    </row>
    <row r="85" spans="1:28" ht="15.65" customHeight="1" x14ac:dyDescent="0.25">
      <c r="A85" s="1550"/>
      <c r="B85" s="1541"/>
      <c r="C85" s="72"/>
      <c r="D85" s="1552"/>
      <c r="E85" s="783"/>
      <c r="F85" s="1112" t="s">
        <v>386</v>
      </c>
      <c r="G85" s="1113">
        <v>100</v>
      </c>
      <c r="H85" s="1114">
        <f>+G85</f>
        <v>100</v>
      </c>
      <c r="I85" s="1115">
        <f t="shared" si="8"/>
        <v>0</v>
      </c>
      <c r="J85" s="1559"/>
      <c r="K85" s="1553"/>
      <c r="L85" s="1554"/>
      <c r="M85" s="1559"/>
      <c r="N85" s="1553"/>
      <c r="O85" s="1596"/>
      <c r="P85" s="424" t="s">
        <v>319</v>
      </c>
      <c r="Q85" s="837">
        <v>100</v>
      </c>
      <c r="R85" s="476"/>
      <c r="S85" s="391"/>
      <c r="T85" s="476"/>
      <c r="U85" s="391"/>
      <c r="V85" s="198"/>
      <c r="W85" s="1976"/>
    </row>
    <row r="86" spans="1:28" ht="15.65" customHeight="1" x14ac:dyDescent="0.25">
      <c r="A86" s="1550"/>
      <c r="B86" s="1541"/>
      <c r="C86" s="72"/>
      <c r="D86" s="1552"/>
      <c r="E86" s="783"/>
      <c r="F86" s="1116" t="s">
        <v>382</v>
      </c>
      <c r="G86" s="1113">
        <v>42.3</v>
      </c>
      <c r="H86" s="1114">
        <f>+G86</f>
        <v>42.3</v>
      </c>
      <c r="I86" s="1115">
        <f t="shared" si="8"/>
        <v>0</v>
      </c>
      <c r="J86" s="1559"/>
      <c r="K86" s="1553"/>
      <c r="L86" s="1554"/>
      <c r="M86" s="1559"/>
      <c r="N86" s="1553"/>
      <c r="O86" s="1596"/>
      <c r="P86" s="424" t="s">
        <v>320</v>
      </c>
      <c r="Q86" s="837">
        <v>100</v>
      </c>
      <c r="R86" s="476"/>
      <c r="S86" s="391"/>
      <c r="T86" s="476"/>
      <c r="U86" s="391"/>
      <c r="V86" s="198"/>
      <c r="W86" s="1976"/>
    </row>
    <row r="87" spans="1:28" ht="15.65" customHeight="1" x14ac:dyDescent="0.25">
      <c r="A87" s="1550"/>
      <c r="B87" s="1541"/>
      <c r="C87" s="72"/>
      <c r="D87" s="1552"/>
      <c r="E87" s="849"/>
      <c r="F87" s="549"/>
      <c r="G87" s="1622"/>
      <c r="H87" s="550"/>
      <c r="I87" s="791"/>
      <c r="J87" s="202"/>
      <c r="K87" s="214"/>
      <c r="L87" s="456"/>
      <c r="M87" s="202"/>
      <c r="N87" s="214"/>
      <c r="O87" s="44"/>
      <c r="P87" s="407" t="s">
        <v>321</v>
      </c>
      <c r="Q87" s="1638">
        <v>65</v>
      </c>
      <c r="R87" s="1639">
        <v>30</v>
      </c>
      <c r="S87" s="566">
        <v>100</v>
      </c>
      <c r="T87" s="445"/>
      <c r="U87" s="566"/>
      <c r="V87" s="568"/>
      <c r="W87" s="1953"/>
    </row>
    <row r="88" spans="1:28" ht="16.5" customHeight="1" x14ac:dyDescent="0.25">
      <c r="A88" s="1540"/>
      <c r="B88" s="1541"/>
      <c r="C88" s="1542"/>
      <c r="D88" s="1714" t="s">
        <v>114</v>
      </c>
      <c r="E88" s="859" t="s">
        <v>41</v>
      </c>
      <c r="F88" s="1119" t="s">
        <v>381</v>
      </c>
      <c r="G88" s="1335"/>
      <c r="H88" s="1110"/>
      <c r="I88" s="1137"/>
      <c r="J88" s="1117"/>
      <c r="K88" s="1114"/>
      <c r="L88" s="1115"/>
      <c r="M88" s="1117"/>
      <c r="N88" s="1114"/>
      <c r="O88" s="1118"/>
      <c r="P88" s="1599" t="s">
        <v>40</v>
      </c>
      <c r="Q88" s="900"/>
      <c r="R88" s="967"/>
      <c r="S88" s="533"/>
      <c r="T88" s="969"/>
      <c r="U88" s="533"/>
      <c r="V88" s="137"/>
      <c r="W88" s="137"/>
    </row>
    <row r="89" spans="1:28" ht="27" customHeight="1" x14ac:dyDescent="0.25">
      <c r="A89" s="1540"/>
      <c r="B89" s="1541"/>
      <c r="C89" s="1542"/>
      <c r="D89" s="1810"/>
      <c r="E89" s="167"/>
      <c r="F89" s="1132" t="s">
        <v>386</v>
      </c>
      <c r="G89" s="1125"/>
      <c r="H89" s="1126"/>
      <c r="I89" s="1129"/>
      <c r="J89" s="1128"/>
      <c r="K89" s="1126"/>
      <c r="L89" s="1129"/>
      <c r="M89" s="1128">
        <f>1900-1400-450</f>
        <v>50</v>
      </c>
      <c r="N89" s="1126">
        <f>+M89</f>
        <v>50</v>
      </c>
      <c r="O89" s="1127">
        <f>+N89-M89</f>
        <v>0</v>
      </c>
      <c r="P89" s="591" t="s">
        <v>257</v>
      </c>
      <c r="Q89" s="907"/>
      <c r="R89" s="462"/>
      <c r="S89" s="976"/>
      <c r="T89" s="462"/>
      <c r="U89" s="976">
        <v>1</v>
      </c>
      <c r="V89" s="909"/>
      <c r="W89" s="462"/>
    </row>
    <row r="90" spans="1:28" ht="27.75" customHeight="1" x14ac:dyDescent="0.25">
      <c r="A90" s="1540"/>
      <c r="B90" s="1541"/>
      <c r="C90" s="1542"/>
      <c r="D90" s="1714" t="s">
        <v>120</v>
      </c>
      <c r="E90" s="859" t="s">
        <v>41</v>
      </c>
      <c r="F90" s="1136" t="s">
        <v>381</v>
      </c>
      <c r="G90" s="1109">
        <v>13.3</v>
      </c>
      <c r="H90" s="1110">
        <f>+G90</f>
        <v>13.3</v>
      </c>
      <c r="I90" s="1137">
        <f>+H90-G90</f>
        <v>0</v>
      </c>
      <c r="J90" s="1131">
        <v>3.2</v>
      </c>
      <c r="K90" s="1110">
        <f>+J90</f>
        <v>3.2</v>
      </c>
      <c r="L90" s="1137">
        <f>+K90-J90</f>
        <v>0</v>
      </c>
      <c r="M90" s="1131">
        <v>3.2</v>
      </c>
      <c r="N90" s="1110">
        <f>+M90</f>
        <v>3.2</v>
      </c>
      <c r="O90" s="1111">
        <f>+N90-M90</f>
        <v>0</v>
      </c>
      <c r="P90" s="1582" t="s">
        <v>40</v>
      </c>
      <c r="Q90" s="526">
        <v>1</v>
      </c>
      <c r="R90" s="836"/>
      <c r="S90" s="394"/>
      <c r="T90" s="836"/>
      <c r="U90" s="394"/>
      <c r="V90" s="290"/>
      <c r="W90" s="290"/>
    </row>
    <row r="91" spans="1:28" ht="27.75" customHeight="1" x14ac:dyDescent="0.25">
      <c r="A91" s="1550"/>
      <c r="B91" s="1541"/>
      <c r="C91" s="75"/>
      <c r="D91" s="1756"/>
      <c r="E91" s="1576"/>
      <c r="F91" s="1138" t="s">
        <v>390</v>
      </c>
      <c r="G91" s="1138"/>
      <c r="H91" s="1114"/>
      <c r="I91" s="1115"/>
      <c r="J91" s="1117">
        <v>45.2</v>
      </c>
      <c r="K91" s="1114">
        <f>+J91</f>
        <v>45.2</v>
      </c>
      <c r="L91" s="1115">
        <f>+K91-J91</f>
        <v>0</v>
      </c>
      <c r="M91" s="1117">
        <v>45.1</v>
      </c>
      <c r="N91" s="1114">
        <f>+M91</f>
        <v>45.1</v>
      </c>
      <c r="O91" s="1118">
        <f>+N91-M91</f>
        <v>0</v>
      </c>
      <c r="P91" s="2002" t="s">
        <v>259</v>
      </c>
      <c r="Q91" s="493"/>
      <c r="R91" s="532"/>
      <c r="S91" s="349">
        <v>50</v>
      </c>
      <c r="T91" s="589"/>
      <c r="U91" s="349">
        <v>100</v>
      </c>
      <c r="V91" s="141"/>
      <c r="W91" s="141"/>
    </row>
    <row r="92" spans="1:28" ht="39.75" customHeight="1" x14ac:dyDescent="0.25">
      <c r="A92" s="1550"/>
      <c r="B92" s="1541"/>
      <c r="C92" s="75"/>
      <c r="D92" s="1715"/>
      <c r="E92" s="449"/>
      <c r="F92" s="1130" t="s">
        <v>384</v>
      </c>
      <c r="G92" s="1336"/>
      <c r="H92" s="1126"/>
      <c r="I92" s="1129"/>
      <c r="J92" s="1128">
        <v>15.1</v>
      </c>
      <c r="K92" s="1126">
        <f>+J92</f>
        <v>15.1</v>
      </c>
      <c r="L92" s="1129">
        <f>+K92-J92</f>
        <v>0</v>
      </c>
      <c r="M92" s="1128">
        <v>15</v>
      </c>
      <c r="N92" s="1126">
        <f>+M92</f>
        <v>15</v>
      </c>
      <c r="O92" s="1127">
        <f>+N92-M92</f>
        <v>0</v>
      </c>
      <c r="P92" s="1974"/>
      <c r="Q92" s="681"/>
      <c r="R92" s="545"/>
      <c r="S92" s="947"/>
      <c r="T92" s="791"/>
      <c r="U92" s="947"/>
      <c r="V92" s="910"/>
      <c r="W92" s="791"/>
    </row>
    <row r="93" spans="1:28" ht="17.25" customHeight="1" x14ac:dyDescent="0.25">
      <c r="A93" s="1540"/>
      <c r="B93" s="1551"/>
      <c r="C93" s="72"/>
      <c r="D93" s="1805" t="s">
        <v>110</v>
      </c>
      <c r="E93" s="1811" t="s">
        <v>118</v>
      </c>
      <c r="F93" s="1119" t="s">
        <v>388</v>
      </c>
      <c r="G93" s="1113">
        <v>4.9000000000000004</v>
      </c>
      <c r="H93" s="1114">
        <f>+G93</f>
        <v>4.9000000000000004</v>
      </c>
      <c r="I93" s="1115">
        <f>+H93-G93</f>
        <v>0</v>
      </c>
      <c r="J93" s="1117"/>
      <c r="K93" s="1114"/>
      <c r="L93" s="1115"/>
      <c r="M93" s="1117"/>
      <c r="N93" s="1114"/>
      <c r="O93" s="1118"/>
      <c r="P93" s="1583" t="s">
        <v>40</v>
      </c>
      <c r="Q93" s="833">
        <v>1</v>
      </c>
      <c r="R93" s="589"/>
      <c r="S93" s="359"/>
      <c r="T93" s="563"/>
      <c r="U93" s="349"/>
      <c r="V93" s="141"/>
      <c r="W93" s="589"/>
    </row>
    <row r="94" spans="1:28" ht="18" customHeight="1" x14ac:dyDescent="0.25">
      <c r="A94" s="1540"/>
      <c r="B94" s="1551"/>
      <c r="C94" s="71"/>
      <c r="D94" s="1806"/>
      <c r="E94" s="1812"/>
      <c r="F94" s="1124"/>
      <c r="G94" s="1140"/>
      <c r="H94" s="1141"/>
      <c r="I94" s="1337"/>
      <c r="J94" s="1338"/>
      <c r="K94" s="1141"/>
      <c r="L94" s="1337"/>
      <c r="M94" s="1338"/>
      <c r="N94" s="1141"/>
      <c r="O94" s="1142"/>
      <c r="P94" s="407"/>
      <c r="Q94" s="681"/>
      <c r="R94" s="545"/>
      <c r="S94" s="350"/>
      <c r="T94" s="545"/>
      <c r="U94" s="350"/>
      <c r="V94" s="142"/>
      <c r="W94" s="142"/>
    </row>
    <row r="95" spans="1:28" ht="16.5" customHeight="1" x14ac:dyDescent="0.25">
      <c r="A95" s="1540"/>
      <c r="B95" s="1541"/>
      <c r="C95" s="71"/>
      <c r="D95" s="1795" t="s">
        <v>460</v>
      </c>
      <c r="E95" s="1811"/>
      <c r="F95" s="1119" t="s">
        <v>382</v>
      </c>
      <c r="G95" s="1110">
        <v>5</v>
      </c>
      <c r="H95" s="1110">
        <v>5</v>
      </c>
      <c r="I95" s="1115">
        <f>+H95-G95</f>
        <v>0</v>
      </c>
      <c r="J95" s="1114">
        <v>355</v>
      </c>
      <c r="K95" s="1114">
        <v>355</v>
      </c>
      <c r="L95" s="1137">
        <f>+K95-J95</f>
        <v>0</v>
      </c>
      <c r="M95" s="1680"/>
      <c r="N95" s="1681"/>
      <c r="O95" s="1682"/>
      <c r="P95" s="1599" t="s">
        <v>40</v>
      </c>
      <c r="Q95" s="833">
        <v>1</v>
      </c>
      <c r="R95" s="589"/>
      <c r="S95" s="349"/>
      <c r="T95" s="465"/>
      <c r="U95" s="501"/>
      <c r="V95" s="465"/>
      <c r="W95" s="1952"/>
    </row>
    <row r="96" spans="1:28" ht="16.5" customHeight="1" x14ac:dyDescent="0.25">
      <c r="A96" s="1540"/>
      <c r="B96" s="1541"/>
      <c r="C96" s="71"/>
      <c r="D96" s="1796"/>
      <c r="E96" s="1812"/>
      <c r="F96" s="1124"/>
      <c r="G96" s="1683"/>
      <c r="H96" s="1141"/>
      <c r="I96" s="1337"/>
      <c r="J96" s="1683"/>
      <c r="K96" s="1141"/>
      <c r="L96" s="1337"/>
      <c r="M96" s="1683"/>
      <c r="N96" s="1141"/>
      <c r="O96" s="1337"/>
      <c r="P96" s="410" t="s">
        <v>459</v>
      </c>
      <c r="Q96" s="444"/>
      <c r="R96" s="445"/>
      <c r="S96" s="444">
        <v>100</v>
      </c>
      <c r="T96" s="589"/>
      <c r="U96" s="681"/>
      <c r="V96" s="545"/>
      <c r="W96" s="1953"/>
    </row>
    <row r="97" spans="1:23" ht="55.5" customHeight="1" x14ac:dyDescent="0.25">
      <c r="A97" s="1540"/>
      <c r="B97" s="1541"/>
      <c r="C97" s="71"/>
      <c r="D97" s="1563" t="s">
        <v>260</v>
      </c>
      <c r="E97" s="86"/>
      <c r="F97" s="1143" t="s">
        <v>381</v>
      </c>
      <c r="G97" s="1125"/>
      <c r="H97" s="1126"/>
      <c r="I97" s="1129"/>
      <c r="J97" s="1128">
        <v>125</v>
      </c>
      <c r="K97" s="1126">
        <f>+J97</f>
        <v>125</v>
      </c>
      <c r="L97" s="1129">
        <f>+K97-J97</f>
        <v>0</v>
      </c>
      <c r="M97" s="1338"/>
      <c r="N97" s="1141"/>
      <c r="O97" s="1142"/>
      <c r="P97" s="407" t="s">
        <v>261</v>
      </c>
      <c r="Q97" s="833"/>
      <c r="R97" s="589"/>
      <c r="S97" s="764">
        <v>100</v>
      </c>
      <c r="T97" s="765"/>
      <c r="U97" s="349"/>
      <c r="V97" s="141"/>
      <c r="W97" s="141"/>
    </row>
    <row r="98" spans="1:23" ht="16.5" customHeight="1" x14ac:dyDescent="0.25">
      <c r="A98" s="1540"/>
      <c r="B98" s="1541"/>
      <c r="C98" s="71"/>
      <c r="D98" s="1776" t="s">
        <v>154</v>
      </c>
      <c r="E98" s="783"/>
      <c r="F98" s="1116" t="s">
        <v>381</v>
      </c>
      <c r="G98" s="1113">
        <v>28</v>
      </c>
      <c r="H98" s="1114">
        <f>+G98-0.9</f>
        <v>27.1</v>
      </c>
      <c r="I98" s="1115">
        <f>+H98-G98</f>
        <v>-0.9</v>
      </c>
      <c r="J98" s="1117">
        <v>28</v>
      </c>
      <c r="K98" s="1114">
        <f>+J98</f>
        <v>28</v>
      </c>
      <c r="L98" s="1115">
        <f>+K98-J98</f>
        <v>0</v>
      </c>
      <c r="M98" s="1117">
        <v>28</v>
      </c>
      <c r="N98" s="1114">
        <f>+M98</f>
        <v>28</v>
      </c>
      <c r="O98" s="1118">
        <f>+N98-M98</f>
        <v>0</v>
      </c>
      <c r="P98" s="1958" t="s">
        <v>83</v>
      </c>
      <c r="Q98" s="527">
        <v>100</v>
      </c>
      <c r="R98" s="563"/>
      <c r="S98" s="359">
        <v>100</v>
      </c>
      <c r="T98" s="563"/>
      <c r="U98" s="359">
        <v>100</v>
      </c>
      <c r="V98" s="140"/>
      <c r="W98" s="1631"/>
    </row>
    <row r="99" spans="1:23" ht="16.5" customHeight="1" x14ac:dyDescent="0.25">
      <c r="A99" s="1540"/>
      <c r="B99" s="1541"/>
      <c r="C99" s="71"/>
      <c r="D99" s="1807"/>
      <c r="E99" s="783"/>
      <c r="F99" s="1116"/>
      <c r="G99" s="1113"/>
      <c r="H99" s="1114"/>
      <c r="I99" s="1115"/>
      <c r="J99" s="1117"/>
      <c r="K99" s="1114"/>
      <c r="L99" s="1115"/>
      <c r="M99" s="1117"/>
      <c r="N99" s="1114"/>
      <c r="O99" s="1118"/>
      <c r="P99" s="1958"/>
      <c r="Q99" s="833"/>
      <c r="R99" s="589"/>
      <c r="S99" s="349"/>
      <c r="T99" s="589"/>
      <c r="U99" s="349"/>
      <c r="V99" s="141"/>
      <c r="W99" s="141"/>
    </row>
    <row r="100" spans="1:23" s="6" customFormat="1" ht="21" customHeight="1" x14ac:dyDescent="0.25">
      <c r="A100" s="1540"/>
      <c r="B100" s="1541"/>
      <c r="C100" s="1542"/>
      <c r="D100" s="1808"/>
      <c r="E100" s="784"/>
      <c r="F100" s="789"/>
      <c r="G100" s="233"/>
      <c r="H100" s="241"/>
      <c r="I100" s="953"/>
      <c r="J100" s="952"/>
      <c r="K100" s="241"/>
      <c r="L100" s="953"/>
      <c r="M100" s="952"/>
      <c r="N100" s="241"/>
      <c r="O100" s="222"/>
      <c r="P100" s="1990"/>
      <c r="Q100" s="908"/>
      <c r="R100" s="977"/>
      <c r="S100" s="393"/>
      <c r="T100" s="977"/>
      <c r="U100" s="393"/>
      <c r="V100" s="145"/>
      <c r="W100" s="145"/>
    </row>
    <row r="101" spans="1:23" ht="15.75" customHeight="1" x14ac:dyDescent="0.25">
      <c r="A101" s="1540"/>
      <c r="B101" s="1551"/>
      <c r="C101" s="72"/>
      <c r="D101" s="169" t="s">
        <v>201</v>
      </c>
      <c r="E101" s="877" t="s">
        <v>418</v>
      </c>
      <c r="F101" s="111"/>
      <c r="G101" s="234"/>
      <c r="H101" s="242"/>
      <c r="I101" s="954"/>
      <c r="J101" s="357"/>
      <c r="K101" s="242"/>
      <c r="L101" s="954"/>
      <c r="M101" s="357"/>
      <c r="N101" s="242"/>
      <c r="O101" s="146"/>
      <c r="P101" s="405"/>
      <c r="Q101" s="354"/>
      <c r="R101" s="954"/>
      <c r="S101" s="357"/>
      <c r="T101" s="954"/>
      <c r="U101" s="357"/>
      <c r="V101" s="146"/>
      <c r="W101" s="146"/>
    </row>
    <row r="102" spans="1:23" ht="15.65" customHeight="1" x14ac:dyDescent="0.25">
      <c r="A102" s="1540"/>
      <c r="B102" s="1551"/>
      <c r="C102" s="72"/>
      <c r="D102" s="492" t="s">
        <v>295</v>
      </c>
      <c r="E102" s="879"/>
      <c r="F102" s="20"/>
      <c r="G102" s="32"/>
      <c r="H102" s="1553"/>
      <c r="I102" s="1554"/>
      <c r="J102" s="504"/>
      <c r="K102" s="237"/>
      <c r="L102" s="524"/>
      <c r="M102" s="1559"/>
      <c r="N102" s="1553"/>
      <c r="O102" s="1596"/>
      <c r="P102" s="1584"/>
      <c r="Q102" s="490"/>
      <c r="R102" s="433"/>
      <c r="S102" s="505"/>
      <c r="T102" s="433"/>
      <c r="U102" s="504"/>
      <c r="V102" s="217"/>
      <c r="W102" s="433"/>
    </row>
    <row r="103" spans="1:23" ht="26.25" customHeight="1" x14ac:dyDescent="0.25">
      <c r="A103" s="1540"/>
      <c r="B103" s="1551"/>
      <c r="C103" s="72"/>
      <c r="D103" s="99" t="s">
        <v>300</v>
      </c>
      <c r="E103" s="783"/>
      <c r="F103" s="1155" t="s">
        <v>381</v>
      </c>
      <c r="G103" s="1149">
        <f>20+291.2</f>
        <v>311.2</v>
      </c>
      <c r="H103" s="1149">
        <f>20+291.2</f>
        <v>311.2</v>
      </c>
      <c r="I103" s="1150">
        <f>+H103-G103</f>
        <v>0</v>
      </c>
      <c r="J103" s="1175">
        <v>20</v>
      </c>
      <c r="K103" s="1149">
        <f>+J103</f>
        <v>20</v>
      </c>
      <c r="L103" s="1150">
        <f>+K103-J103</f>
        <v>0</v>
      </c>
      <c r="M103" s="1175">
        <v>20</v>
      </c>
      <c r="N103" s="1149">
        <f>+M103</f>
        <v>20</v>
      </c>
      <c r="O103" s="1176">
        <f>+N103-M103</f>
        <v>0</v>
      </c>
      <c r="P103" s="1584" t="s">
        <v>55</v>
      </c>
      <c r="Q103" s="490">
        <v>4.3</v>
      </c>
      <c r="R103" s="433"/>
      <c r="S103" s="505">
        <v>2.6</v>
      </c>
      <c r="T103" s="433"/>
      <c r="U103" s="505">
        <v>2.6</v>
      </c>
      <c r="V103" s="217"/>
      <c r="W103" s="1969"/>
    </row>
    <row r="104" spans="1:23" ht="27" customHeight="1" x14ac:dyDescent="0.25">
      <c r="A104" s="1540"/>
      <c r="B104" s="1551"/>
      <c r="C104" s="75"/>
      <c r="D104" s="51" t="s">
        <v>296</v>
      </c>
      <c r="E104" s="783"/>
      <c r="F104" s="1116" t="s">
        <v>386</v>
      </c>
      <c r="G104" s="1114">
        <f>590+100</f>
        <v>690</v>
      </c>
      <c r="H104" s="1114">
        <f>590+100+46</f>
        <v>736</v>
      </c>
      <c r="I104" s="1115">
        <f>+H104-G104</f>
        <v>46</v>
      </c>
      <c r="J104" s="1117">
        <v>590</v>
      </c>
      <c r="K104" s="1114">
        <f>+J104</f>
        <v>590</v>
      </c>
      <c r="L104" s="1115">
        <f>+K104-J104</f>
        <v>0</v>
      </c>
      <c r="M104" s="1117">
        <v>590</v>
      </c>
      <c r="N104" s="1114">
        <f>+M104</f>
        <v>590</v>
      </c>
      <c r="O104" s="1118">
        <f>+N104-M104</f>
        <v>0</v>
      </c>
      <c r="P104" s="2005"/>
      <c r="Q104" s="1589"/>
      <c r="R104" s="1554"/>
      <c r="S104" s="1559"/>
      <c r="T104" s="1554"/>
      <c r="U104" s="1559"/>
      <c r="V104" s="1596"/>
      <c r="W104" s="1970"/>
    </row>
    <row r="105" spans="1:23" ht="15.65" customHeight="1" x14ac:dyDescent="0.25">
      <c r="A105" s="1540"/>
      <c r="B105" s="1551"/>
      <c r="C105" s="75"/>
      <c r="D105" s="494" t="s">
        <v>304</v>
      </c>
      <c r="E105" s="783"/>
      <c r="F105" s="1819"/>
      <c r="G105" s="1813"/>
      <c r="H105" s="1813"/>
      <c r="I105" s="1814"/>
      <c r="J105" s="1825"/>
      <c r="K105" s="1813"/>
      <c r="L105" s="1814"/>
      <c r="M105" s="1825"/>
      <c r="N105" s="1813"/>
      <c r="O105" s="2003"/>
      <c r="P105" s="2005"/>
      <c r="Q105" s="1982"/>
      <c r="R105" s="1814"/>
      <c r="S105" s="1825"/>
      <c r="T105" s="1814"/>
      <c r="U105" s="1825"/>
      <c r="V105" s="2003"/>
      <c r="W105" s="1970"/>
    </row>
    <row r="106" spans="1:23" ht="15.65" customHeight="1" x14ac:dyDescent="0.25">
      <c r="A106" s="1540"/>
      <c r="B106" s="1551"/>
      <c r="C106" s="75"/>
      <c r="D106" s="99" t="s">
        <v>374</v>
      </c>
      <c r="E106" s="783"/>
      <c r="F106" s="1819"/>
      <c r="G106" s="1813"/>
      <c r="H106" s="1813"/>
      <c r="I106" s="1814"/>
      <c r="J106" s="1825"/>
      <c r="K106" s="1813"/>
      <c r="L106" s="1814"/>
      <c r="M106" s="1825"/>
      <c r="N106" s="1813"/>
      <c r="O106" s="2003"/>
      <c r="P106" s="2005"/>
      <c r="Q106" s="1982"/>
      <c r="R106" s="1814"/>
      <c r="S106" s="1825"/>
      <c r="T106" s="1814"/>
      <c r="U106" s="1825"/>
      <c r="V106" s="2003"/>
      <c r="W106" s="1472"/>
    </row>
    <row r="107" spans="1:23" ht="15.65" customHeight="1" x14ac:dyDescent="0.25">
      <c r="A107" s="1540"/>
      <c r="B107" s="1551"/>
      <c r="C107" s="75"/>
      <c r="D107" s="1479" t="s">
        <v>375</v>
      </c>
      <c r="E107" s="783"/>
      <c r="F107" s="1819"/>
      <c r="G107" s="1813"/>
      <c r="H107" s="1813"/>
      <c r="I107" s="1814"/>
      <c r="J107" s="1825"/>
      <c r="K107" s="1813"/>
      <c r="L107" s="1814"/>
      <c r="M107" s="1825"/>
      <c r="N107" s="1813"/>
      <c r="O107" s="2003"/>
      <c r="P107" s="2005"/>
      <c r="Q107" s="1982"/>
      <c r="R107" s="1814"/>
      <c r="S107" s="1825"/>
      <c r="T107" s="1814"/>
      <c r="U107" s="1825"/>
      <c r="V107" s="2003"/>
      <c r="W107" s="1472"/>
    </row>
    <row r="108" spans="1:23" ht="15.65" customHeight="1" x14ac:dyDescent="0.25">
      <c r="A108" s="1540"/>
      <c r="B108" s="1551"/>
      <c r="C108" s="75"/>
      <c r="D108" s="1479" t="s">
        <v>486</v>
      </c>
      <c r="E108" s="783"/>
      <c r="F108" s="1819"/>
      <c r="G108" s="1813"/>
      <c r="H108" s="1813"/>
      <c r="I108" s="1814"/>
      <c r="J108" s="1825"/>
      <c r="K108" s="1813"/>
      <c r="L108" s="1814"/>
      <c r="M108" s="1825"/>
      <c r="N108" s="1813"/>
      <c r="O108" s="2003"/>
      <c r="P108" s="2005"/>
      <c r="Q108" s="1982"/>
      <c r="R108" s="1814"/>
      <c r="S108" s="1825"/>
      <c r="T108" s="1814"/>
      <c r="U108" s="1825"/>
      <c r="V108" s="2003"/>
      <c r="W108" s="1472"/>
    </row>
    <row r="109" spans="1:23" ht="15.65" customHeight="1" x14ac:dyDescent="0.25">
      <c r="A109" s="1540"/>
      <c r="B109" s="1551"/>
      <c r="C109" s="75"/>
      <c r="D109" s="1480" t="s">
        <v>487</v>
      </c>
      <c r="E109" s="783"/>
      <c r="F109" s="1819"/>
      <c r="G109" s="1813"/>
      <c r="H109" s="1813"/>
      <c r="I109" s="1814"/>
      <c r="J109" s="1825"/>
      <c r="K109" s="1813"/>
      <c r="L109" s="1814"/>
      <c r="M109" s="1825"/>
      <c r="N109" s="1813"/>
      <c r="O109" s="2003"/>
      <c r="P109" s="2005"/>
      <c r="Q109" s="1982"/>
      <c r="R109" s="1814"/>
      <c r="S109" s="1825"/>
      <c r="T109" s="1814"/>
      <c r="U109" s="1825"/>
      <c r="V109" s="2003"/>
      <c r="W109" s="1472"/>
    </row>
    <row r="110" spans="1:23" ht="15.65" customHeight="1" x14ac:dyDescent="0.25">
      <c r="A110" s="1540"/>
      <c r="B110" s="1551"/>
      <c r="C110" s="75"/>
      <c r="D110" s="1480" t="s">
        <v>491</v>
      </c>
      <c r="E110" s="783"/>
      <c r="F110" s="1819"/>
      <c r="G110" s="1813"/>
      <c r="H110" s="1813"/>
      <c r="I110" s="1814"/>
      <c r="J110" s="1825"/>
      <c r="K110" s="1813"/>
      <c r="L110" s="1814"/>
      <c r="M110" s="1825"/>
      <c r="N110" s="1813"/>
      <c r="O110" s="2003"/>
      <c r="P110" s="2005"/>
      <c r="Q110" s="1982"/>
      <c r="R110" s="1814"/>
      <c r="S110" s="1825"/>
      <c r="T110" s="1814"/>
      <c r="U110" s="1825"/>
      <c r="V110" s="2003"/>
      <c r="W110" s="1472"/>
    </row>
    <row r="111" spans="1:23" ht="38.25" customHeight="1" x14ac:dyDescent="0.25">
      <c r="A111" s="1540"/>
      <c r="B111" s="1551"/>
      <c r="C111" s="75"/>
      <c r="D111" s="1481" t="s">
        <v>493</v>
      </c>
      <c r="E111" s="783"/>
      <c r="F111" s="1819"/>
      <c r="G111" s="1813"/>
      <c r="H111" s="1813"/>
      <c r="I111" s="1814"/>
      <c r="J111" s="1825"/>
      <c r="K111" s="1813"/>
      <c r="L111" s="1814"/>
      <c r="M111" s="1825"/>
      <c r="N111" s="1813"/>
      <c r="O111" s="2003"/>
      <c r="P111" s="2005"/>
      <c r="Q111" s="1982"/>
      <c r="R111" s="1814"/>
      <c r="S111" s="1825"/>
      <c r="T111" s="1814"/>
      <c r="U111" s="1825"/>
      <c r="V111" s="2003"/>
      <c r="W111" s="1472"/>
    </row>
    <row r="112" spans="1:23" ht="15.65" customHeight="1" x14ac:dyDescent="0.25">
      <c r="A112" s="1540"/>
      <c r="B112" s="1551"/>
      <c r="C112" s="75"/>
      <c r="D112" s="772" t="s">
        <v>373</v>
      </c>
      <c r="E112" s="783"/>
      <c r="F112" s="1819"/>
      <c r="G112" s="1813"/>
      <c r="H112" s="1813"/>
      <c r="I112" s="1814"/>
      <c r="J112" s="1825"/>
      <c r="K112" s="1813"/>
      <c r="L112" s="1814"/>
      <c r="M112" s="1825"/>
      <c r="N112" s="1813"/>
      <c r="O112" s="2003"/>
      <c r="P112" s="2005"/>
      <c r="Q112" s="1982"/>
      <c r="R112" s="1814"/>
      <c r="S112" s="1825"/>
      <c r="T112" s="1814"/>
      <c r="U112" s="1825"/>
      <c r="V112" s="2003"/>
      <c r="W112" s="983"/>
    </row>
    <row r="113" spans="1:23" ht="15.65" customHeight="1" x14ac:dyDescent="0.25">
      <c r="A113" s="1540"/>
      <c r="B113" s="1551"/>
      <c r="C113" s="75"/>
      <c r="D113" s="1623" t="s">
        <v>374</v>
      </c>
      <c r="E113" s="783"/>
      <c r="F113" s="1819"/>
      <c r="G113" s="1813"/>
      <c r="H113" s="1813"/>
      <c r="I113" s="1814"/>
      <c r="J113" s="1825"/>
      <c r="K113" s="1813"/>
      <c r="L113" s="1814"/>
      <c r="M113" s="1825"/>
      <c r="N113" s="1813"/>
      <c r="O113" s="2003"/>
      <c r="P113" s="2005"/>
      <c r="Q113" s="1982"/>
      <c r="R113" s="1814"/>
      <c r="S113" s="1825"/>
      <c r="T113" s="1814"/>
      <c r="U113" s="1825"/>
      <c r="V113" s="2003"/>
      <c r="W113" s="983"/>
    </row>
    <row r="114" spans="1:23" ht="15.65" customHeight="1" x14ac:dyDescent="0.25">
      <c r="A114" s="1540"/>
      <c r="B114" s="1551"/>
      <c r="C114" s="75"/>
      <c r="D114" s="1623" t="s">
        <v>375</v>
      </c>
      <c r="E114" s="783"/>
      <c r="F114" s="1819"/>
      <c r="G114" s="1813"/>
      <c r="H114" s="1813"/>
      <c r="I114" s="1814"/>
      <c r="J114" s="1825"/>
      <c r="K114" s="1813"/>
      <c r="L114" s="1814"/>
      <c r="M114" s="1825"/>
      <c r="N114" s="1813"/>
      <c r="O114" s="2003"/>
      <c r="P114" s="2005"/>
      <c r="Q114" s="1982"/>
      <c r="R114" s="1814"/>
      <c r="S114" s="1825"/>
      <c r="T114" s="1814"/>
      <c r="U114" s="1825"/>
      <c r="V114" s="2003"/>
      <c r="W114" s="983"/>
    </row>
    <row r="115" spans="1:23" ht="15.65" customHeight="1" x14ac:dyDescent="0.25">
      <c r="A115" s="1540"/>
      <c r="B115" s="1551"/>
      <c r="C115" s="75"/>
      <c r="D115" s="1482" t="s">
        <v>488</v>
      </c>
      <c r="E115" s="783"/>
      <c r="F115" s="1819"/>
      <c r="G115" s="1813"/>
      <c r="H115" s="1813"/>
      <c r="I115" s="1814"/>
      <c r="J115" s="1825"/>
      <c r="K115" s="1813"/>
      <c r="L115" s="1814"/>
      <c r="M115" s="1825"/>
      <c r="N115" s="1813"/>
      <c r="O115" s="2003"/>
      <c r="P115" s="2005"/>
      <c r="Q115" s="1982"/>
      <c r="R115" s="1814"/>
      <c r="S115" s="1825"/>
      <c r="T115" s="1814"/>
      <c r="U115" s="1825"/>
      <c r="V115" s="2003"/>
      <c r="W115" s="983"/>
    </row>
    <row r="116" spans="1:23" ht="15" customHeight="1" x14ac:dyDescent="0.25">
      <c r="A116" s="1540"/>
      <c r="B116" s="1551"/>
      <c r="C116" s="75"/>
      <c r="D116" s="1479" t="s">
        <v>492</v>
      </c>
      <c r="E116" s="783"/>
      <c r="F116" s="1819"/>
      <c r="G116" s="1813"/>
      <c r="H116" s="1813"/>
      <c r="I116" s="1814"/>
      <c r="J116" s="1825"/>
      <c r="K116" s="1813"/>
      <c r="L116" s="1814"/>
      <c r="M116" s="1825"/>
      <c r="N116" s="1813"/>
      <c r="O116" s="2003"/>
      <c r="P116" s="2005"/>
      <c r="Q116" s="1982"/>
      <c r="R116" s="1814"/>
      <c r="S116" s="1825"/>
      <c r="T116" s="1814"/>
      <c r="U116" s="1825"/>
      <c r="V116" s="2003"/>
      <c r="W116" s="983"/>
    </row>
    <row r="117" spans="1:23" ht="15.65" customHeight="1" x14ac:dyDescent="0.25">
      <c r="A117" s="1540"/>
      <c r="B117" s="1551"/>
      <c r="C117" s="75"/>
      <c r="D117" s="774" t="s">
        <v>301</v>
      </c>
      <c r="E117" s="783"/>
      <c r="F117" s="1819"/>
      <c r="G117" s="1813"/>
      <c r="H117" s="1813"/>
      <c r="I117" s="1814"/>
      <c r="J117" s="1825"/>
      <c r="K117" s="1813"/>
      <c r="L117" s="1814"/>
      <c r="M117" s="1825"/>
      <c r="N117" s="1813"/>
      <c r="O117" s="2003"/>
      <c r="P117" s="2005"/>
      <c r="Q117" s="1982"/>
      <c r="R117" s="1814"/>
      <c r="S117" s="1825"/>
      <c r="T117" s="1814"/>
      <c r="U117" s="1825"/>
      <c r="V117" s="2003"/>
      <c r="W117" s="983"/>
    </row>
    <row r="118" spans="1:23" ht="15.65" customHeight="1" x14ac:dyDescent="0.25">
      <c r="A118" s="1540"/>
      <c r="B118" s="1551"/>
      <c r="C118" s="75"/>
      <c r="D118" s="775" t="s">
        <v>352</v>
      </c>
      <c r="E118" s="783"/>
      <c r="F118" s="1819"/>
      <c r="G118" s="1813"/>
      <c r="H118" s="1813"/>
      <c r="I118" s="1814"/>
      <c r="J118" s="1825"/>
      <c r="K118" s="1813"/>
      <c r="L118" s="1814"/>
      <c r="M118" s="1825"/>
      <c r="N118" s="1813"/>
      <c r="O118" s="2003"/>
      <c r="P118" s="2005"/>
      <c r="Q118" s="1982"/>
      <c r="R118" s="1814"/>
      <c r="S118" s="1825"/>
      <c r="T118" s="1814"/>
      <c r="U118" s="1825"/>
      <c r="V118" s="2003"/>
      <c r="W118" s="983"/>
    </row>
    <row r="119" spans="1:23" ht="17.25" customHeight="1" x14ac:dyDescent="0.25">
      <c r="A119" s="1540"/>
      <c r="B119" s="1551"/>
      <c r="C119" s="479"/>
      <c r="D119" s="494" t="s">
        <v>376</v>
      </c>
      <c r="E119" s="783"/>
      <c r="F119" s="1819"/>
      <c r="G119" s="1813"/>
      <c r="H119" s="1813"/>
      <c r="I119" s="1814"/>
      <c r="J119" s="1825"/>
      <c r="K119" s="1813"/>
      <c r="L119" s="1814"/>
      <c r="M119" s="1825"/>
      <c r="N119" s="1813"/>
      <c r="O119" s="2003"/>
      <c r="P119" s="2005"/>
      <c r="Q119" s="1982"/>
      <c r="R119" s="1814"/>
      <c r="S119" s="1825"/>
      <c r="T119" s="1814"/>
      <c r="U119" s="1825"/>
      <c r="V119" s="2003"/>
      <c r="W119" s="983"/>
    </row>
    <row r="120" spans="1:23" ht="17.25" customHeight="1" x14ac:dyDescent="0.25">
      <c r="A120" s="1540"/>
      <c r="B120" s="1551"/>
      <c r="C120" s="455"/>
      <c r="D120" s="99" t="s">
        <v>377</v>
      </c>
      <c r="E120" s="783"/>
      <c r="F120" s="1820"/>
      <c r="G120" s="1821"/>
      <c r="H120" s="1821"/>
      <c r="I120" s="1815"/>
      <c r="J120" s="1826"/>
      <c r="K120" s="1821"/>
      <c r="L120" s="1815"/>
      <c r="M120" s="1826"/>
      <c r="N120" s="1821"/>
      <c r="O120" s="2004"/>
      <c r="P120" s="2006"/>
      <c r="Q120" s="1983"/>
      <c r="R120" s="1815"/>
      <c r="S120" s="1825"/>
      <c r="T120" s="1814"/>
      <c r="U120" s="1826"/>
      <c r="V120" s="2004"/>
      <c r="W120" s="1207"/>
    </row>
    <row r="121" spans="1:23" ht="17.25" customHeight="1" x14ac:dyDescent="0.25">
      <c r="A121" s="1540"/>
      <c r="B121" s="1551"/>
      <c r="C121" s="455"/>
      <c r="D121" s="773" t="s">
        <v>302</v>
      </c>
      <c r="E121" s="865"/>
      <c r="F121" s="1155" t="s">
        <v>386</v>
      </c>
      <c r="G121" s="1149"/>
      <c r="H121" s="1149"/>
      <c r="I121" s="1150"/>
      <c r="J121" s="1175"/>
      <c r="K121" s="1149"/>
      <c r="L121" s="1150"/>
      <c r="M121" s="1175">
        <v>100</v>
      </c>
      <c r="N121" s="1149">
        <f>+M121</f>
        <v>100</v>
      </c>
      <c r="O121" s="1176">
        <f>+N121-M121</f>
        <v>0</v>
      </c>
      <c r="P121" s="1581" t="s">
        <v>353</v>
      </c>
      <c r="Q121" s="275"/>
      <c r="R121" s="476"/>
      <c r="S121" s="391"/>
      <c r="T121" s="476"/>
      <c r="U121" s="391">
        <v>5</v>
      </c>
      <c r="V121" s="568"/>
      <c r="W121" s="445"/>
    </row>
    <row r="122" spans="1:23" ht="27.65" customHeight="1" x14ac:dyDescent="0.25">
      <c r="A122" s="932"/>
      <c r="B122" s="933"/>
      <c r="C122" s="934"/>
      <c r="D122" s="1766" t="s">
        <v>70</v>
      </c>
      <c r="E122" s="1564" t="s">
        <v>418</v>
      </c>
      <c r="F122" s="1119" t="s">
        <v>386</v>
      </c>
      <c r="G122" s="1110">
        <f>516.5-25.6+46</f>
        <v>536.9</v>
      </c>
      <c r="H122" s="1110">
        <f>516.5-25.6+46-46</f>
        <v>490.9</v>
      </c>
      <c r="I122" s="1137">
        <f>+H122-G122</f>
        <v>-46</v>
      </c>
      <c r="J122" s="1131">
        <v>516.5</v>
      </c>
      <c r="K122" s="1110">
        <f>+J122</f>
        <v>516.5</v>
      </c>
      <c r="L122" s="1137">
        <f>+K122-J122</f>
        <v>0</v>
      </c>
      <c r="M122" s="1131">
        <v>516.5</v>
      </c>
      <c r="N122" s="1110">
        <f>+M122</f>
        <v>516.5</v>
      </c>
      <c r="O122" s="1111">
        <f>+N122-M122</f>
        <v>0</v>
      </c>
      <c r="P122" s="1583" t="s">
        <v>137</v>
      </c>
      <c r="Q122" s="687">
        <v>0.1</v>
      </c>
      <c r="R122" s="619"/>
      <c r="S122" s="1617">
        <v>0.1</v>
      </c>
      <c r="T122" s="1562"/>
      <c r="U122" s="991">
        <v>0.1</v>
      </c>
      <c r="V122" s="147"/>
      <c r="W122" s="1971"/>
    </row>
    <row r="123" spans="1:23" ht="26.25" customHeight="1" x14ac:dyDescent="0.25">
      <c r="A123" s="1595"/>
      <c r="B123" s="1551"/>
      <c r="C123" s="72"/>
      <c r="D123" s="1767"/>
      <c r="E123" s="783"/>
      <c r="F123" s="1116" t="s">
        <v>381</v>
      </c>
      <c r="G123" s="1139">
        <v>665.3</v>
      </c>
      <c r="H123" s="1114">
        <f>+G123</f>
        <v>665.3</v>
      </c>
      <c r="I123" s="1115">
        <f>+H123-G123</f>
        <v>0</v>
      </c>
      <c r="J123" s="1117">
        <v>665.3</v>
      </c>
      <c r="K123" s="1114">
        <f>+J123</f>
        <v>665.3</v>
      </c>
      <c r="L123" s="1115">
        <f>+K123-J123</f>
        <v>0</v>
      </c>
      <c r="M123" s="1117">
        <v>665.3</v>
      </c>
      <c r="N123" s="1114">
        <f>+M123</f>
        <v>665.3</v>
      </c>
      <c r="O123" s="1118">
        <f>+N123-M123</f>
        <v>0</v>
      </c>
      <c r="P123" s="406" t="s">
        <v>35</v>
      </c>
      <c r="Q123" s="1615">
        <v>3.9</v>
      </c>
      <c r="R123" s="703"/>
      <c r="S123" s="1618">
        <v>4</v>
      </c>
      <c r="T123" s="978"/>
      <c r="U123" s="1619">
        <v>4</v>
      </c>
      <c r="V123" s="136"/>
      <c r="W123" s="1972"/>
    </row>
    <row r="124" spans="1:23" ht="19.5" customHeight="1" x14ac:dyDescent="0.25">
      <c r="A124" s="1595"/>
      <c r="B124" s="1551"/>
      <c r="C124" s="72"/>
      <c r="D124" s="1767"/>
      <c r="E124" s="849"/>
      <c r="F124" s="1124"/>
      <c r="G124" s="1139"/>
      <c r="H124" s="1114"/>
      <c r="I124" s="1115"/>
      <c r="J124" s="1117"/>
      <c r="K124" s="1114"/>
      <c r="L124" s="1115"/>
      <c r="M124" s="1117"/>
      <c r="N124" s="1114"/>
      <c r="O124" s="1118"/>
      <c r="P124" s="406" t="s">
        <v>54</v>
      </c>
      <c r="Q124" s="1615">
        <v>1.3</v>
      </c>
      <c r="R124" s="703"/>
      <c r="S124" s="1618">
        <v>1.3</v>
      </c>
      <c r="T124" s="978"/>
      <c r="U124" s="1619">
        <v>1.3</v>
      </c>
      <c r="V124" s="136"/>
      <c r="W124" s="1973"/>
    </row>
    <row r="125" spans="1:23" ht="23.15" customHeight="1" x14ac:dyDescent="0.25">
      <c r="A125" s="1998"/>
      <c r="B125" s="1790"/>
      <c r="C125" s="1755"/>
      <c r="D125" s="1714" t="s">
        <v>44</v>
      </c>
      <c r="E125" s="1565" t="s">
        <v>418</v>
      </c>
      <c r="F125" s="1116" t="s">
        <v>381</v>
      </c>
      <c r="G125" s="1110">
        <f>400-13.7</f>
        <v>386.3</v>
      </c>
      <c r="H125" s="1110">
        <f>400-13.7</f>
        <v>386.3</v>
      </c>
      <c r="I125" s="1137">
        <f>+H125-G125</f>
        <v>0</v>
      </c>
      <c r="J125" s="1131">
        <v>400</v>
      </c>
      <c r="K125" s="1110">
        <f>+J125</f>
        <v>400</v>
      </c>
      <c r="L125" s="1137">
        <f>+K125-J125</f>
        <v>0</v>
      </c>
      <c r="M125" s="1131">
        <v>700</v>
      </c>
      <c r="N125" s="1110">
        <f>+M125</f>
        <v>700</v>
      </c>
      <c r="O125" s="1111">
        <f>+N125-M125</f>
        <v>0</v>
      </c>
      <c r="P125" s="1957" t="s">
        <v>134</v>
      </c>
      <c r="Q125" s="687">
        <v>1.6</v>
      </c>
      <c r="R125" s="619"/>
      <c r="S125" s="991">
        <v>1.7</v>
      </c>
      <c r="T125" s="619"/>
      <c r="U125" s="991">
        <v>3</v>
      </c>
      <c r="V125" s="147"/>
      <c r="W125" s="1967"/>
    </row>
    <row r="126" spans="1:23" ht="23.15" customHeight="1" x14ac:dyDescent="0.25">
      <c r="A126" s="1998"/>
      <c r="B126" s="1790"/>
      <c r="C126" s="1755"/>
      <c r="D126" s="1715"/>
      <c r="E126" s="784"/>
      <c r="F126" s="1151"/>
      <c r="G126" s="1684"/>
      <c r="H126" s="1153"/>
      <c r="I126" s="1685"/>
      <c r="J126" s="1686"/>
      <c r="K126" s="1153"/>
      <c r="L126" s="1685"/>
      <c r="M126" s="1686"/>
      <c r="N126" s="1153"/>
      <c r="O126" s="1154"/>
      <c r="P126" s="2001"/>
      <c r="Q126" s="38"/>
      <c r="R126" s="456"/>
      <c r="S126" s="202"/>
      <c r="T126" s="456"/>
      <c r="U126" s="202"/>
      <c r="V126" s="44"/>
      <c r="W126" s="1974"/>
    </row>
    <row r="127" spans="1:23" ht="15.65" customHeight="1" x14ac:dyDescent="0.25">
      <c r="A127" s="1998"/>
      <c r="B127" s="1790"/>
      <c r="C127" s="1755"/>
      <c r="D127" s="1823" t="s">
        <v>127</v>
      </c>
      <c r="E127" s="1565" t="s">
        <v>418</v>
      </c>
      <c r="F127" s="1155" t="s">
        <v>386</v>
      </c>
      <c r="G127" s="1110">
        <f>404+170</f>
        <v>574</v>
      </c>
      <c r="H127" s="1110">
        <f>404+170</f>
        <v>574</v>
      </c>
      <c r="I127" s="1137">
        <f>+H127-G127</f>
        <v>0</v>
      </c>
      <c r="J127" s="1131">
        <v>404</v>
      </c>
      <c r="K127" s="1110">
        <f>+J127</f>
        <v>404</v>
      </c>
      <c r="L127" s="1137">
        <f>+K127-J127</f>
        <v>0</v>
      </c>
      <c r="M127" s="1131">
        <v>404</v>
      </c>
      <c r="N127" s="1110">
        <f>+M127</f>
        <v>404</v>
      </c>
      <c r="O127" s="1111">
        <f>+N127-M127</f>
        <v>0</v>
      </c>
      <c r="P127" s="1584" t="s">
        <v>138</v>
      </c>
      <c r="Q127" s="1616">
        <v>0.4</v>
      </c>
      <c r="R127" s="970"/>
      <c r="S127" s="1619">
        <v>0.6</v>
      </c>
      <c r="T127" s="703"/>
      <c r="U127" s="991">
        <v>0.6</v>
      </c>
      <c r="V127" s="147"/>
      <c r="W127" s="1967"/>
    </row>
    <row r="128" spans="1:23" ht="15.65" customHeight="1" x14ac:dyDescent="0.25">
      <c r="A128" s="1998"/>
      <c r="B128" s="1790"/>
      <c r="C128" s="1755"/>
      <c r="D128" s="1824"/>
      <c r="E128" s="882"/>
      <c r="F128" s="1133" t="s">
        <v>381</v>
      </c>
      <c r="G128" s="1114">
        <f>200.1+316</f>
        <v>516.1</v>
      </c>
      <c r="H128" s="1114">
        <f>200.1+316</f>
        <v>516.1</v>
      </c>
      <c r="I128" s="1115">
        <f>+H128-G128</f>
        <v>0</v>
      </c>
      <c r="J128" s="1114">
        <f>190+370.6</f>
        <v>560.6</v>
      </c>
      <c r="K128" s="1114">
        <f>190+370.6</f>
        <v>560.6</v>
      </c>
      <c r="L128" s="1115">
        <f>+K128-J128</f>
        <v>0</v>
      </c>
      <c r="M128" s="1117">
        <v>190</v>
      </c>
      <c r="N128" s="1114">
        <f>+M128</f>
        <v>190</v>
      </c>
      <c r="O128" s="1118">
        <f>+N128-M128</f>
        <v>0</v>
      </c>
      <c r="P128" s="406" t="s">
        <v>135</v>
      </c>
      <c r="Q128" s="1616">
        <v>2.7</v>
      </c>
      <c r="R128" s="970"/>
      <c r="S128" s="1621">
        <v>2.2999999999999998</v>
      </c>
      <c r="T128" s="970"/>
      <c r="U128" s="1620">
        <v>1</v>
      </c>
      <c r="V128" s="610"/>
      <c r="W128" s="1974"/>
    </row>
    <row r="129" spans="1:29" ht="15.75" customHeight="1" x14ac:dyDescent="0.25">
      <c r="A129" s="1595"/>
      <c r="B129" s="1551"/>
      <c r="C129" s="1542"/>
      <c r="D129" s="1822" t="s">
        <v>406</v>
      </c>
      <c r="E129" s="783"/>
      <c r="F129" s="1119" t="s">
        <v>381</v>
      </c>
      <c r="G129" s="1135">
        <v>40</v>
      </c>
      <c r="H129" s="1110">
        <f>+G129</f>
        <v>40</v>
      </c>
      <c r="I129" s="1137">
        <f>+H129-G129</f>
        <v>0</v>
      </c>
      <c r="J129" s="1131">
        <v>396</v>
      </c>
      <c r="K129" s="1110">
        <f>+J129</f>
        <v>396</v>
      </c>
      <c r="L129" s="1137">
        <f>+K129-J129</f>
        <v>0</v>
      </c>
      <c r="M129" s="1131">
        <v>543</v>
      </c>
      <c r="N129" s="1110">
        <f>+M129</f>
        <v>543</v>
      </c>
      <c r="O129" s="1111">
        <f>+N129-M129</f>
        <v>0</v>
      </c>
      <c r="P129" s="1957" t="s">
        <v>89</v>
      </c>
      <c r="Q129" s="527">
        <v>1</v>
      </c>
      <c r="R129" s="563"/>
      <c r="S129" s="359">
        <v>6</v>
      </c>
      <c r="T129" s="563"/>
      <c r="U129" s="359">
        <v>4</v>
      </c>
      <c r="V129" s="140"/>
      <c r="W129" s="140"/>
    </row>
    <row r="130" spans="1:29" ht="16.5" customHeight="1" x14ac:dyDescent="0.25">
      <c r="A130" s="1595"/>
      <c r="B130" s="1551"/>
      <c r="C130" s="1542"/>
      <c r="D130" s="1822"/>
      <c r="E130" s="783"/>
      <c r="F130" s="1124"/>
      <c r="G130" s="1157"/>
      <c r="H130" s="1126"/>
      <c r="I130" s="1129"/>
      <c r="J130" s="1128"/>
      <c r="K130" s="1126"/>
      <c r="L130" s="1129"/>
      <c r="M130" s="1128"/>
      <c r="N130" s="1126"/>
      <c r="O130" s="1127"/>
      <c r="P130" s="2001"/>
      <c r="Q130" s="681"/>
      <c r="R130" s="545"/>
      <c r="S130" s="350"/>
      <c r="T130" s="545"/>
      <c r="U130" s="350"/>
      <c r="V130" s="142"/>
      <c r="W130" s="142"/>
    </row>
    <row r="131" spans="1:29" ht="15" customHeight="1" x14ac:dyDescent="0.25">
      <c r="A131" s="935"/>
      <c r="B131" s="1551"/>
      <c r="C131" s="75"/>
      <c r="D131" s="1714" t="s">
        <v>34</v>
      </c>
      <c r="E131" s="782"/>
      <c r="F131" s="1156" t="s">
        <v>386</v>
      </c>
      <c r="G131" s="1139">
        <v>110</v>
      </c>
      <c r="H131" s="1114">
        <f>+G131</f>
        <v>110</v>
      </c>
      <c r="I131" s="1115">
        <f>+H131-G131</f>
        <v>0</v>
      </c>
      <c r="J131" s="1117">
        <v>110</v>
      </c>
      <c r="K131" s="1114">
        <f>+J131</f>
        <v>110</v>
      </c>
      <c r="L131" s="1115">
        <f>+K131-J131</f>
        <v>0</v>
      </c>
      <c r="M131" s="1117">
        <v>110</v>
      </c>
      <c r="N131" s="1114">
        <f>+M131</f>
        <v>110</v>
      </c>
      <c r="O131" s="1118">
        <f>+N131-M131</f>
        <v>0</v>
      </c>
      <c r="P131" s="1957" t="s">
        <v>126</v>
      </c>
      <c r="Q131" s="527">
        <v>15</v>
      </c>
      <c r="R131" s="563"/>
      <c r="S131" s="359">
        <v>15</v>
      </c>
      <c r="T131" s="563"/>
      <c r="U131" s="359">
        <v>15</v>
      </c>
      <c r="V131" s="140"/>
      <c r="W131" s="140"/>
    </row>
    <row r="132" spans="1:29" ht="16.5" customHeight="1" x14ac:dyDescent="0.25">
      <c r="A132" s="935"/>
      <c r="B132" s="1551"/>
      <c r="C132" s="75"/>
      <c r="D132" s="1756"/>
      <c r="E132" s="783"/>
      <c r="F132" s="1116" t="s">
        <v>381</v>
      </c>
      <c r="G132" s="1157">
        <v>83.4</v>
      </c>
      <c r="H132" s="1126">
        <f>+G132</f>
        <v>83.4</v>
      </c>
      <c r="I132" s="1129">
        <f>+H132-G132</f>
        <v>0</v>
      </c>
      <c r="J132" s="1117">
        <v>83.4</v>
      </c>
      <c r="K132" s="1114">
        <f>+J132</f>
        <v>83.4</v>
      </c>
      <c r="L132" s="1115">
        <f>+K132-J132</f>
        <v>0</v>
      </c>
      <c r="M132" s="1117">
        <v>83.4</v>
      </c>
      <c r="N132" s="1114">
        <f>+M132</f>
        <v>83.4</v>
      </c>
      <c r="O132" s="1118">
        <f>+N132-M132</f>
        <v>0</v>
      </c>
      <c r="P132" s="2001"/>
      <c r="Q132" s="681"/>
      <c r="R132" s="545"/>
      <c r="S132" s="350"/>
      <c r="T132" s="545"/>
      <c r="U132" s="350"/>
      <c r="V132" s="142"/>
      <c r="W132" s="142"/>
    </row>
    <row r="133" spans="1:29" ht="28.5" customHeight="1" x14ac:dyDescent="0.25">
      <c r="A133" s="935"/>
      <c r="B133" s="1551"/>
      <c r="C133" s="1542"/>
      <c r="D133" s="1714" t="s">
        <v>484</v>
      </c>
      <c r="E133" s="92" t="s">
        <v>41</v>
      </c>
      <c r="F133" s="1108" t="s">
        <v>386</v>
      </c>
      <c r="G133" s="1114">
        <f>22.1+11.5</f>
        <v>33.6</v>
      </c>
      <c r="H133" s="1114">
        <f>22.1+11.5</f>
        <v>33.6</v>
      </c>
      <c r="I133" s="1115">
        <f>+H133-G133</f>
        <v>0</v>
      </c>
      <c r="J133" s="1131"/>
      <c r="K133" s="1110"/>
      <c r="L133" s="1137"/>
      <c r="M133" s="1131"/>
      <c r="N133" s="1110"/>
      <c r="O133" s="1111"/>
      <c r="P133" s="1601" t="s">
        <v>123</v>
      </c>
      <c r="Q133" s="501">
        <v>100</v>
      </c>
      <c r="R133" s="465"/>
      <c r="S133" s="349"/>
      <c r="T133" s="465"/>
      <c r="U133" s="501"/>
      <c r="V133" s="465"/>
      <c r="W133" s="1952"/>
    </row>
    <row r="134" spans="1:29" ht="22" customHeight="1" x14ac:dyDescent="0.25">
      <c r="A134" s="935"/>
      <c r="B134" s="1541"/>
      <c r="C134" s="1542"/>
      <c r="D134" s="1715"/>
      <c r="E134" s="847"/>
      <c r="F134" s="1124" t="s">
        <v>381</v>
      </c>
      <c r="G134" s="1139">
        <v>13.7</v>
      </c>
      <c r="H134" s="1114">
        <f>+G134</f>
        <v>13.7</v>
      </c>
      <c r="I134" s="1115">
        <f>+H134-G134</f>
        <v>0</v>
      </c>
      <c r="J134" s="1157"/>
      <c r="K134" s="1114"/>
      <c r="L134" s="1115"/>
      <c r="M134" s="1157"/>
      <c r="N134" s="1114"/>
      <c r="O134" s="1129"/>
      <c r="P134" s="461" t="s">
        <v>40</v>
      </c>
      <c r="Q134" s="833">
        <v>1</v>
      </c>
      <c r="R134" s="589"/>
      <c r="S134" s="444"/>
      <c r="T134" s="589"/>
      <c r="U134" s="833"/>
      <c r="V134" s="589"/>
      <c r="W134" s="1953"/>
    </row>
    <row r="135" spans="1:29" ht="24" customHeight="1" x14ac:dyDescent="0.25">
      <c r="A135" s="935"/>
      <c r="B135" s="1541"/>
      <c r="C135" s="71"/>
      <c r="D135" s="1714" t="s">
        <v>229</v>
      </c>
      <c r="E135" s="92" t="s">
        <v>41</v>
      </c>
      <c r="F135" s="1640" t="s">
        <v>381</v>
      </c>
      <c r="G135" s="1641">
        <f>300-150</f>
        <v>150</v>
      </c>
      <c r="H135" s="1309">
        <f>+G135+187.5</f>
        <v>337.5</v>
      </c>
      <c r="I135" s="1310">
        <f>+H135-G135</f>
        <v>187.5</v>
      </c>
      <c r="J135" s="1319">
        <f>128+150</f>
        <v>278</v>
      </c>
      <c r="K135" s="1309">
        <f>+J135-218.3</f>
        <v>59.7</v>
      </c>
      <c r="L135" s="1310">
        <f>+K135-J135</f>
        <v>-218.3</v>
      </c>
      <c r="M135" s="224"/>
      <c r="N135" s="213"/>
      <c r="O135" s="215"/>
      <c r="P135" s="1979" t="s">
        <v>163</v>
      </c>
      <c r="Q135" s="1311">
        <v>35</v>
      </c>
      <c r="R135" s="1312">
        <v>80</v>
      </c>
      <c r="S135" s="527">
        <v>100</v>
      </c>
      <c r="T135" s="563"/>
      <c r="U135" s="527"/>
      <c r="V135" s="563"/>
      <c r="W135" s="1952" t="s">
        <v>496</v>
      </c>
    </row>
    <row r="136" spans="1:29" ht="24" customHeight="1" x14ac:dyDescent="0.25">
      <c r="A136" s="935"/>
      <c r="B136" s="1541"/>
      <c r="C136" s="71"/>
      <c r="D136" s="1715"/>
      <c r="E136" s="168"/>
      <c r="F136" s="98"/>
      <c r="G136" s="38"/>
      <c r="H136" s="214"/>
      <c r="I136" s="456"/>
      <c r="J136" s="202"/>
      <c r="K136" s="214"/>
      <c r="L136" s="456"/>
      <c r="M136" s="202"/>
      <c r="N136" s="214"/>
      <c r="O136" s="44"/>
      <c r="P136" s="1981"/>
      <c r="Q136" s="681"/>
      <c r="R136" s="545"/>
      <c r="S136" s="350"/>
      <c r="T136" s="545"/>
      <c r="U136" s="350"/>
      <c r="V136" s="142"/>
      <c r="W136" s="1953"/>
    </row>
    <row r="137" spans="1:29" ht="15.75" customHeight="1" x14ac:dyDescent="0.25">
      <c r="A137" s="935"/>
      <c r="B137" s="1551"/>
      <c r="C137" s="1542"/>
      <c r="D137" s="1534" t="s">
        <v>147</v>
      </c>
      <c r="E137" s="92" t="s">
        <v>41</v>
      </c>
      <c r="F137" s="89"/>
      <c r="G137" s="529"/>
      <c r="H137" s="995"/>
      <c r="I137" s="530"/>
      <c r="J137" s="505"/>
      <c r="K137" s="236"/>
      <c r="L137" s="433"/>
      <c r="M137" s="224"/>
      <c r="N137" s="213"/>
      <c r="O137" s="90"/>
      <c r="P137" s="401"/>
      <c r="Q137" s="525"/>
      <c r="R137" s="476"/>
      <c r="S137" s="391"/>
      <c r="T137" s="476"/>
      <c r="U137" s="391"/>
      <c r="V137" s="198"/>
      <c r="W137" s="198"/>
    </row>
    <row r="138" spans="1:29" ht="14.5" customHeight="1" x14ac:dyDescent="0.25">
      <c r="A138" s="935"/>
      <c r="B138" s="1551"/>
      <c r="C138" s="1542"/>
      <c r="D138" s="77" t="s">
        <v>436</v>
      </c>
      <c r="E138" s="554"/>
      <c r="F138" s="1161" t="s">
        <v>386</v>
      </c>
      <c r="G138" s="1122">
        <v>1.7</v>
      </c>
      <c r="H138" s="1122">
        <v>1.7</v>
      </c>
      <c r="I138" s="1162">
        <f>+H138-G138</f>
        <v>0</v>
      </c>
      <c r="J138" s="1175"/>
      <c r="K138" s="1149"/>
      <c r="L138" s="1150"/>
      <c r="M138" s="1200"/>
      <c r="N138" s="1122"/>
      <c r="O138" s="1160"/>
      <c r="P138" s="401" t="s">
        <v>40</v>
      </c>
      <c r="Q138" s="395">
        <v>3</v>
      </c>
      <c r="R138" s="476"/>
      <c r="S138" s="391"/>
      <c r="T138" s="476"/>
      <c r="U138" s="391"/>
      <c r="V138" s="198"/>
      <c r="W138" s="1466"/>
    </row>
    <row r="139" spans="1:29" ht="30" customHeight="1" x14ac:dyDescent="0.25">
      <c r="A139" s="935"/>
      <c r="B139" s="1551"/>
      <c r="C139" s="1542"/>
      <c r="D139" s="77" t="s">
        <v>441</v>
      </c>
      <c r="E139" s="554"/>
      <c r="F139" s="1161" t="s">
        <v>386</v>
      </c>
      <c r="G139" s="1122">
        <v>10</v>
      </c>
      <c r="H139" s="1122">
        <v>10</v>
      </c>
      <c r="I139" s="1115">
        <f>+H139-G139</f>
        <v>0</v>
      </c>
      <c r="J139" s="1175"/>
      <c r="K139" s="1149"/>
      <c r="L139" s="1150"/>
      <c r="M139" s="1343"/>
      <c r="N139" s="1122"/>
      <c r="O139" s="1160"/>
      <c r="P139" s="401" t="s">
        <v>485</v>
      </c>
      <c r="Q139" s="395">
        <v>100</v>
      </c>
      <c r="R139" s="476"/>
      <c r="S139" s="391"/>
      <c r="T139" s="476"/>
      <c r="U139" s="391"/>
      <c r="V139" s="198"/>
      <c r="W139" s="1466"/>
      <c r="Z139" s="1463"/>
      <c r="AA139" s="1463"/>
      <c r="AB139" s="1463"/>
      <c r="AC139" s="1463"/>
    </row>
    <row r="140" spans="1:29" ht="26.25" customHeight="1" x14ac:dyDescent="0.25">
      <c r="A140" s="1594"/>
      <c r="B140" s="1573"/>
      <c r="C140" s="1574"/>
      <c r="D140" s="91" t="s">
        <v>305</v>
      </c>
      <c r="E140" s="1829"/>
      <c r="F140" s="1161" t="s">
        <v>386</v>
      </c>
      <c r="G140" s="1200"/>
      <c r="H140" s="1117"/>
      <c r="I140" s="1162"/>
      <c r="J140" s="1175">
        <v>96.8</v>
      </c>
      <c r="K140" s="1149">
        <f>+J140</f>
        <v>96.8</v>
      </c>
      <c r="L140" s="1150">
        <f>+K140-J140</f>
        <v>0</v>
      </c>
      <c r="M140" s="1343"/>
      <c r="N140" s="1122"/>
      <c r="O140" s="1123"/>
      <c r="P140" s="401" t="s">
        <v>350</v>
      </c>
      <c r="Q140" s="713"/>
      <c r="R140" s="714"/>
      <c r="S140" s="979">
        <v>100</v>
      </c>
      <c r="T140" s="714"/>
      <c r="U140" s="539"/>
      <c r="V140" s="139"/>
      <c r="W140" s="561"/>
    </row>
    <row r="141" spans="1:29" ht="27.5" customHeight="1" x14ac:dyDescent="0.25">
      <c r="A141" s="1594"/>
      <c r="B141" s="1573"/>
      <c r="C141" s="1574"/>
      <c r="D141" s="91" t="s">
        <v>306</v>
      </c>
      <c r="E141" s="1829"/>
      <c r="F141" s="1158" t="s">
        <v>386</v>
      </c>
      <c r="G141" s="1163"/>
      <c r="H141" s="1344"/>
      <c r="I141" s="1345"/>
      <c r="J141" s="1346"/>
      <c r="K141" s="1164"/>
      <c r="L141" s="1347"/>
      <c r="M141" s="1117">
        <v>151.30000000000001</v>
      </c>
      <c r="N141" s="1114">
        <f>+M141</f>
        <v>151.30000000000001</v>
      </c>
      <c r="O141" s="1113">
        <f>+N141-M141</f>
        <v>0</v>
      </c>
      <c r="P141" s="401" t="s">
        <v>351</v>
      </c>
      <c r="Q141" s="328"/>
      <c r="R141" s="967"/>
      <c r="S141" s="976"/>
      <c r="T141" s="462"/>
      <c r="U141" s="976">
        <v>100</v>
      </c>
      <c r="V141" s="909"/>
      <c r="W141" s="462"/>
    </row>
    <row r="142" spans="1:29" ht="30" customHeight="1" x14ac:dyDescent="0.25">
      <c r="A142" s="935"/>
      <c r="B142" s="1541"/>
      <c r="C142" s="71"/>
      <c r="D142" s="1714" t="s">
        <v>164</v>
      </c>
      <c r="E142" s="1547" t="s">
        <v>41</v>
      </c>
      <c r="F142" s="1136" t="s">
        <v>386</v>
      </c>
      <c r="G142" s="1117">
        <v>3.5</v>
      </c>
      <c r="H142" s="1117">
        <v>3.5</v>
      </c>
      <c r="I142" s="1115">
        <f>+H142-G142</f>
        <v>0</v>
      </c>
      <c r="J142" s="1135"/>
      <c r="K142" s="1110"/>
      <c r="L142" s="1137"/>
      <c r="M142" s="1131">
        <v>100</v>
      </c>
      <c r="N142" s="1110">
        <f>+M142</f>
        <v>100</v>
      </c>
      <c r="O142" s="1111">
        <f>+N142-M142</f>
        <v>0</v>
      </c>
      <c r="P142" s="1601" t="s">
        <v>262</v>
      </c>
      <c r="Q142" s="527"/>
      <c r="R142" s="563"/>
      <c r="S142" s="501"/>
      <c r="T142" s="589"/>
      <c r="U142" s="501">
        <v>5</v>
      </c>
      <c r="V142" s="465"/>
      <c r="W142" s="1952"/>
    </row>
    <row r="143" spans="1:29" ht="28.5" customHeight="1" x14ac:dyDescent="0.25">
      <c r="A143" s="935"/>
      <c r="B143" s="1541"/>
      <c r="C143" s="71"/>
      <c r="D143" s="1715"/>
      <c r="E143" s="554"/>
      <c r="F143" s="1130"/>
      <c r="G143" s="1157"/>
      <c r="H143" s="1126"/>
      <c r="I143" s="1129"/>
      <c r="J143" s="1117"/>
      <c r="K143" s="1126"/>
      <c r="L143" s="1129"/>
      <c r="M143" s="1157"/>
      <c r="N143" s="1114"/>
      <c r="O143" s="1129"/>
      <c r="P143" s="461" t="s">
        <v>63</v>
      </c>
      <c r="Q143" s="444">
        <v>1</v>
      </c>
      <c r="R143" s="445"/>
      <c r="S143" s="349"/>
      <c r="T143" s="445"/>
      <c r="U143" s="349"/>
      <c r="V143" s="141"/>
      <c r="W143" s="1953"/>
    </row>
    <row r="144" spans="1:29" ht="14.25" customHeight="1" x14ac:dyDescent="0.25">
      <c r="A144" s="935"/>
      <c r="B144" s="1541"/>
      <c r="C144" s="71"/>
      <c r="D144" s="1714" t="s">
        <v>165</v>
      </c>
      <c r="E144" s="92"/>
      <c r="F144" s="1136" t="s">
        <v>386</v>
      </c>
      <c r="G144" s="1135">
        <v>5.3</v>
      </c>
      <c r="H144" s="1131">
        <f>+G144</f>
        <v>5.3</v>
      </c>
      <c r="I144" s="1137">
        <f>+H144-G145</f>
        <v>5.3</v>
      </c>
      <c r="J144" s="1131">
        <v>5.3</v>
      </c>
      <c r="K144" s="1110">
        <f>+J144</f>
        <v>5.3</v>
      </c>
      <c r="L144" s="1137">
        <f>+K144-J144</f>
        <v>0</v>
      </c>
      <c r="M144" s="1131">
        <v>5.3</v>
      </c>
      <c r="N144" s="1110">
        <f>+M144</f>
        <v>5.3</v>
      </c>
      <c r="O144" s="1111">
        <f>+N144-M144</f>
        <v>0</v>
      </c>
      <c r="P144" s="1601" t="s">
        <v>166</v>
      </c>
      <c r="Q144" s="911">
        <v>10</v>
      </c>
      <c r="R144" s="980"/>
      <c r="S144" s="503">
        <v>10</v>
      </c>
      <c r="T144" s="980"/>
      <c r="U144" s="503">
        <v>10</v>
      </c>
      <c r="V144" s="323"/>
      <c r="W144" s="323"/>
    </row>
    <row r="145" spans="1:28" ht="15" customHeight="1" x14ac:dyDescent="0.25">
      <c r="A145" s="935"/>
      <c r="B145" s="1541"/>
      <c r="C145" s="71"/>
      <c r="D145" s="1715"/>
      <c r="E145" s="168"/>
      <c r="F145" s="1130"/>
      <c r="G145" s="1157"/>
      <c r="H145" s="1128"/>
      <c r="I145" s="1129"/>
      <c r="J145" s="1128"/>
      <c r="K145" s="1126"/>
      <c r="L145" s="1129"/>
      <c r="M145" s="1128"/>
      <c r="N145" s="1126"/>
      <c r="O145" s="1127"/>
      <c r="P145" s="399"/>
      <c r="Q145" s="681"/>
      <c r="R145" s="545"/>
      <c r="S145" s="350"/>
      <c r="T145" s="545"/>
      <c r="U145" s="350"/>
      <c r="V145" s="142"/>
      <c r="W145" s="142"/>
    </row>
    <row r="146" spans="1:28" ht="15" customHeight="1" x14ac:dyDescent="0.25">
      <c r="A146" s="935"/>
      <c r="B146" s="1541"/>
      <c r="C146" s="71"/>
      <c r="D146" s="1714" t="s">
        <v>323</v>
      </c>
      <c r="E146" s="92" t="s">
        <v>41</v>
      </c>
      <c r="F146" s="1165" t="s">
        <v>381</v>
      </c>
      <c r="G146" s="1139"/>
      <c r="H146" s="1117"/>
      <c r="I146" s="1115"/>
      <c r="J146" s="1117">
        <v>100</v>
      </c>
      <c r="K146" s="1114">
        <f>+J146</f>
        <v>100</v>
      </c>
      <c r="L146" s="1115">
        <f>+K146-J146</f>
        <v>0</v>
      </c>
      <c r="M146" s="1117">
        <v>200</v>
      </c>
      <c r="N146" s="1114">
        <f>+M146</f>
        <v>200</v>
      </c>
      <c r="O146" s="1118">
        <f>+N146-M146</f>
        <v>0</v>
      </c>
      <c r="P146" s="402" t="s">
        <v>324</v>
      </c>
      <c r="Q146" s="833"/>
      <c r="R146" s="589"/>
      <c r="S146" s="349">
        <v>10</v>
      </c>
      <c r="T146" s="589"/>
      <c r="U146" s="349">
        <v>40</v>
      </c>
      <c r="V146" s="141"/>
      <c r="W146" s="141"/>
    </row>
    <row r="147" spans="1:28" ht="15" customHeight="1" x14ac:dyDescent="0.25">
      <c r="A147" s="935"/>
      <c r="B147" s="1541"/>
      <c r="C147" s="71"/>
      <c r="D147" s="1756"/>
      <c r="E147" s="554"/>
      <c r="F147" s="1112" t="s">
        <v>386</v>
      </c>
      <c r="G147" s="1139"/>
      <c r="H147" s="1117"/>
      <c r="I147" s="1115"/>
      <c r="J147" s="1117">
        <v>100</v>
      </c>
      <c r="K147" s="1114">
        <f>+J147</f>
        <v>100</v>
      </c>
      <c r="L147" s="1115">
        <f>+K147-J147</f>
        <v>0</v>
      </c>
      <c r="M147" s="1117">
        <v>300</v>
      </c>
      <c r="N147" s="1114">
        <f>+M147</f>
        <v>300</v>
      </c>
      <c r="O147" s="1118">
        <f>+N147-M147</f>
        <v>0</v>
      </c>
      <c r="P147" s="408"/>
      <c r="Q147" s="833"/>
      <c r="R147" s="589"/>
      <c r="S147" s="349"/>
      <c r="T147" s="589"/>
      <c r="U147" s="349"/>
      <c r="V147" s="141"/>
      <c r="W147" s="141"/>
    </row>
    <row r="148" spans="1:28" ht="15" customHeight="1" x14ac:dyDescent="0.25">
      <c r="A148" s="935"/>
      <c r="B148" s="1541"/>
      <c r="C148" s="71"/>
      <c r="D148" s="1715"/>
      <c r="E148" s="1566"/>
      <c r="F148" s="1132"/>
      <c r="G148" s="1157"/>
      <c r="H148" s="1128"/>
      <c r="I148" s="1129"/>
      <c r="J148" s="1128"/>
      <c r="K148" s="1126"/>
      <c r="L148" s="1129"/>
      <c r="M148" s="1117"/>
      <c r="N148" s="1114"/>
      <c r="O148" s="1118"/>
      <c r="P148" s="399"/>
      <c r="Q148" s="681"/>
      <c r="R148" s="545"/>
      <c r="S148" s="350"/>
      <c r="T148" s="545"/>
      <c r="U148" s="350"/>
      <c r="V148" s="142"/>
      <c r="W148" s="545"/>
    </row>
    <row r="149" spans="1:28" ht="15" customHeight="1" x14ac:dyDescent="0.25">
      <c r="A149" s="935"/>
      <c r="B149" s="1541"/>
      <c r="C149" s="71"/>
      <c r="D149" s="1714" t="s">
        <v>325</v>
      </c>
      <c r="E149" s="92" t="s">
        <v>41</v>
      </c>
      <c r="F149" s="1136" t="s">
        <v>381</v>
      </c>
      <c r="G149" s="1139"/>
      <c r="H149" s="1117"/>
      <c r="I149" s="1115"/>
      <c r="J149" s="1117">
        <f>50-20</f>
        <v>30</v>
      </c>
      <c r="K149" s="1114">
        <f>+J149</f>
        <v>30</v>
      </c>
      <c r="L149" s="1115">
        <f>+K149-J149</f>
        <v>0</v>
      </c>
      <c r="M149" s="1131">
        <v>50</v>
      </c>
      <c r="N149" s="1110">
        <f>+M149</f>
        <v>50</v>
      </c>
      <c r="O149" s="1111">
        <f>+N149-M149</f>
        <v>0</v>
      </c>
      <c r="P149" s="593" t="s">
        <v>63</v>
      </c>
      <c r="Q149" s="501"/>
      <c r="R149" s="465"/>
      <c r="S149" s="349"/>
      <c r="T149" s="589"/>
      <c r="U149" s="349">
        <v>1</v>
      </c>
      <c r="V149" s="141"/>
      <c r="W149" s="141"/>
    </row>
    <row r="150" spans="1:28" ht="15" customHeight="1" x14ac:dyDescent="0.25">
      <c r="A150" s="935"/>
      <c r="B150" s="1541"/>
      <c r="C150" s="71"/>
      <c r="D150" s="1756"/>
      <c r="E150" s="554"/>
      <c r="F150" s="1112"/>
      <c r="G150" s="1139"/>
      <c r="H150" s="1117"/>
      <c r="I150" s="1115"/>
      <c r="J150" s="1117"/>
      <c r="K150" s="1114"/>
      <c r="L150" s="1115"/>
      <c r="M150" s="1117"/>
      <c r="N150" s="1114"/>
      <c r="O150" s="1118"/>
      <c r="P150" s="398" t="s">
        <v>324</v>
      </c>
      <c r="Q150" s="833"/>
      <c r="R150" s="589"/>
      <c r="S150" s="391"/>
      <c r="T150" s="476"/>
      <c r="U150" s="391">
        <v>100</v>
      </c>
      <c r="V150" s="198"/>
      <c r="W150" s="476"/>
    </row>
    <row r="151" spans="1:28" ht="15" customHeight="1" x14ac:dyDescent="0.25">
      <c r="A151" s="935"/>
      <c r="B151" s="1541"/>
      <c r="C151" s="71"/>
      <c r="D151" s="1715"/>
      <c r="E151" s="554"/>
      <c r="F151" s="1132"/>
      <c r="G151" s="1157"/>
      <c r="H151" s="1128"/>
      <c r="I151" s="1129"/>
      <c r="J151" s="1128"/>
      <c r="K151" s="1126"/>
      <c r="L151" s="1129"/>
      <c r="M151" s="1128"/>
      <c r="N151" s="1126"/>
      <c r="O151" s="1127"/>
      <c r="P151" s="399"/>
      <c r="Q151" s="681"/>
      <c r="R151" s="545"/>
      <c r="S151" s="350"/>
      <c r="T151" s="545"/>
      <c r="U151" s="350"/>
      <c r="V151" s="142"/>
      <c r="W151" s="142"/>
    </row>
    <row r="152" spans="1:28" ht="15" customHeight="1" x14ac:dyDescent="0.25">
      <c r="A152" s="935"/>
      <c r="B152" s="1541"/>
      <c r="C152" s="71"/>
      <c r="D152" s="1714" t="s">
        <v>358</v>
      </c>
      <c r="E152" s="92" t="s">
        <v>41</v>
      </c>
      <c r="F152" s="534" t="s">
        <v>381</v>
      </c>
      <c r="G152" s="1589">
        <v>5</v>
      </c>
      <c r="H152" s="1559">
        <f>+G152</f>
        <v>5</v>
      </c>
      <c r="I152" s="522">
        <f>+H152-G152</f>
        <v>0</v>
      </c>
      <c r="J152" s="1305">
        <v>37.799999999999997</v>
      </c>
      <c r="K152" s="1303">
        <f>+J152+5</f>
        <v>42.8</v>
      </c>
      <c r="L152" s="1310">
        <f>+K152-J152</f>
        <v>5</v>
      </c>
      <c r="M152" s="224">
        <v>357.2</v>
      </c>
      <c r="N152" s="213">
        <f>+M152</f>
        <v>357.2</v>
      </c>
      <c r="O152" s="215">
        <f>+N152-M152</f>
        <v>0</v>
      </c>
      <c r="P152" s="398" t="s">
        <v>63</v>
      </c>
      <c r="Q152" s="833"/>
      <c r="R152" s="563"/>
      <c r="S152" s="375">
        <v>1</v>
      </c>
      <c r="T152" s="465"/>
      <c r="U152" s="375"/>
      <c r="V152" s="143"/>
      <c r="W152" s="1952" t="s">
        <v>506</v>
      </c>
      <c r="X152" s="1710"/>
      <c r="Y152" s="1711"/>
      <c r="Z152" s="1711"/>
      <c r="AA152" s="1711"/>
      <c r="AB152" s="1711"/>
    </row>
    <row r="153" spans="1:28" ht="15.75" customHeight="1" x14ac:dyDescent="0.25">
      <c r="A153" s="935"/>
      <c r="B153" s="1541"/>
      <c r="C153" s="71"/>
      <c r="D153" s="1756"/>
      <c r="E153" s="554"/>
      <c r="F153" s="1588"/>
      <c r="G153" s="1589"/>
      <c r="H153" s="1559"/>
      <c r="I153" s="1554"/>
      <c r="J153" s="1559"/>
      <c r="K153" s="1553"/>
      <c r="L153" s="1554"/>
      <c r="M153" s="1559"/>
      <c r="N153" s="1553"/>
      <c r="O153" s="1596"/>
      <c r="P153" s="555" t="s">
        <v>324</v>
      </c>
      <c r="Q153" s="837"/>
      <c r="R153" s="476"/>
      <c r="S153" s="349"/>
      <c r="T153" s="589"/>
      <c r="U153" s="349">
        <v>100</v>
      </c>
      <c r="V153" s="141"/>
      <c r="W153" s="1976"/>
      <c r="X153" s="1710"/>
      <c r="Y153" s="1711"/>
      <c r="Z153" s="1711"/>
      <c r="AA153" s="1711"/>
      <c r="AB153" s="1711"/>
    </row>
    <row r="154" spans="1:28" ht="66" customHeight="1" x14ac:dyDescent="0.25">
      <c r="A154" s="935"/>
      <c r="B154" s="1541"/>
      <c r="C154" s="71"/>
      <c r="D154" s="1715"/>
      <c r="E154" s="554"/>
      <c r="F154" s="96"/>
      <c r="G154" s="38"/>
      <c r="H154" s="202"/>
      <c r="I154" s="456"/>
      <c r="J154" s="202"/>
      <c r="K154" s="214"/>
      <c r="L154" s="456"/>
      <c r="M154" s="202"/>
      <c r="N154" s="214"/>
      <c r="O154" s="44"/>
      <c r="P154" s="399"/>
      <c r="Q154" s="681"/>
      <c r="R154" s="545"/>
      <c r="S154" s="350"/>
      <c r="T154" s="545"/>
      <c r="U154" s="350"/>
      <c r="V154" s="142"/>
      <c r="W154" s="1953"/>
      <c r="X154" s="1710"/>
      <c r="Y154" s="1711"/>
      <c r="Z154" s="1711"/>
      <c r="AA154" s="1711"/>
      <c r="AB154" s="1711"/>
    </row>
    <row r="155" spans="1:28" ht="17" customHeight="1" x14ac:dyDescent="0.25">
      <c r="A155" s="935"/>
      <c r="B155" s="1541"/>
      <c r="C155" s="71"/>
      <c r="D155" s="1534" t="s">
        <v>328</v>
      </c>
      <c r="E155" s="1614" t="s">
        <v>41</v>
      </c>
      <c r="F155" s="1165" t="s">
        <v>381</v>
      </c>
      <c r="G155" s="1139">
        <v>5</v>
      </c>
      <c r="H155" s="1117">
        <f>+G155</f>
        <v>5</v>
      </c>
      <c r="I155" s="1115">
        <f>+H155-G155</f>
        <v>0</v>
      </c>
      <c r="J155" s="1117">
        <v>35</v>
      </c>
      <c r="K155" s="1114">
        <f>+J155</f>
        <v>35</v>
      </c>
      <c r="L155" s="1115">
        <f>+K155-J155</f>
        <v>0</v>
      </c>
      <c r="M155" s="1117"/>
      <c r="N155" s="1114"/>
      <c r="O155" s="1118"/>
      <c r="P155" s="402" t="s">
        <v>63</v>
      </c>
      <c r="Q155" s="527"/>
      <c r="R155" s="563"/>
      <c r="S155" s="349">
        <v>1</v>
      </c>
      <c r="T155" s="589"/>
      <c r="U155" s="359"/>
      <c r="V155" s="140"/>
      <c r="W155" s="563"/>
    </row>
    <row r="156" spans="1:28" ht="17" customHeight="1" x14ac:dyDescent="0.25">
      <c r="A156" s="935"/>
      <c r="B156" s="1613"/>
      <c r="C156" s="71"/>
      <c r="D156" s="1611"/>
      <c r="E156" s="554"/>
      <c r="F156" s="1165" t="s">
        <v>389</v>
      </c>
      <c r="G156" s="1139"/>
      <c r="H156" s="1117">
        <v>4.2</v>
      </c>
      <c r="I156" s="1115">
        <f>+H156-G156</f>
        <v>4.2</v>
      </c>
      <c r="J156" s="1117"/>
      <c r="K156" s="1114"/>
      <c r="L156" s="1115"/>
      <c r="M156" s="1117"/>
      <c r="N156" s="1114"/>
      <c r="O156" s="1118"/>
      <c r="P156" s="780"/>
      <c r="Q156" s="833"/>
      <c r="R156" s="545"/>
      <c r="S156" s="349"/>
      <c r="T156" s="589"/>
      <c r="U156" s="681"/>
      <c r="V156" s="545"/>
      <c r="W156" s="1630"/>
    </row>
    <row r="157" spans="1:28" ht="39" customHeight="1" x14ac:dyDescent="0.25">
      <c r="A157" s="935"/>
      <c r="B157" s="1541"/>
      <c r="C157" s="71"/>
      <c r="D157" s="779" t="s">
        <v>370</v>
      </c>
      <c r="E157" s="1547" t="s">
        <v>41</v>
      </c>
      <c r="F157" s="1136"/>
      <c r="G157" s="1340"/>
      <c r="H157" s="1341"/>
      <c r="I157" s="1342"/>
      <c r="J157" s="1341"/>
      <c r="K157" s="1159"/>
      <c r="L157" s="1342"/>
      <c r="M157" s="1131"/>
      <c r="N157" s="1110"/>
      <c r="O157" s="1111"/>
      <c r="P157" s="398"/>
      <c r="Q157" s="501"/>
      <c r="R157" s="589"/>
      <c r="S157" s="359"/>
      <c r="T157" s="563"/>
      <c r="U157" s="375"/>
      <c r="V157" s="143"/>
      <c r="W157" s="465"/>
    </row>
    <row r="158" spans="1:28" ht="15" customHeight="1" x14ac:dyDescent="0.25">
      <c r="A158" s="935"/>
      <c r="B158" s="1541"/>
      <c r="C158" s="71"/>
      <c r="D158" s="1827" t="s">
        <v>371</v>
      </c>
      <c r="E158" s="1565"/>
      <c r="F158" s="1166" t="s">
        <v>382</v>
      </c>
      <c r="G158" s="1139">
        <v>35</v>
      </c>
      <c r="H158" s="1117">
        <f>+G158</f>
        <v>35</v>
      </c>
      <c r="I158" s="1115">
        <f t="shared" ref="I158:I163" si="10">+H158-G158</f>
        <v>0</v>
      </c>
      <c r="J158" s="1117"/>
      <c r="K158" s="1114"/>
      <c r="L158" s="1115"/>
      <c r="M158" s="1175"/>
      <c r="N158" s="1149"/>
      <c r="O158" s="1176"/>
      <c r="P158" s="555" t="s">
        <v>324</v>
      </c>
      <c r="Q158" s="837">
        <v>100</v>
      </c>
      <c r="R158" s="476"/>
      <c r="S158" s="391"/>
      <c r="T158" s="476"/>
      <c r="U158" s="391"/>
      <c r="V158" s="198"/>
      <c r="W158" s="476"/>
    </row>
    <row r="159" spans="1:28" ht="15" customHeight="1" x14ac:dyDescent="0.25">
      <c r="A159" s="935"/>
      <c r="B159" s="1613"/>
      <c r="C159" s="71"/>
      <c r="D159" s="1756"/>
      <c r="E159" s="1612"/>
      <c r="F159" s="1165" t="s">
        <v>386</v>
      </c>
      <c r="G159" s="1139">
        <v>265</v>
      </c>
      <c r="H159" s="1117">
        <f>+G159</f>
        <v>265</v>
      </c>
      <c r="I159" s="1115">
        <f t="shared" si="10"/>
        <v>0</v>
      </c>
      <c r="J159" s="1117"/>
      <c r="K159" s="1114"/>
      <c r="L159" s="1115"/>
      <c r="M159" s="1117"/>
      <c r="N159" s="1114"/>
      <c r="O159" s="1118"/>
      <c r="P159" s="398"/>
      <c r="Q159" s="833"/>
      <c r="R159" s="589"/>
      <c r="S159" s="349"/>
      <c r="T159" s="589"/>
      <c r="U159" s="349"/>
      <c r="V159" s="141"/>
      <c r="W159" s="589"/>
    </row>
    <row r="160" spans="1:28" ht="15" customHeight="1" x14ac:dyDescent="0.25">
      <c r="A160" s="935"/>
      <c r="B160" s="1541"/>
      <c r="C160" s="71"/>
      <c r="D160" s="1828"/>
      <c r="E160" s="1565"/>
      <c r="F160" s="1165" t="s">
        <v>381</v>
      </c>
      <c r="G160" s="1687"/>
      <c r="H160" s="1688">
        <v>65</v>
      </c>
      <c r="I160" s="1689">
        <f t="shared" si="10"/>
        <v>65</v>
      </c>
      <c r="J160" s="1331"/>
      <c r="K160" s="1168"/>
      <c r="L160" s="1188"/>
      <c r="M160" s="1117"/>
      <c r="N160" s="1114"/>
      <c r="O160" s="1118"/>
      <c r="P160" s="835"/>
      <c r="Q160" s="526"/>
      <c r="R160" s="836"/>
      <c r="S160" s="349"/>
      <c r="T160" s="589"/>
      <c r="U160" s="349"/>
      <c r="V160" s="141"/>
      <c r="W160" s="1630"/>
    </row>
    <row r="161" spans="1:27" ht="15.75" customHeight="1" x14ac:dyDescent="0.25">
      <c r="A161" s="935"/>
      <c r="B161" s="1541"/>
      <c r="C161" s="71"/>
      <c r="D161" s="1827" t="s">
        <v>435</v>
      </c>
      <c r="E161" s="1548"/>
      <c r="F161" s="1166" t="s">
        <v>386</v>
      </c>
      <c r="G161" s="1149">
        <f>24.2+24.2</f>
        <v>48.4</v>
      </c>
      <c r="H161" s="1149">
        <f>24.2+24.2</f>
        <v>48.4</v>
      </c>
      <c r="I161" s="1150">
        <f t="shared" si="10"/>
        <v>0</v>
      </c>
      <c r="J161" s="1117"/>
      <c r="K161" s="1114"/>
      <c r="L161" s="1115"/>
      <c r="M161" s="1175"/>
      <c r="N161" s="1149"/>
      <c r="O161" s="1176"/>
      <c r="P161" s="555" t="s">
        <v>378</v>
      </c>
      <c r="Q161" s="833">
        <v>100</v>
      </c>
      <c r="R161" s="589"/>
      <c r="S161" s="391"/>
      <c r="T161" s="476"/>
      <c r="U161" s="391"/>
      <c r="V161" s="198"/>
      <c r="W161" s="1975"/>
    </row>
    <row r="162" spans="1:27" ht="15.75" customHeight="1" x14ac:dyDescent="0.25">
      <c r="A162" s="935"/>
      <c r="B162" s="1541"/>
      <c r="C162" s="71"/>
      <c r="D162" s="1756"/>
      <c r="E162" s="1565"/>
      <c r="F162" s="1167" t="s">
        <v>382</v>
      </c>
      <c r="G162" s="1168">
        <f>69.6-24.2</f>
        <v>45.4</v>
      </c>
      <c r="H162" s="1168">
        <f>69.6-24.2</f>
        <v>45.4</v>
      </c>
      <c r="I162" s="1188">
        <f t="shared" si="10"/>
        <v>0</v>
      </c>
      <c r="J162" s="1117"/>
      <c r="K162" s="1114"/>
      <c r="L162" s="1115"/>
      <c r="M162" s="1117"/>
      <c r="N162" s="1114"/>
      <c r="O162" s="1118"/>
      <c r="P162" s="835"/>
      <c r="Q162" s="526"/>
      <c r="R162" s="589"/>
      <c r="S162" s="394"/>
      <c r="T162" s="836"/>
      <c r="U162" s="394"/>
      <c r="V162" s="290"/>
      <c r="W162" s="1976"/>
    </row>
    <row r="163" spans="1:27" ht="16.5" customHeight="1" x14ac:dyDescent="0.25">
      <c r="A163" s="935"/>
      <c r="B163" s="1541"/>
      <c r="C163" s="71"/>
      <c r="D163" s="1756"/>
      <c r="E163" s="1565"/>
      <c r="F163" s="1166" t="s">
        <v>382</v>
      </c>
      <c r="G163" s="1149">
        <v>8</v>
      </c>
      <c r="H163" s="1149">
        <f>+G163</f>
        <v>8</v>
      </c>
      <c r="I163" s="1150">
        <f t="shared" si="10"/>
        <v>0</v>
      </c>
      <c r="J163" s="1175"/>
      <c r="K163" s="1149"/>
      <c r="L163" s="1150"/>
      <c r="M163" s="1175"/>
      <c r="N163" s="1149"/>
      <c r="O163" s="1176"/>
      <c r="P163" s="555" t="s">
        <v>379</v>
      </c>
      <c r="Q163" s="275">
        <v>100</v>
      </c>
      <c r="R163" s="476"/>
      <c r="S163" s="391"/>
      <c r="T163" s="476"/>
      <c r="U163" s="349"/>
      <c r="V163" s="141"/>
      <c r="W163" s="1976"/>
    </row>
    <row r="164" spans="1:27" ht="18" customHeight="1" x14ac:dyDescent="0.25">
      <c r="A164" s="935"/>
      <c r="B164" s="1541"/>
      <c r="C164" s="71"/>
      <c r="D164" s="1715"/>
      <c r="E164" s="1566"/>
      <c r="F164" s="1165"/>
      <c r="G164" s="1126"/>
      <c r="H164" s="1126"/>
      <c r="I164" s="1129"/>
      <c r="J164" s="1128"/>
      <c r="K164" s="1126"/>
      <c r="L164" s="1129"/>
      <c r="M164" s="1128"/>
      <c r="N164" s="1126"/>
      <c r="O164" s="1127"/>
      <c r="P164" s="780"/>
      <c r="Q164" s="207"/>
      <c r="R164" s="545"/>
      <c r="S164" s="350"/>
      <c r="T164" s="545"/>
      <c r="U164" s="350"/>
      <c r="V164" s="142"/>
      <c r="W164" s="1953"/>
    </row>
    <row r="165" spans="1:27" ht="15" customHeight="1" x14ac:dyDescent="0.25">
      <c r="A165" s="935"/>
      <c r="B165" s="1551"/>
      <c r="C165" s="71"/>
      <c r="D165" s="1534" t="s">
        <v>337</v>
      </c>
      <c r="E165" s="92" t="s">
        <v>41</v>
      </c>
      <c r="F165" s="1136" t="s">
        <v>381</v>
      </c>
      <c r="G165" s="1110"/>
      <c r="H165" s="1110"/>
      <c r="I165" s="1137"/>
      <c r="J165" s="1131"/>
      <c r="K165" s="1110"/>
      <c r="L165" s="1137"/>
      <c r="M165" s="1131"/>
      <c r="N165" s="1110"/>
      <c r="O165" s="1111"/>
      <c r="P165" s="398" t="s">
        <v>324</v>
      </c>
      <c r="Q165" s="564"/>
      <c r="R165" s="563"/>
      <c r="S165" s="359"/>
      <c r="T165" s="563"/>
      <c r="U165" s="359"/>
      <c r="V165" s="140"/>
      <c r="W165" s="563"/>
    </row>
    <row r="166" spans="1:27" ht="15" customHeight="1" x14ac:dyDescent="0.25">
      <c r="A166" s="935"/>
      <c r="B166" s="1551"/>
      <c r="C166" s="71"/>
      <c r="D166" s="1535"/>
      <c r="E166" s="554"/>
      <c r="F166" s="1165" t="s">
        <v>384</v>
      </c>
      <c r="G166" s="1157"/>
      <c r="H166" s="1128"/>
      <c r="I166" s="1115"/>
      <c r="J166" s="1117"/>
      <c r="K166" s="1114"/>
      <c r="L166" s="1115"/>
      <c r="M166" s="1117"/>
      <c r="N166" s="1114"/>
      <c r="O166" s="1118"/>
      <c r="P166" s="398"/>
      <c r="Q166" s="207"/>
      <c r="R166" s="545"/>
      <c r="S166" s="349"/>
      <c r="T166" s="545"/>
      <c r="U166" s="350"/>
      <c r="V166" s="142"/>
      <c r="W166" s="545"/>
    </row>
    <row r="167" spans="1:27" ht="15" customHeight="1" thickBot="1" x14ac:dyDescent="0.3">
      <c r="A167" s="936"/>
      <c r="B167" s="104"/>
      <c r="C167" s="45"/>
      <c r="D167" s="68"/>
      <c r="E167" s="514"/>
      <c r="F167" s="518" t="s">
        <v>5</v>
      </c>
      <c r="G167" s="337">
        <f>+G15+G16+G17+G18+G19+G20+G21+G22+G23+G24+G25+G26+G27+G28</f>
        <v>23729.9</v>
      </c>
      <c r="H167" s="337">
        <f>+H15+H16+H17+H18+H19+H20+H21+H22+H23+H24+H25+H26+H27+H28</f>
        <v>24005.4</v>
      </c>
      <c r="I167" s="956">
        <f t="shared" ref="I167" si="11">+I15+I16+I17+I18+I19+I20+I21+I22+I23+I24+I25+I26+I27+I28</f>
        <v>275.5</v>
      </c>
      <c r="J167" s="515">
        <f t="shared" ref="J167:O167" si="12">+J15+J16+J17+J18+J19+J20+J21+J22+J23+J24+J25+J26+J28</f>
        <v>37171.9</v>
      </c>
      <c r="K167" s="337">
        <f t="shared" si="12"/>
        <v>37417.199999999997</v>
      </c>
      <c r="L167" s="523">
        <f t="shared" si="12"/>
        <v>245.3</v>
      </c>
      <c r="M167" s="790">
        <f t="shared" si="12"/>
        <v>26026.6</v>
      </c>
      <c r="N167" s="337">
        <f t="shared" si="12"/>
        <v>25436.6</v>
      </c>
      <c r="O167" s="790">
        <f t="shared" si="12"/>
        <v>-590</v>
      </c>
      <c r="P167" s="963"/>
      <c r="Q167" s="288"/>
      <c r="R167" s="288"/>
      <c r="S167" s="288"/>
      <c r="T167" s="288"/>
      <c r="U167" s="288"/>
      <c r="V167" s="288"/>
      <c r="W167" s="70"/>
    </row>
    <row r="168" spans="1:27" ht="15" customHeight="1" thickBot="1" x14ac:dyDescent="0.3">
      <c r="A168" s="937" t="s">
        <v>4</v>
      </c>
      <c r="B168" s="56" t="s">
        <v>4</v>
      </c>
      <c r="C168" s="1839" t="s">
        <v>7</v>
      </c>
      <c r="D168" s="1840"/>
      <c r="E168" s="1840"/>
      <c r="F168" s="1841"/>
      <c r="G168" s="25">
        <f>G167</f>
        <v>23729.9</v>
      </c>
      <c r="H168" s="25">
        <f>H167</f>
        <v>24005.4</v>
      </c>
      <c r="I168" s="950">
        <f>I167</f>
        <v>275.5</v>
      </c>
      <c r="J168" s="951">
        <f t="shared" ref="J168:M168" si="13">J167</f>
        <v>37171.9</v>
      </c>
      <c r="K168" s="25">
        <f t="shared" ref="K168" si="14">K167</f>
        <v>37417.199999999997</v>
      </c>
      <c r="L168" s="950">
        <f t="shared" ref="L168" si="15">L167</f>
        <v>245.3</v>
      </c>
      <c r="M168" s="951">
        <f t="shared" si="13"/>
        <v>26026.6</v>
      </c>
      <c r="N168" s="25">
        <f t="shared" ref="N168" si="16">N167</f>
        <v>25436.6</v>
      </c>
      <c r="O168" s="225">
        <f t="shared" ref="O168" si="17">O167</f>
        <v>-590</v>
      </c>
      <c r="P168" s="1567"/>
      <c r="Q168" s="1568"/>
      <c r="R168" s="1568"/>
      <c r="S168" s="320"/>
      <c r="T168" s="1568"/>
      <c r="U168" s="320"/>
      <c r="V168" s="1568"/>
      <c r="W168" s="1569"/>
    </row>
    <row r="169" spans="1:27" ht="15" customHeight="1" thickBot="1" x14ac:dyDescent="0.3">
      <c r="A169" s="937" t="s">
        <v>4</v>
      </c>
      <c r="B169" s="56" t="s">
        <v>6</v>
      </c>
      <c r="C169" s="1842" t="s">
        <v>28</v>
      </c>
      <c r="D169" s="1842"/>
      <c r="E169" s="1842"/>
      <c r="F169" s="1842"/>
      <c r="G169" s="1843"/>
      <c r="H169" s="1843"/>
      <c r="I169" s="1843"/>
      <c r="J169" s="1843"/>
      <c r="K169" s="1843"/>
      <c r="L169" s="1843"/>
      <c r="M169" s="1843"/>
      <c r="N169" s="1843"/>
      <c r="O169" s="1843"/>
      <c r="P169" s="1842"/>
      <c r="Q169" s="1844"/>
      <c r="R169" s="1844"/>
      <c r="S169" s="1844"/>
      <c r="T169" s="1844"/>
      <c r="U169" s="1844"/>
      <c r="V169" s="1570"/>
      <c r="W169" s="892"/>
      <c r="X169" s="434"/>
      <c r="Y169" s="889" t="s">
        <v>431</v>
      </c>
    </row>
    <row r="170" spans="1:27" ht="15.65" customHeight="1" x14ac:dyDescent="0.25">
      <c r="A170" s="938" t="s">
        <v>4</v>
      </c>
      <c r="B170" s="55" t="s">
        <v>6</v>
      </c>
      <c r="C170" s="69" t="s">
        <v>4</v>
      </c>
      <c r="D170" s="1575" t="s">
        <v>47</v>
      </c>
      <c r="E170" s="1847" t="s">
        <v>205</v>
      </c>
      <c r="F170" s="1095" t="s">
        <v>22</v>
      </c>
      <c r="G170" s="1655">
        <f>5385.8-20</f>
        <v>5365.8</v>
      </c>
      <c r="H170" s="1656">
        <f>5385.8-20+361+323.7+106.6</f>
        <v>6157.1</v>
      </c>
      <c r="I170" s="1329">
        <f>+H170-G170</f>
        <v>791.3</v>
      </c>
      <c r="J170" s="1657">
        <v>5395.3</v>
      </c>
      <c r="K170" s="1657">
        <f>5395.3+317.6</f>
        <v>5712.9</v>
      </c>
      <c r="L170" s="1329">
        <f>+K170-J170</f>
        <v>317.60000000000002</v>
      </c>
      <c r="M170" s="1455">
        <v>5475.1</v>
      </c>
      <c r="N170" s="1655">
        <f>5475.1+317.6</f>
        <v>5792.7</v>
      </c>
      <c r="O170" s="1329">
        <f>+N170-M170</f>
        <v>317.60000000000002</v>
      </c>
      <c r="P170" s="809"/>
      <c r="Q170" s="810"/>
      <c r="R170" s="812"/>
      <c r="S170" s="887"/>
      <c r="T170" s="812"/>
      <c r="U170" s="887"/>
      <c r="V170" s="915"/>
      <c r="W170" s="1471"/>
      <c r="Y170" s="16">
        <f>+G176+G184+G187+G189+G191+G193+G205</f>
        <v>5365.8</v>
      </c>
      <c r="Z170" s="16">
        <f>+J176+J184+J187+J189+J191+J193+J205</f>
        <v>5395.3</v>
      </c>
      <c r="AA170" s="16">
        <f>+M176+M184+M187+M189+M191+M193+M205</f>
        <v>5475.1</v>
      </c>
    </row>
    <row r="171" spans="1:27" ht="15.65" customHeight="1" x14ac:dyDescent="0.25">
      <c r="A171" s="1595"/>
      <c r="B171" s="1541"/>
      <c r="C171" s="1542"/>
      <c r="D171" s="801"/>
      <c r="E171" s="1848"/>
      <c r="F171" s="1095" t="s">
        <v>57</v>
      </c>
      <c r="G171" s="1094">
        <v>105.4</v>
      </c>
      <c r="H171" s="1305">
        <f>105.4-53.8</f>
        <v>51.6</v>
      </c>
      <c r="I171" s="1304">
        <f>+H171-G171</f>
        <v>-53.8</v>
      </c>
      <c r="J171" s="1305">
        <v>1555.4</v>
      </c>
      <c r="K171" s="1305">
        <f>1555.4-300</f>
        <v>1255.4000000000001</v>
      </c>
      <c r="L171" s="1304">
        <f>+K171-J171</f>
        <v>-300</v>
      </c>
      <c r="M171" s="1305">
        <v>1235.4000000000001</v>
      </c>
      <c r="N171" s="1305">
        <f>1235.4+501.3</f>
        <v>1736.7</v>
      </c>
      <c r="O171" s="1307">
        <f>+N171-M171</f>
        <v>501.3</v>
      </c>
      <c r="P171" s="20"/>
      <c r="Q171" s="913"/>
      <c r="R171" s="983"/>
      <c r="S171" s="981"/>
      <c r="T171" s="983"/>
      <c r="U171" s="981"/>
      <c r="V171" s="805"/>
      <c r="W171" s="1599"/>
      <c r="Y171" s="16">
        <f>+G178+G199+G201+G202+G207+G209</f>
        <v>99.2</v>
      </c>
      <c r="Z171" s="16">
        <f>+J178+J199+J201+J202+J207+J209</f>
        <v>1555.4</v>
      </c>
      <c r="AA171" s="16">
        <f>+M178+M199+M201+M202+M207+M209</f>
        <v>1235.4000000000001</v>
      </c>
    </row>
    <row r="172" spans="1:27" ht="15.65" customHeight="1" x14ac:dyDescent="0.25">
      <c r="A172" s="1595"/>
      <c r="B172" s="1541"/>
      <c r="C172" s="1542"/>
      <c r="D172" s="801"/>
      <c r="E172" s="1848"/>
      <c r="F172" s="1095" t="s">
        <v>50</v>
      </c>
      <c r="G172" s="1305">
        <f>422.9+24.2+3.7+292.4</f>
        <v>743.2</v>
      </c>
      <c r="H172" s="1305">
        <f>422.9+24.2+3.7+292.4+211.5</f>
        <v>954.7</v>
      </c>
      <c r="I172" s="1304">
        <f t="shared" ref="I172:I173" si="18">+H172-G172</f>
        <v>211.5</v>
      </c>
      <c r="J172" s="1305"/>
      <c r="K172" s="1305"/>
      <c r="L172" s="1304"/>
      <c r="M172" s="1559"/>
      <c r="N172" s="1559"/>
      <c r="O172" s="1596"/>
      <c r="P172" s="20"/>
      <c r="Q172" s="913"/>
      <c r="R172" s="983"/>
      <c r="S172" s="981"/>
      <c r="T172" s="983"/>
      <c r="U172" s="981"/>
      <c r="V172" s="805"/>
      <c r="W172" s="1599"/>
      <c r="Y172" s="16">
        <f>+G177+G185</f>
        <v>739.5</v>
      </c>
      <c r="Z172" s="16">
        <f>+J177</f>
        <v>0</v>
      </c>
      <c r="AA172" s="16">
        <f>+M177</f>
        <v>0</v>
      </c>
    </row>
    <row r="173" spans="1:27" ht="15.65" customHeight="1" x14ac:dyDescent="0.25">
      <c r="A173" s="1595"/>
      <c r="B173" s="1541"/>
      <c r="C173" s="1542"/>
      <c r="D173" s="801"/>
      <c r="E173" s="802"/>
      <c r="F173" s="20" t="s">
        <v>59</v>
      </c>
      <c r="G173" s="1589">
        <v>48.4</v>
      </c>
      <c r="H173" s="1559">
        <v>48.4</v>
      </c>
      <c r="I173" s="1554">
        <f t="shared" si="18"/>
        <v>0</v>
      </c>
      <c r="J173" s="1305"/>
      <c r="K173" s="1305">
        <v>57.7</v>
      </c>
      <c r="L173" s="1304">
        <f>+K173-J173</f>
        <v>57.7</v>
      </c>
      <c r="M173" s="1559"/>
      <c r="N173" s="1559"/>
      <c r="O173" s="1596"/>
      <c r="P173" s="20"/>
      <c r="Q173" s="913"/>
      <c r="R173" s="983"/>
      <c r="S173" s="981"/>
      <c r="T173" s="983"/>
      <c r="U173" s="981"/>
      <c r="V173" s="805"/>
      <c r="W173" s="1599"/>
      <c r="Y173" s="16">
        <f>+G198+G200+G204</f>
        <v>48.4</v>
      </c>
      <c r="Z173" s="16">
        <f>+J198+J200+J203</f>
        <v>0</v>
      </c>
      <c r="AA173" s="16">
        <f>+M198+M200+M203</f>
        <v>0</v>
      </c>
    </row>
    <row r="174" spans="1:27" ht="15.65" customHeight="1" x14ac:dyDescent="0.25">
      <c r="A174" s="1595"/>
      <c r="B174" s="1541"/>
      <c r="C174" s="1542"/>
      <c r="D174" s="801"/>
      <c r="E174" s="808"/>
      <c r="F174" s="20" t="s">
        <v>38</v>
      </c>
      <c r="G174" s="38"/>
      <c r="H174" s="1559"/>
      <c r="I174" s="1554"/>
      <c r="J174" s="1559">
        <v>1375</v>
      </c>
      <c r="K174" s="1559">
        <v>1375</v>
      </c>
      <c r="L174" s="1554">
        <f>+K174-J174</f>
        <v>0</v>
      </c>
      <c r="M174" s="1559">
        <v>1375</v>
      </c>
      <c r="N174" s="1559">
        <v>1375</v>
      </c>
      <c r="O174" s="1596">
        <f>+N174-M174</f>
        <v>0</v>
      </c>
      <c r="P174" s="124"/>
      <c r="Q174" s="913"/>
      <c r="R174" s="983"/>
      <c r="S174" s="981"/>
      <c r="T174" s="983"/>
      <c r="U174" s="981"/>
      <c r="V174" s="805"/>
      <c r="W174" s="1599"/>
      <c r="Y174" s="16">
        <f>+G210</f>
        <v>0</v>
      </c>
      <c r="Z174" s="16">
        <f>+J210</f>
        <v>1375</v>
      </c>
      <c r="AA174" s="16">
        <f>+M210</f>
        <v>1375</v>
      </c>
    </row>
    <row r="175" spans="1:27" ht="18" customHeight="1" x14ac:dyDescent="0.25">
      <c r="A175" s="1595"/>
      <c r="B175" s="1541"/>
      <c r="C175" s="1542"/>
      <c r="D175" s="806" t="s">
        <v>43</v>
      </c>
      <c r="E175" s="1608"/>
      <c r="F175" s="528"/>
      <c r="G175" s="368"/>
      <c r="H175" s="949"/>
      <c r="I175" s="509"/>
      <c r="J175" s="949"/>
      <c r="K175" s="250"/>
      <c r="L175" s="509"/>
      <c r="M175" s="949"/>
      <c r="N175" s="949"/>
      <c r="O175" s="151"/>
      <c r="P175" s="464"/>
      <c r="Q175" s="914"/>
      <c r="R175" s="984"/>
      <c r="S175" s="912"/>
      <c r="T175" s="984"/>
      <c r="U175" s="949"/>
      <c r="V175" s="151"/>
      <c r="W175" s="1957" t="s">
        <v>502</v>
      </c>
      <c r="Y175" s="16">
        <f>+Y170+Y171+Y172+Y173+Y174</f>
        <v>6252.9</v>
      </c>
      <c r="Z175" s="16">
        <f t="shared" ref="Z175:AA175" si="19">+Z170+Z171+Z172+Z173+Z174</f>
        <v>8325.7000000000007</v>
      </c>
      <c r="AA175" s="16">
        <f t="shared" si="19"/>
        <v>8085.5</v>
      </c>
    </row>
    <row r="176" spans="1:27" ht="16.5" customHeight="1" x14ac:dyDescent="0.25">
      <c r="A176" s="1595"/>
      <c r="B176" s="1541"/>
      <c r="C176" s="1542"/>
      <c r="D176" s="1846" t="s">
        <v>407</v>
      </c>
      <c r="E176" s="118" t="s">
        <v>178</v>
      </c>
      <c r="F176" s="1095" t="s">
        <v>381</v>
      </c>
      <c r="G176" s="1305">
        <f>4104.9-445-80-760.2</f>
        <v>2819.7</v>
      </c>
      <c r="H176" s="1305">
        <f>4104.9-445-80-760.2+361</f>
        <v>3180.7</v>
      </c>
      <c r="I176" s="1304">
        <f>+H176-G176</f>
        <v>361</v>
      </c>
      <c r="J176" s="1559">
        <f>5048.4+62.4-60.9</f>
        <v>5049.8999999999996</v>
      </c>
      <c r="K176" s="1553">
        <f>+J176</f>
        <v>5049.8999999999996</v>
      </c>
      <c r="L176" s="1554">
        <f>+K176-J176</f>
        <v>0</v>
      </c>
      <c r="M176" s="1559">
        <f>5333.4+62.4-279.1</f>
        <v>5116.7</v>
      </c>
      <c r="N176" s="1559">
        <f>+M176</f>
        <v>5116.7</v>
      </c>
      <c r="O176" s="1596">
        <f>+N176-M176</f>
        <v>0</v>
      </c>
      <c r="P176" s="406" t="s">
        <v>36</v>
      </c>
      <c r="Q176" s="340">
        <v>3</v>
      </c>
      <c r="R176" s="524"/>
      <c r="S176" s="504">
        <v>4.8</v>
      </c>
      <c r="T176" s="524"/>
      <c r="U176" s="504">
        <v>5</v>
      </c>
      <c r="V176" s="218"/>
      <c r="W176" s="2069"/>
      <c r="Y176" s="16">
        <f>+Y175-G212</f>
        <v>-9.9</v>
      </c>
      <c r="Z176" s="16">
        <f>+Z175-J212</f>
        <v>0</v>
      </c>
      <c r="AA176" s="16">
        <f>+AA175-M212</f>
        <v>0</v>
      </c>
    </row>
    <row r="177" spans="1:25" ht="16.5" customHeight="1" x14ac:dyDescent="0.25">
      <c r="A177" s="1595"/>
      <c r="B177" s="1541"/>
      <c r="C177" s="1542"/>
      <c r="D177" s="1846"/>
      <c r="E177" s="1565"/>
      <c r="F177" s="1116" t="s">
        <v>382</v>
      </c>
      <c r="G177" s="1117">
        <f>422.9-405</f>
        <v>17.899999999999999</v>
      </c>
      <c r="H177" s="1117">
        <f>422.9-405</f>
        <v>17.899999999999999</v>
      </c>
      <c r="I177" s="1115">
        <f>+H177-G177</f>
        <v>0</v>
      </c>
      <c r="J177" s="1117"/>
      <c r="K177" s="1114"/>
      <c r="L177" s="1115"/>
      <c r="M177" s="1117"/>
      <c r="N177" s="1117"/>
      <c r="O177" s="1118"/>
      <c r="P177" s="1582" t="s">
        <v>85</v>
      </c>
      <c r="Q177" s="1589">
        <v>1.5</v>
      </c>
      <c r="R177" s="1554"/>
      <c r="S177" s="942">
        <v>3</v>
      </c>
      <c r="T177" s="988"/>
      <c r="U177" s="504">
        <v>3</v>
      </c>
      <c r="V177" s="217"/>
      <c r="W177" s="2069"/>
    </row>
    <row r="178" spans="1:25" ht="25" customHeight="1" x14ac:dyDescent="0.25">
      <c r="A178" s="1595"/>
      <c r="B178" s="1541"/>
      <c r="C178" s="1542"/>
      <c r="D178" s="170" t="s">
        <v>280</v>
      </c>
      <c r="E178" s="1565"/>
      <c r="F178" s="1116" t="s">
        <v>394</v>
      </c>
      <c r="G178" s="1139">
        <f>165.6-102.4-33.3</f>
        <v>29.9</v>
      </c>
      <c r="H178" s="1117">
        <f>+G178</f>
        <v>29.9</v>
      </c>
      <c r="I178" s="1115">
        <f>+H178-G178</f>
        <v>0</v>
      </c>
      <c r="J178" s="1117">
        <f t="shared" ref="J178:M178" si="20">160-100</f>
        <v>60</v>
      </c>
      <c r="K178" s="1114">
        <f>+J178</f>
        <v>60</v>
      </c>
      <c r="L178" s="1115">
        <f>+K178-J178</f>
        <v>0</v>
      </c>
      <c r="M178" s="1117">
        <f t="shared" si="20"/>
        <v>60</v>
      </c>
      <c r="N178" s="1117">
        <f>+M178</f>
        <v>60</v>
      </c>
      <c r="O178" s="1118">
        <f>+N178-M178</f>
        <v>0</v>
      </c>
      <c r="P178" s="406" t="s">
        <v>148</v>
      </c>
      <c r="Q178" s="340">
        <v>2</v>
      </c>
      <c r="R178" s="524"/>
      <c r="S178" s="504">
        <v>2</v>
      </c>
      <c r="T178" s="524"/>
      <c r="U178" s="987">
        <v>2</v>
      </c>
      <c r="V178" s="917"/>
      <c r="W178" s="2069"/>
      <c r="Y178" s="16">
        <f>+I176+I177+I184+I185+I193+I203</f>
        <v>896.2</v>
      </c>
    </row>
    <row r="179" spans="1:25" ht="26.25" customHeight="1" x14ac:dyDescent="0.25">
      <c r="A179" s="1595"/>
      <c r="B179" s="1541"/>
      <c r="C179" s="1542"/>
      <c r="D179" s="60" t="s">
        <v>281</v>
      </c>
      <c r="E179" s="1565"/>
      <c r="F179" s="1116"/>
      <c r="G179" s="1139"/>
      <c r="H179" s="1117"/>
      <c r="I179" s="1115"/>
      <c r="J179" s="1117"/>
      <c r="K179" s="1114"/>
      <c r="L179" s="1115"/>
      <c r="M179" s="1117"/>
      <c r="N179" s="1117"/>
      <c r="O179" s="1118"/>
      <c r="P179" s="1582" t="s">
        <v>86</v>
      </c>
      <c r="Q179" s="340">
        <v>13</v>
      </c>
      <c r="R179" s="1555"/>
      <c r="S179" s="982">
        <v>23</v>
      </c>
      <c r="T179" s="989"/>
      <c r="U179" s="504">
        <v>23</v>
      </c>
      <c r="V179" s="218"/>
      <c r="W179" s="2069"/>
    </row>
    <row r="180" spans="1:25" ht="26.25" customHeight="1" x14ac:dyDescent="0.25">
      <c r="A180" s="1595"/>
      <c r="B180" s="1541"/>
      <c r="C180" s="1542"/>
      <c r="D180" s="1546" t="s">
        <v>282</v>
      </c>
      <c r="E180" s="1565"/>
      <c r="F180" s="20"/>
      <c r="G180" s="1589"/>
      <c r="H180" s="1559"/>
      <c r="I180" s="1554"/>
      <c r="J180" s="1559"/>
      <c r="K180" s="1553"/>
      <c r="L180" s="1554"/>
      <c r="M180" s="1559"/>
      <c r="N180" s="1559"/>
      <c r="O180" s="1596"/>
      <c r="P180" s="1584" t="s">
        <v>145</v>
      </c>
      <c r="Q180" s="837">
        <v>0</v>
      </c>
      <c r="R180" s="476"/>
      <c r="S180" s="391">
        <v>4</v>
      </c>
      <c r="T180" s="476"/>
      <c r="U180" s="349">
        <v>4</v>
      </c>
      <c r="V180" s="141"/>
      <c r="W180" s="2069"/>
    </row>
    <row r="181" spans="1:25" ht="15.75" customHeight="1" x14ac:dyDescent="0.25">
      <c r="A181" s="1595"/>
      <c r="B181" s="1541"/>
      <c r="C181" s="1542"/>
      <c r="D181" s="1830" t="s">
        <v>283</v>
      </c>
      <c r="E181" s="1565"/>
      <c r="F181" s="20"/>
      <c r="G181" s="1589"/>
      <c r="H181" s="1559"/>
      <c r="I181" s="1554"/>
      <c r="J181" s="1559"/>
      <c r="K181" s="1553"/>
      <c r="L181" s="1554"/>
      <c r="M181" s="1559"/>
      <c r="N181" s="1559"/>
      <c r="O181" s="1596"/>
      <c r="P181" s="1958"/>
      <c r="Q181" s="833"/>
      <c r="R181" s="589"/>
      <c r="S181" s="349"/>
      <c r="T181" s="589"/>
      <c r="U181" s="349"/>
      <c r="V181" s="141"/>
      <c r="W181" s="2069"/>
    </row>
    <row r="182" spans="1:25" ht="48.75" customHeight="1" x14ac:dyDescent="0.25">
      <c r="A182" s="1595"/>
      <c r="B182" s="1541"/>
      <c r="C182" s="1542"/>
      <c r="D182" s="1808"/>
      <c r="E182" s="1566"/>
      <c r="F182" s="20"/>
      <c r="G182" s="369"/>
      <c r="H182" s="1065"/>
      <c r="I182" s="1066"/>
      <c r="J182" s="1065"/>
      <c r="K182" s="251"/>
      <c r="L182" s="1066"/>
      <c r="M182" s="1065"/>
      <c r="N182" s="1065"/>
      <c r="O182" s="246"/>
      <c r="P182" s="2063"/>
      <c r="Q182" s="833"/>
      <c r="R182" s="589"/>
      <c r="S182" s="349"/>
      <c r="T182" s="589"/>
      <c r="U182" s="349"/>
      <c r="V182" s="141"/>
      <c r="W182" s="2070"/>
    </row>
    <row r="183" spans="1:25" ht="14.25" customHeight="1" x14ac:dyDescent="0.25">
      <c r="A183" s="1595"/>
      <c r="B183" s="1541"/>
      <c r="C183" s="1542"/>
      <c r="D183" s="188" t="s">
        <v>92</v>
      </c>
      <c r="E183" s="851"/>
      <c r="F183" s="123"/>
      <c r="G183" s="370"/>
      <c r="H183" s="1067"/>
      <c r="I183" s="1068"/>
      <c r="J183" s="1067"/>
      <c r="K183" s="252"/>
      <c r="L183" s="1068"/>
      <c r="M183" s="1067"/>
      <c r="N183" s="1067"/>
      <c r="O183" s="247"/>
      <c r="P183" s="1583"/>
      <c r="Q183" s="447"/>
      <c r="R183" s="985"/>
      <c r="S183" s="416"/>
      <c r="T183" s="985"/>
      <c r="U183" s="416"/>
      <c r="V183" s="289"/>
      <c r="W183" s="1599"/>
    </row>
    <row r="184" spans="1:25" ht="16.5" customHeight="1" x14ac:dyDescent="0.25">
      <c r="A184" s="1595"/>
      <c r="B184" s="1541"/>
      <c r="C184" s="1542"/>
      <c r="D184" s="1835" t="s">
        <v>243</v>
      </c>
      <c r="E184" s="1608"/>
      <c r="F184" s="1644" t="s">
        <v>381</v>
      </c>
      <c r="G184" s="1642">
        <f>938+445+80+760.2</f>
        <v>2223.1999999999998</v>
      </c>
      <c r="H184" s="1642">
        <f>938+445+80+760.2+435.2-67.5-144+100</f>
        <v>2546.9</v>
      </c>
      <c r="I184" s="1643">
        <f>+H184-G184</f>
        <v>323.7</v>
      </c>
      <c r="J184" s="505"/>
      <c r="K184" s="236"/>
      <c r="L184" s="433"/>
      <c r="M184" s="505"/>
      <c r="N184" s="505"/>
      <c r="O184" s="217"/>
      <c r="P184" s="1591" t="s">
        <v>91</v>
      </c>
      <c r="Q184" s="837">
        <v>58</v>
      </c>
      <c r="R184" s="476"/>
      <c r="S184" s="391"/>
      <c r="T184" s="476"/>
      <c r="U184" s="391"/>
      <c r="V184" s="198"/>
      <c r="W184" s="2068" t="s">
        <v>503</v>
      </c>
    </row>
    <row r="185" spans="1:25" ht="16.5" customHeight="1" x14ac:dyDescent="0.25">
      <c r="A185" s="1595"/>
      <c r="B185" s="1541"/>
      <c r="C185" s="1542"/>
      <c r="D185" s="2064"/>
      <c r="E185" s="1608"/>
      <c r="F185" s="1095" t="s">
        <v>382</v>
      </c>
      <c r="G185" s="1305">
        <f>405+24.2+292.4</f>
        <v>721.6</v>
      </c>
      <c r="H185" s="1305">
        <f>405+24.2+292.4+67.5+144</f>
        <v>933.1</v>
      </c>
      <c r="I185" s="1304">
        <f>+H185-G185</f>
        <v>211.5</v>
      </c>
      <c r="J185" s="1559"/>
      <c r="K185" s="1553"/>
      <c r="L185" s="1554"/>
      <c r="M185" s="1559"/>
      <c r="N185" s="1559"/>
      <c r="O185" s="1596"/>
      <c r="P185" s="1592"/>
      <c r="Q185" s="833"/>
      <c r="R185" s="589"/>
      <c r="S185" s="349"/>
      <c r="T185" s="589"/>
      <c r="U185" s="349"/>
      <c r="V185" s="141"/>
      <c r="W185" s="1958"/>
    </row>
    <row r="186" spans="1:25" ht="136.5" customHeight="1" x14ac:dyDescent="0.25">
      <c r="A186" s="1595"/>
      <c r="B186" s="1541"/>
      <c r="C186" s="1542"/>
      <c r="D186" s="1836"/>
      <c r="E186" s="852"/>
      <c r="F186" s="1645"/>
      <c r="G186" s="1590"/>
      <c r="H186" s="1560"/>
      <c r="I186" s="1555"/>
      <c r="J186" s="1560"/>
      <c r="K186" s="1557"/>
      <c r="L186" s="1555"/>
      <c r="M186" s="1560"/>
      <c r="N186" s="1560"/>
      <c r="O186" s="1597"/>
      <c r="P186" s="1607"/>
      <c r="Q186" s="526"/>
      <c r="R186" s="836"/>
      <c r="S186" s="394"/>
      <c r="T186" s="836"/>
      <c r="U186" s="394"/>
      <c r="V186" s="290"/>
      <c r="W186" s="1963"/>
    </row>
    <row r="187" spans="1:25" ht="27" customHeight="1" x14ac:dyDescent="0.25">
      <c r="A187" s="1595"/>
      <c r="B187" s="1541"/>
      <c r="C187" s="1542"/>
      <c r="D187" s="1835" t="s">
        <v>93</v>
      </c>
      <c r="E187" s="1608"/>
      <c r="F187" s="1095" t="s">
        <v>381</v>
      </c>
      <c r="G187" s="1094">
        <v>93.4</v>
      </c>
      <c r="H187" s="1305">
        <f>+G187+106.6</f>
        <v>200</v>
      </c>
      <c r="I187" s="1304">
        <f>+H187-G187</f>
        <v>106.6</v>
      </c>
      <c r="J187" s="1305">
        <v>93.4</v>
      </c>
      <c r="K187" s="1303">
        <v>411</v>
      </c>
      <c r="L187" s="1304">
        <f>+K187-J187</f>
        <v>317.60000000000002</v>
      </c>
      <c r="M187" s="1305">
        <v>93.4</v>
      </c>
      <c r="N187" s="1303">
        <v>411</v>
      </c>
      <c r="O187" s="1304">
        <f>+N187-M187</f>
        <v>317.60000000000002</v>
      </c>
      <c r="P187" s="1592" t="s">
        <v>112</v>
      </c>
      <c r="Q187" s="916">
        <v>18</v>
      </c>
      <c r="R187" s="986"/>
      <c r="S187" s="511">
        <v>18</v>
      </c>
      <c r="T187" s="986"/>
      <c r="U187" s="511">
        <v>18</v>
      </c>
      <c r="V187" s="291"/>
      <c r="W187" s="2068" t="s">
        <v>504</v>
      </c>
    </row>
    <row r="188" spans="1:25" ht="57" customHeight="1" x14ac:dyDescent="0.25">
      <c r="A188" s="1595"/>
      <c r="B188" s="1541"/>
      <c r="C188" s="1542"/>
      <c r="D188" s="1836"/>
      <c r="E188" s="1608"/>
      <c r="F188" s="548"/>
      <c r="G188" s="1590"/>
      <c r="H188" s="1560"/>
      <c r="I188" s="1555"/>
      <c r="J188" s="1560"/>
      <c r="K188" s="1557"/>
      <c r="L188" s="1555"/>
      <c r="M188" s="1560"/>
      <c r="N188" s="1560"/>
      <c r="O188" s="1597"/>
      <c r="P188" s="1593"/>
      <c r="Q188" s="526"/>
      <c r="R188" s="836"/>
      <c r="S188" s="394"/>
      <c r="T188" s="836"/>
      <c r="U188" s="394"/>
      <c r="V188" s="290"/>
      <c r="W188" s="1963"/>
    </row>
    <row r="189" spans="1:25" ht="16.5" customHeight="1" x14ac:dyDescent="0.25">
      <c r="A189" s="1595"/>
      <c r="B189" s="1541"/>
      <c r="C189" s="1542"/>
      <c r="D189" s="1837" t="s">
        <v>244</v>
      </c>
      <c r="E189" s="850" t="s">
        <v>178</v>
      </c>
      <c r="F189" s="1116" t="s">
        <v>381</v>
      </c>
      <c r="G189" s="1139">
        <v>70</v>
      </c>
      <c r="H189" s="1117">
        <f>+G189</f>
        <v>70</v>
      </c>
      <c r="I189" s="1115">
        <f>+H189-G189</f>
        <v>0</v>
      </c>
      <c r="J189" s="1117">
        <v>70</v>
      </c>
      <c r="K189" s="1114">
        <f>+J189</f>
        <v>70</v>
      </c>
      <c r="L189" s="1115">
        <f>+K189-J189</f>
        <v>0</v>
      </c>
      <c r="M189" s="1117">
        <v>70</v>
      </c>
      <c r="N189" s="1117">
        <f>+M189</f>
        <v>70</v>
      </c>
      <c r="O189" s="1118">
        <f>+N189-M189</f>
        <v>0</v>
      </c>
      <c r="P189" s="1958" t="s">
        <v>359</v>
      </c>
      <c r="Q189" s="833">
        <v>2</v>
      </c>
      <c r="R189" s="589"/>
      <c r="S189" s="349">
        <v>2</v>
      </c>
      <c r="T189" s="589"/>
      <c r="U189" s="349">
        <v>2</v>
      </c>
      <c r="V189" s="141"/>
      <c r="W189" s="1599"/>
    </row>
    <row r="190" spans="1:25" ht="26.25" customHeight="1" x14ac:dyDescent="0.25">
      <c r="A190" s="1595"/>
      <c r="B190" s="1541"/>
      <c r="C190" s="1542"/>
      <c r="D190" s="1838"/>
      <c r="E190" s="1608"/>
      <c r="F190" s="1124"/>
      <c r="G190" s="1157"/>
      <c r="H190" s="1128"/>
      <c r="I190" s="1129"/>
      <c r="J190" s="1128"/>
      <c r="K190" s="1126"/>
      <c r="L190" s="1129"/>
      <c r="M190" s="1128"/>
      <c r="N190" s="1128"/>
      <c r="O190" s="1127"/>
      <c r="P190" s="2001"/>
      <c r="Q190" s="681"/>
      <c r="R190" s="545"/>
      <c r="S190" s="350"/>
      <c r="T190" s="545"/>
      <c r="U190" s="350"/>
      <c r="V190" s="142"/>
      <c r="W190" s="407"/>
    </row>
    <row r="191" spans="1:25" ht="18" customHeight="1" x14ac:dyDescent="0.25">
      <c r="A191" s="1998"/>
      <c r="B191" s="1790"/>
      <c r="C191" s="1755"/>
      <c r="D191" s="1775" t="s">
        <v>37</v>
      </c>
      <c r="E191" s="1856"/>
      <c r="F191" s="1116" t="s">
        <v>381</v>
      </c>
      <c r="G191" s="1139">
        <v>59.5</v>
      </c>
      <c r="H191" s="1117">
        <f>+G191</f>
        <v>59.5</v>
      </c>
      <c r="I191" s="1115">
        <f>+H191-G191</f>
        <v>0</v>
      </c>
      <c r="J191" s="1117">
        <v>62</v>
      </c>
      <c r="K191" s="1114">
        <f>+J191</f>
        <v>62</v>
      </c>
      <c r="L191" s="1115">
        <f>+K191-J191</f>
        <v>0</v>
      </c>
      <c r="M191" s="1117">
        <v>65</v>
      </c>
      <c r="N191" s="1117">
        <f>+M191</f>
        <v>65</v>
      </c>
      <c r="O191" s="1118">
        <f>+N191-M191</f>
        <v>0</v>
      </c>
      <c r="P191" s="2009" t="s">
        <v>45</v>
      </c>
      <c r="Q191" s="2058" t="s">
        <v>204</v>
      </c>
      <c r="R191" s="2050"/>
      <c r="S191" s="2060" t="s">
        <v>204</v>
      </c>
      <c r="T191" s="2052"/>
      <c r="U191" s="2062"/>
      <c r="V191" s="2056"/>
      <c r="W191" s="1853"/>
    </row>
    <row r="192" spans="1:25" ht="18" customHeight="1" x14ac:dyDescent="0.25">
      <c r="A192" s="1998"/>
      <c r="B192" s="1790"/>
      <c r="C192" s="1755"/>
      <c r="D192" s="1855"/>
      <c r="E192" s="1857"/>
      <c r="F192" s="1124"/>
      <c r="G192" s="1157"/>
      <c r="H192" s="1128"/>
      <c r="I192" s="1129"/>
      <c r="J192" s="1128"/>
      <c r="K192" s="1126"/>
      <c r="L192" s="1129"/>
      <c r="M192" s="1128"/>
      <c r="N192" s="1128"/>
      <c r="O192" s="1127"/>
      <c r="P192" s="2010"/>
      <c r="Q192" s="2059"/>
      <c r="R192" s="2051"/>
      <c r="S192" s="2061"/>
      <c r="T192" s="1854"/>
      <c r="U192" s="2061"/>
      <c r="V192" s="2057"/>
      <c r="W192" s="1854"/>
    </row>
    <row r="193" spans="1:28" ht="22" customHeight="1" x14ac:dyDescent="0.25">
      <c r="A193" s="1998"/>
      <c r="B193" s="1754"/>
      <c r="C193" s="1755"/>
      <c r="D193" s="1858" t="s">
        <v>140</v>
      </c>
      <c r="E193" s="1856"/>
      <c r="F193" s="1119" t="s">
        <v>381</v>
      </c>
      <c r="G193" s="1131">
        <f>120-20</f>
        <v>100</v>
      </c>
      <c r="H193" s="1131">
        <f>120-20</f>
        <v>100</v>
      </c>
      <c r="I193" s="1137">
        <f>+H193-G193</f>
        <v>0</v>
      </c>
      <c r="J193" s="1131">
        <v>120</v>
      </c>
      <c r="K193" s="1110">
        <f>+J193</f>
        <v>120</v>
      </c>
      <c r="L193" s="1137">
        <f>+K193-J193</f>
        <v>0</v>
      </c>
      <c r="M193" s="1131">
        <v>130</v>
      </c>
      <c r="N193" s="1131">
        <f>+M193</f>
        <v>130</v>
      </c>
      <c r="O193" s="1111">
        <f>+N193-M193</f>
        <v>0</v>
      </c>
      <c r="P193" s="1583" t="s">
        <v>97</v>
      </c>
      <c r="Q193" s="527">
        <v>3</v>
      </c>
      <c r="R193" s="563"/>
      <c r="S193" s="359">
        <v>3</v>
      </c>
      <c r="T193" s="563"/>
      <c r="U193" s="375">
        <v>3</v>
      </c>
      <c r="V193" s="143"/>
      <c r="W193" s="1952"/>
    </row>
    <row r="194" spans="1:28" ht="27" customHeight="1" x14ac:dyDescent="0.25">
      <c r="A194" s="1998"/>
      <c r="B194" s="1754"/>
      <c r="C194" s="1755"/>
      <c r="D194" s="1822"/>
      <c r="E194" s="1857"/>
      <c r="F194" s="1116"/>
      <c r="G194" s="1139"/>
      <c r="H194" s="1117"/>
      <c r="I194" s="1115"/>
      <c r="J194" s="1117"/>
      <c r="K194" s="1114"/>
      <c r="L194" s="1115"/>
      <c r="M194" s="1117"/>
      <c r="N194" s="1117"/>
      <c r="O194" s="1118"/>
      <c r="P194" s="406" t="s">
        <v>409</v>
      </c>
      <c r="Q194" s="525">
        <v>1</v>
      </c>
      <c r="R194" s="469"/>
      <c r="S194" s="395">
        <v>1</v>
      </c>
      <c r="T194" s="469"/>
      <c r="U194" s="349">
        <v>1</v>
      </c>
      <c r="V194" s="141"/>
      <c r="W194" s="1976"/>
    </row>
    <row r="195" spans="1:28" ht="32" customHeight="1" x14ac:dyDescent="0.25">
      <c r="A195" s="1595"/>
      <c r="B195" s="1541"/>
      <c r="C195" s="1542"/>
      <c r="D195" s="1558"/>
      <c r="E195" s="1857"/>
      <c r="F195" s="1116"/>
      <c r="G195" s="1139"/>
      <c r="H195" s="1117"/>
      <c r="I195" s="1115"/>
      <c r="J195" s="1117"/>
      <c r="K195" s="1114"/>
      <c r="L195" s="1115"/>
      <c r="M195" s="1117"/>
      <c r="N195" s="1117"/>
      <c r="O195" s="1118"/>
      <c r="P195" s="1584" t="s">
        <v>408</v>
      </c>
      <c r="Q195" s="837">
        <v>1</v>
      </c>
      <c r="R195" s="476"/>
      <c r="S195" s="395">
        <v>1</v>
      </c>
      <c r="T195" s="469"/>
      <c r="U195" s="391">
        <v>1</v>
      </c>
      <c r="V195" s="198"/>
      <c r="W195" s="1976"/>
    </row>
    <row r="196" spans="1:28" ht="15.65" customHeight="1" x14ac:dyDescent="0.25">
      <c r="A196" s="1595"/>
      <c r="B196" s="1541"/>
      <c r="C196" s="1542"/>
      <c r="D196" s="1558"/>
      <c r="E196" s="1859"/>
      <c r="F196" s="1124"/>
      <c r="G196" s="1157"/>
      <c r="H196" s="1128"/>
      <c r="I196" s="1129"/>
      <c r="J196" s="1128"/>
      <c r="K196" s="1126"/>
      <c r="L196" s="1129"/>
      <c r="M196" s="1128"/>
      <c r="N196" s="1128"/>
      <c r="O196" s="1127"/>
      <c r="P196" s="418" t="s">
        <v>265</v>
      </c>
      <c r="Q196" s="444">
        <v>1</v>
      </c>
      <c r="R196" s="445"/>
      <c r="S196" s="566">
        <v>1</v>
      </c>
      <c r="T196" s="445"/>
      <c r="U196" s="566">
        <v>1</v>
      </c>
      <c r="V196" s="568"/>
      <c r="W196" s="1953"/>
    </row>
    <row r="197" spans="1:28" ht="20.149999999999999" customHeight="1" x14ac:dyDescent="0.25">
      <c r="A197" s="935"/>
      <c r="B197" s="1541"/>
      <c r="C197" s="72"/>
      <c r="D197" s="1775" t="s">
        <v>230</v>
      </c>
      <c r="E197" s="176"/>
      <c r="F197" s="1116"/>
      <c r="G197" s="1139"/>
      <c r="H197" s="1117"/>
      <c r="I197" s="1115"/>
      <c r="J197" s="1117"/>
      <c r="K197" s="1114"/>
      <c r="L197" s="1115"/>
      <c r="M197" s="1117"/>
      <c r="N197" s="1117"/>
      <c r="O197" s="1118"/>
      <c r="P197" s="1957" t="s">
        <v>158</v>
      </c>
      <c r="Q197" s="527">
        <v>100</v>
      </c>
      <c r="R197" s="563"/>
      <c r="S197" s="359"/>
      <c r="T197" s="563"/>
      <c r="U197" s="359"/>
      <c r="V197" s="140"/>
      <c r="W197" s="140"/>
    </row>
    <row r="198" spans="1:28" ht="20.149999999999999" customHeight="1" x14ac:dyDescent="0.25">
      <c r="A198" s="935"/>
      <c r="B198" s="1541"/>
      <c r="C198" s="72"/>
      <c r="D198" s="1855"/>
      <c r="E198" s="176"/>
      <c r="F198" s="1116" t="s">
        <v>395</v>
      </c>
      <c r="G198" s="1157">
        <v>34.9</v>
      </c>
      <c r="H198" s="1128">
        <f>+G198</f>
        <v>34.9</v>
      </c>
      <c r="I198" s="1129">
        <f>+H198-G198</f>
        <v>0</v>
      </c>
      <c r="J198" s="1128"/>
      <c r="K198" s="1126"/>
      <c r="L198" s="1129"/>
      <c r="M198" s="1128"/>
      <c r="N198" s="1128"/>
      <c r="O198" s="1127"/>
      <c r="P198" s="2001"/>
      <c r="Q198" s="681"/>
      <c r="R198" s="545"/>
      <c r="S198" s="350"/>
      <c r="T198" s="545"/>
      <c r="U198" s="350"/>
      <c r="V198" s="142"/>
      <c r="W198" s="142"/>
    </row>
    <row r="199" spans="1:28" ht="14.25" customHeight="1" x14ac:dyDescent="0.25">
      <c r="A199" s="1594"/>
      <c r="B199" s="127"/>
      <c r="C199" s="1574"/>
      <c r="D199" s="1775" t="s">
        <v>78</v>
      </c>
      <c r="E199" s="1856" t="s">
        <v>118</v>
      </c>
      <c r="F199" s="1119" t="s">
        <v>394</v>
      </c>
      <c r="G199" s="1139">
        <v>15.5</v>
      </c>
      <c r="H199" s="1117">
        <f>+G199</f>
        <v>15.5</v>
      </c>
      <c r="I199" s="1115">
        <f>+H199-G199</f>
        <v>0</v>
      </c>
      <c r="J199" s="1117"/>
      <c r="K199" s="1114"/>
      <c r="L199" s="1115"/>
      <c r="M199" s="1117"/>
      <c r="N199" s="1117"/>
      <c r="O199" s="1118"/>
      <c r="P199" s="417" t="s">
        <v>125</v>
      </c>
      <c r="Q199" s="501"/>
      <c r="R199" s="465"/>
      <c r="S199" s="375"/>
      <c r="T199" s="465"/>
      <c r="U199" s="375"/>
      <c r="V199" s="143"/>
      <c r="W199" s="143"/>
    </row>
    <row r="200" spans="1:28" ht="15.75" customHeight="1" x14ac:dyDescent="0.25">
      <c r="A200" s="935"/>
      <c r="B200" s="1541"/>
      <c r="C200" s="72"/>
      <c r="D200" s="1776"/>
      <c r="E200" s="1857"/>
      <c r="F200" s="1116" t="s">
        <v>395</v>
      </c>
      <c r="G200" s="1139">
        <v>8.1999999999999993</v>
      </c>
      <c r="H200" s="1117">
        <f>+G200</f>
        <v>8.1999999999999993</v>
      </c>
      <c r="I200" s="1115">
        <f>+H200-G200</f>
        <v>0</v>
      </c>
      <c r="J200" s="1117"/>
      <c r="K200" s="1114"/>
      <c r="L200" s="1115"/>
      <c r="M200" s="1117"/>
      <c r="N200" s="1117"/>
      <c r="O200" s="1118"/>
      <c r="P200" s="1581" t="s">
        <v>106</v>
      </c>
      <c r="Q200" s="833">
        <v>4</v>
      </c>
      <c r="R200" s="589"/>
      <c r="S200" s="513"/>
      <c r="T200" s="994"/>
      <c r="U200" s="513"/>
      <c r="V200" s="294"/>
      <c r="W200" s="294"/>
    </row>
    <row r="201" spans="1:28" ht="19.5" customHeight="1" x14ac:dyDescent="0.25">
      <c r="A201" s="935"/>
      <c r="B201" s="1541"/>
      <c r="C201" s="72"/>
      <c r="D201" s="1563"/>
      <c r="E201" s="847" t="s">
        <v>402</v>
      </c>
      <c r="F201" s="1124" t="s">
        <v>394</v>
      </c>
      <c r="G201" s="1157"/>
      <c r="H201" s="1128"/>
      <c r="I201" s="1129"/>
      <c r="J201" s="1128">
        <v>50.4</v>
      </c>
      <c r="K201" s="1126">
        <f>+J201</f>
        <v>50.4</v>
      </c>
      <c r="L201" s="1129">
        <f>+K201-J201</f>
        <v>0</v>
      </c>
      <c r="M201" s="1128">
        <v>50.4</v>
      </c>
      <c r="N201" s="1128">
        <f>+M201</f>
        <v>50.4</v>
      </c>
      <c r="O201" s="1127">
        <f>+N201-M201</f>
        <v>0</v>
      </c>
      <c r="P201" s="410" t="s">
        <v>79</v>
      </c>
      <c r="Q201" s="686"/>
      <c r="R201" s="556"/>
      <c r="S201" s="422">
        <v>7</v>
      </c>
      <c r="T201" s="556"/>
      <c r="U201" s="422">
        <v>7</v>
      </c>
      <c r="V201" s="152"/>
      <c r="W201" s="152"/>
    </row>
    <row r="202" spans="1:28" ht="27" customHeight="1" x14ac:dyDescent="0.25">
      <c r="A202" s="1594"/>
      <c r="B202" s="127"/>
      <c r="C202" s="468"/>
      <c r="D202" s="1775" t="s">
        <v>128</v>
      </c>
      <c r="E202" s="1576"/>
      <c r="F202" s="1180" t="s">
        <v>394</v>
      </c>
      <c r="G202" s="1135"/>
      <c r="H202" s="1110">
        <v>6.2</v>
      </c>
      <c r="I202" s="1137">
        <f>+H202-G202</f>
        <v>6.2</v>
      </c>
      <c r="J202" s="1131">
        <v>20</v>
      </c>
      <c r="K202" s="1110">
        <f>+J202</f>
        <v>20</v>
      </c>
      <c r="L202" s="1137">
        <f>+K202-J202</f>
        <v>0</v>
      </c>
      <c r="M202" s="1131"/>
      <c r="N202" s="1131"/>
      <c r="O202" s="1111"/>
      <c r="P202" s="412" t="s">
        <v>40</v>
      </c>
      <c r="Q202" s="1676">
        <v>0</v>
      </c>
      <c r="R202" s="1677">
        <v>1</v>
      </c>
      <c r="S202" s="1713">
        <v>4</v>
      </c>
      <c r="T202" s="1677">
        <v>1</v>
      </c>
      <c r="U202" s="496"/>
      <c r="V202" s="147"/>
      <c r="W202" s="1967" t="s">
        <v>510</v>
      </c>
      <c r="X202" s="1710"/>
      <c r="Y202" s="1711"/>
      <c r="Z202" s="1711"/>
      <c r="AA202" s="1711"/>
      <c r="AB202" s="1711"/>
    </row>
    <row r="203" spans="1:28" ht="27" customHeight="1" x14ac:dyDescent="0.25">
      <c r="A203" s="939"/>
      <c r="B203" s="127"/>
      <c r="C203" s="106"/>
      <c r="D203" s="1765"/>
      <c r="E203" s="1548"/>
      <c r="F203" s="1182" t="s">
        <v>382</v>
      </c>
      <c r="G203" s="1114">
        <v>3.7</v>
      </c>
      <c r="H203" s="1114">
        <v>3.7</v>
      </c>
      <c r="I203" s="1115">
        <f>+H203-G203</f>
        <v>0</v>
      </c>
      <c r="J203" s="1117"/>
      <c r="K203" s="1114"/>
      <c r="L203" s="1115"/>
      <c r="M203" s="1117"/>
      <c r="N203" s="1117"/>
      <c r="O203" s="1118"/>
      <c r="P203" s="1592"/>
      <c r="Q203" s="1605"/>
      <c r="R203" s="1603"/>
      <c r="S203" s="392"/>
      <c r="T203" s="1603"/>
      <c r="U203" s="392"/>
      <c r="V203" s="195"/>
      <c r="W203" s="1968"/>
      <c r="X203" s="1710"/>
      <c r="Y203" s="1711"/>
      <c r="Z203" s="1711"/>
      <c r="AA203" s="1711"/>
      <c r="AB203" s="1711"/>
    </row>
    <row r="204" spans="1:28" ht="29.5" customHeight="1" x14ac:dyDescent="0.25">
      <c r="A204" s="939"/>
      <c r="B204" s="127"/>
      <c r="C204" s="106"/>
      <c r="D204" s="101" t="s">
        <v>285</v>
      </c>
      <c r="E204" s="1566"/>
      <c r="F204" s="1116" t="s">
        <v>395</v>
      </c>
      <c r="G204" s="1157">
        <v>5.3</v>
      </c>
      <c r="H204" s="1126">
        <f>+G204</f>
        <v>5.3</v>
      </c>
      <c r="I204" s="1129">
        <f>+H204-G204</f>
        <v>0</v>
      </c>
      <c r="J204" s="1128"/>
      <c r="K204" s="1126"/>
      <c r="L204" s="1129"/>
      <c r="M204" s="1128"/>
      <c r="N204" s="1128"/>
      <c r="O204" s="1127"/>
      <c r="P204" s="418" t="s">
        <v>129</v>
      </c>
      <c r="Q204" s="686">
        <v>1</v>
      </c>
      <c r="R204" s="992"/>
      <c r="S204" s="540"/>
      <c r="T204" s="992"/>
      <c r="U204" s="540"/>
      <c r="V204" s="295"/>
      <c r="W204" s="295"/>
    </row>
    <row r="205" spans="1:28" ht="28.25" customHeight="1" x14ac:dyDescent="0.25">
      <c r="A205" s="1595"/>
      <c r="B205" s="1541"/>
      <c r="C205" s="1542"/>
      <c r="D205" s="1756" t="s">
        <v>186</v>
      </c>
      <c r="E205" s="853" t="s">
        <v>403</v>
      </c>
      <c r="F205" s="1119" t="s">
        <v>381</v>
      </c>
      <c r="G205" s="1139"/>
      <c r="H205" s="1114"/>
      <c r="I205" s="1115"/>
      <c r="J205" s="1559"/>
      <c r="K205" s="1553"/>
      <c r="L205" s="1554"/>
      <c r="M205" s="1559"/>
      <c r="N205" s="1559"/>
      <c r="O205" s="1596"/>
      <c r="P205" s="1583" t="s">
        <v>266</v>
      </c>
      <c r="Q205" s="618">
        <v>4</v>
      </c>
      <c r="R205" s="619"/>
      <c r="S205" s="496">
        <v>4</v>
      </c>
      <c r="T205" s="619"/>
      <c r="U205" s="359"/>
      <c r="V205" s="140"/>
      <c r="W205" s="563"/>
    </row>
    <row r="206" spans="1:28" ht="17.25" customHeight="1" x14ac:dyDescent="0.25">
      <c r="A206" s="1595"/>
      <c r="B206" s="1541"/>
      <c r="C206" s="1542"/>
      <c r="D206" s="1715"/>
      <c r="E206" s="1566" t="s">
        <v>153</v>
      </c>
      <c r="F206" s="124"/>
      <c r="G206" s="38"/>
      <c r="H206" s="214"/>
      <c r="I206" s="456"/>
      <c r="J206" s="202"/>
      <c r="K206" s="214"/>
      <c r="L206" s="456"/>
      <c r="M206" s="202"/>
      <c r="N206" s="202"/>
      <c r="O206" s="44"/>
      <c r="P206" s="1586"/>
      <c r="Q206" s="1606"/>
      <c r="R206" s="1604"/>
      <c r="S206" s="347"/>
      <c r="T206" s="1604"/>
      <c r="U206" s="350"/>
      <c r="V206" s="142"/>
      <c r="W206" s="545"/>
    </row>
    <row r="207" spans="1:28" ht="17.75" customHeight="1" x14ac:dyDescent="0.25">
      <c r="A207" s="1595"/>
      <c r="B207" s="1541"/>
      <c r="C207" s="75"/>
      <c r="D207" s="1714" t="s">
        <v>307</v>
      </c>
      <c r="E207" s="890" t="s">
        <v>417</v>
      </c>
      <c r="F207" s="1095" t="s">
        <v>394</v>
      </c>
      <c r="G207" s="1641">
        <f>60-6.2</f>
        <v>53.8</v>
      </c>
      <c r="H207" s="1319">
        <f>60-6.2-53.8</f>
        <v>0</v>
      </c>
      <c r="I207" s="1310">
        <f>+H207-G207</f>
        <v>-53.8</v>
      </c>
      <c r="J207" s="1305">
        <v>300</v>
      </c>
      <c r="K207" s="1303">
        <f>+J207-300</f>
        <v>0</v>
      </c>
      <c r="L207" s="1304">
        <f>+K207-J207</f>
        <v>-300</v>
      </c>
      <c r="M207" s="1319"/>
      <c r="N207" s="1319">
        <v>501.3</v>
      </c>
      <c r="O207" s="1646">
        <f>+N207</f>
        <v>501.3</v>
      </c>
      <c r="P207" s="412" t="s">
        <v>331</v>
      </c>
      <c r="Q207" s="1647">
        <v>1</v>
      </c>
      <c r="R207" s="1648">
        <v>0</v>
      </c>
      <c r="S207" s="1649"/>
      <c r="T207" s="1648">
        <v>1</v>
      </c>
      <c r="U207" s="1649"/>
      <c r="V207" s="1650"/>
      <c r="W207" s="2066" t="s">
        <v>509</v>
      </c>
    </row>
    <row r="208" spans="1:28" ht="191.25" customHeight="1" x14ac:dyDescent="0.25">
      <c r="A208" s="1595"/>
      <c r="B208" s="1541"/>
      <c r="C208" s="75"/>
      <c r="D208" s="1715"/>
      <c r="E208" s="1566" t="s">
        <v>41</v>
      </c>
      <c r="F208" s="1095" t="s">
        <v>395</v>
      </c>
      <c r="G208" s="38"/>
      <c r="H208" s="214"/>
      <c r="I208" s="456"/>
      <c r="J208" s="202"/>
      <c r="K208" s="1322">
        <v>57.7</v>
      </c>
      <c r="L208" s="1323">
        <f>+K208-J208</f>
        <v>57.7</v>
      </c>
      <c r="M208" s="202"/>
      <c r="N208" s="202"/>
      <c r="O208" s="44"/>
      <c r="P208" s="410" t="s">
        <v>308</v>
      </c>
      <c r="Q208" s="1651"/>
      <c r="R208" s="1652"/>
      <c r="S208" s="1653">
        <v>100</v>
      </c>
      <c r="T208" s="1652">
        <v>0</v>
      </c>
      <c r="U208" s="1653"/>
      <c r="V208" s="1654">
        <v>50</v>
      </c>
      <c r="W208" s="2067"/>
    </row>
    <row r="209" spans="1:27" ht="17.75" customHeight="1" x14ac:dyDescent="0.25">
      <c r="A209" s="1595"/>
      <c r="B209" s="1541"/>
      <c r="C209" s="1542"/>
      <c r="D209" s="1609" t="s">
        <v>330</v>
      </c>
      <c r="E209" s="890" t="s">
        <v>417</v>
      </c>
      <c r="F209" s="1119" t="s">
        <v>394</v>
      </c>
      <c r="G209" s="1139"/>
      <c r="H209" s="1114"/>
      <c r="I209" s="1115"/>
      <c r="J209" s="1117">
        <f>2250-1125</f>
        <v>1125</v>
      </c>
      <c r="K209" s="1114">
        <f>+J209</f>
        <v>1125</v>
      </c>
      <c r="L209" s="1115">
        <f>+K209-J209</f>
        <v>0</v>
      </c>
      <c r="M209" s="1117">
        <v>1125</v>
      </c>
      <c r="N209" s="1117">
        <f>+M209</f>
        <v>1125</v>
      </c>
      <c r="O209" s="1118">
        <f>+N209-M209</f>
        <v>0</v>
      </c>
      <c r="P209" s="1599" t="s">
        <v>332</v>
      </c>
      <c r="Q209" s="558"/>
      <c r="R209" s="993"/>
      <c r="S209" s="991">
        <v>10</v>
      </c>
      <c r="T209" s="993"/>
      <c r="U209" s="513"/>
      <c r="V209" s="294"/>
      <c r="W209" s="294"/>
    </row>
    <row r="210" spans="1:27" ht="17.75" customHeight="1" x14ac:dyDescent="0.25">
      <c r="A210" s="1595"/>
      <c r="B210" s="1541"/>
      <c r="C210" s="1542"/>
      <c r="D210" s="557"/>
      <c r="E210" s="1565" t="s">
        <v>41</v>
      </c>
      <c r="F210" s="1116" t="s">
        <v>390</v>
      </c>
      <c r="G210" s="1139"/>
      <c r="H210" s="1114"/>
      <c r="I210" s="1115"/>
      <c r="J210" s="1117">
        <f>2750-1375</f>
        <v>1375</v>
      </c>
      <c r="K210" s="1114">
        <f>+J210</f>
        <v>1375</v>
      </c>
      <c r="L210" s="1115">
        <f>+K210-J210</f>
        <v>0</v>
      </c>
      <c r="M210" s="1117">
        <v>1375</v>
      </c>
      <c r="N210" s="1117">
        <f>+M210</f>
        <v>1375</v>
      </c>
      <c r="O210" s="1118">
        <f>+N210-M210</f>
        <v>0</v>
      </c>
      <c r="P210" s="1599"/>
      <c r="Q210" s="305"/>
      <c r="R210" s="994"/>
      <c r="S210" s="513"/>
      <c r="T210" s="994"/>
      <c r="U210" s="513"/>
      <c r="V210" s="294"/>
      <c r="W210" s="294"/>
    </row>
    <row r="211" spans="1:27" ht="17.75" customHeight="1" x14ac:dyDescent="0.25">
      <c r="A211" s="1595"/>
      <c r="B211" s="1541"/>
      <c r="C211" s="1542"/>
      <c r="D211" s="1610"/>
      <c r="E211" s="847" t="s">
        <v>418</v>
      </c>
      <c r="F211" s="1116"/>
      <c r="G211" s="1157"/>
      <c r="H211" s="1126"/>
      <c r="I211" s="1129"/>
      <c r="J211" s="1117"/>
      <c r="K211" s="1114"/>
      <c r="L211" s="1129"/>
      <c r="M211" s="1117"/>
      <c r="N211" s="1117"/>
      <c r="O211" s="1118"/>
      <c r="P211" s="1599"/>
      <c r="Q211" s="516"/>
      <c r="R211" s="517"/>
      <c r="S211" s="684"/>
      <c r="T211" s="517"/>
      <c r="U211" s="513"/>
      <c r="V211" s="294"/>
      <c r="W211" s="294"/>
    </row>
    <row r="212" spans="1:27" ht="15" customHeight="1" thickBot="1" x14ac:dyDescent="0.3">
      <c r="A212" s="265"/>
      <c r="B212" s="54"/>
      <c r="C212" s="67"/>
      <c r="D212" s="68"/>
      <c r="E212" s="514"/>
      <c r="F212" s="518" t="s">
        <v>5</v>
      </c>
      <c r="G212" s="790">
        <f>+G170+G171+G172+G173+G174</f>
        <v>6262.8</v>
      </c>
      <c r="H212" s="790">
        <f>+H170+H171+H172+H173+H174</f>
        <v>7211.8</v>
      </c>
      <c r="I212" s="535">
        <f>+I170+I171+I172+I173+I174</f>
        <v>949</v>
      </c>
      <c r="J212" s="790">
        <f t="shared" ref="J212:M212" si="21">+J170+J171+J172+J173+J174</f>
        <v>8325.7000000000007</v>
      </c>
      <c r="K212" s="790">
        <f t="shared" ref="K212" si="22">+K170+K171+K172+K173+K174</f>
        <v>8401</v>
      </c>
      <c r="L212" s="523">
        <f t="shared" ref="L212" si="23">+L170+L171+L172+L173+L174</f>
        <v>75.3</v>
      </c>
      <c r="M212" s="955">
        <f t="shared" si="21"/>
        <v>8085.5</v>
      </c>
      <c r="N212" s="955">
        <f t="shared" ref="N212" si="24">+N170+N171+N172+N173+N174</f>
        <v>8904.4</v>
      </c>
      <c r="O212" s="790">
        <f t="shared" ref="O212" si="25">+O170+O171+O172+O173+O174</f>
        <v>818.9</v>
      </c>
      <c r="P212" s="963"/>
      <c r="Q212" s="288"/>
      <c r="R212" s="288"/>
      <c r="S212" s="288"/>
      <c r="T212" s="288"/>
      <c r="U212" s="288"/>
      <c r="V212" s="288"/>
      <c r="W212" s="70"/>
    </row>
    <row r="213" spans="1:27" ht="15" customHeight="1" thickBot="1" x14ac:dyDescent="0.3">
      <c r="A213" s="940" t="s">
        <v>4</v>
      </c>
      <c r="B213" s="56" t="s">
        <v>6</v>
      </c>
      <c r="C213" s="1839" t="s">
        <v>7</v>
      </c>
      <c r="D213" s="1840"/>
      <c r="E213" s="1840"/>
      <c r="F213" s="1840"/>
      <c r="G213" s="362">
        <f t="shared" ref="G213:M213" si="26">G212</f>
        <v>6262.8</v>
      </c>
      <c r="H213" s="56">
        <f t="shared" ref="H213" si="27">H212</f>
        <v>7211.8</v>
      </c>
      <c r="I213" s="950">
        <f t="shared" ref="I213" si="28">I212</f>
        <v>949</v>
      </c>
      <c r="J213" s="951">
        <f t="shared" si="26"/>
        <v>8325.7000000000007</v>
      </c>
      <c r="K213" s="25">
        <f t="shared" ref="K213" si="29">K212</f>
        <v>8401</v>
      </c>
      <c r="L213" s="950">
        <f t="shared" ref="L213" si="30">L212</f>
        <v>75.3</v>
      </c>
      <c r="M213" s="951">
        <f t="shared" si="26"/>
        <v>8085.5</v>
      </c>
      <c r="N213" s="25">
        <f t="shared" ref="N213" si="31">N212</f>
        <v>8904.4</v>
      </c>
      <c r="O213" s="950">
        <f t="shared" ref="O213" si="32">O212</f>
        <v>818.9</v>
      </c>
      <c r="P213" s="1862"/>
      <c r="Q213" s="1863"/>
      <c r="R213" s="1863"/>
      <c r="S213" s="1863"/>
      <c r="T213" s="1863"/>
      <c r="U213" s="1863"/>
      <c r="V213" s="1568"/>
      <c r="W213" s="961"/>
    </row>
    <row r="214" spans="1:27" ht="15" customHeight="1" thickBot="1" x14ac:dyDescent="0.3">
      <c r="A214" s="937" t="s">
        <v>4</v>
      </c>
      <c r="B214" s="56" t="s">
        <v>25</v>
      </c>
      <c r="C214" s="1844" t="s">
        <v>75</v>
      </c>
      <c r="D214" s="1865"/>
      <c r="E214" s="1865"/>
      <c r="F214" s="1865"/>
      <c r="G214" s="1865"/>
      <c r="H214" s="1865"/>
      <c r="I214" s="1865"/>
      <c r="J214" s="1865"/>
      <c r="K214" s="1865"/>
      <c r="L214" s="1865"/>
      <c r="M214" s="1865"/>
      <c r="N214" s="1865"/>
      <c r="O214" s="1865"/>
      <c r="P214" s="1865"/>
      <c r="Q214" s="1865"/>
      <c r="R214" s="1865"/>
      <c r="S214" s="1865"/>
      <c r="T214" s="1865"/>
      <c r="U214" s="1865"/>
      <c r="V214" s="962"/>
      <c r="W214" s="1571"/>
      <c r="Y214" s="889" t="s">
        <v>431</v>
      </c>
    </row>
    <row r="215" spans="1:27" ht="14.25" customHeight="1" x14ac:dyDescent="0.25">
      <c r="A215" s="938" t="s">
        <v>4</v>
      </c>
      <c r="B215" s="55" t="s">
        <v>25</v>
      </c>
      <c r="C215" s="69" t="s">
        <v>4</v>
      </c>
      <c r="D215" s="1883" t="s">
        <v>73</v>
      </c>
      <c r="E215" s="129" t="s">
        <v>118</v>
      </c>
      <c r="F215" s="20" t="s">
        <v>22</v>
      </c>
      <c r="G215" s="427">
        <f>391.7+46.3</f>
        <v>438</v>
      </c>
      <c r="H215" s="427">
        <f>391.7+46.3</f>
        <v>438</v>
      </c>
      <c r="I215" s="282">
        <f>+H215-G215</f>
        <v>0</v>
      </c>
      <c r="J215" s="948">
        <v>315.2</v>
      </c>
      <c r="K215" s="283">
        <v>315.2</v>
      </c>
      <c r="L215" s="814">
        <f>+K215-J215</f>
        <v>0</v>
      </c>
      <c r="M215" s="427">
        <v>315.2</v>
      </c>
      <c r="N215" s="427">
        <v>315.2</v>
      </c>
      <c r="O215" s="427">
        <f>+N215-M215</f>
        <v>0</v>
      </c>
      <c r="P215" s="1580"/>
      <c r="Q215" s="838"/>
      <c r="R215" s="814"/>
      <c r="S215" s="427"/>
      <c r="T215" s="814"/>
      <c r="U215" s="427"/>
      <c r="V215" s="155"/>
      <c r="W215" s="2071"/>
      <c r="Y215" s="16">
        <f>+G220+G229+G233+G234</f>
        <v>438</v>
      </c>
      <c r="Z215" s="16">
        <f>+J220+J229+J233+J234</f>
        <v>315.2</v>
      </c>
      <c r="AA215" s="16">
        <f>+M220+M229+M233+M234</f>
        <v>315.2</v>
      </c>
    </row>
    <row r="216" spans="1:27" ht="14.25" customHeight="1" x14ac:dyDescent="0.25">
      <c r="A216" s="1595"/>
      <c r="B216" s="1541"/>
      <c r="C216" s="1542"/>
      <c r="D216" s="1884"/>
      <c r="E216" s="129"/>
      <c r="F216" s="1095" t="s">
        <v>57</v>
      </c>
      <c r="G216" s="1305">
        <f>998.1-26.5</f>
        <v>971.6</v>
      </c>
      <c r="H216" s="1305">
        <f>998.1-26.5+53.8</f>
        <v>1025.4000000000001</v>
      </c>
      <c r="I216" s="1304">
        <f>+H216-G216</f>
        <v>53.8</v>
      </c>
      <c r="J216" s="1305">
        <f>1155.7+93.9</f>
        <v>1249.5999999999999</v>
      </c>
      <c r="K216" s="1305">
        <f>1155.7+93.9+10</f>
        <v>1259.5999999999999</v>
      </c>
      <c r="L216" s="1304">
        <f>+K216-J216</f>
        <v>10</v>
      </c>
      <c r="M216" s="1305">
        <f>1159.7+93.9</f>
        <v>1253.5999999999999</v>
      </c>
      <c r="N216" s="1305">
        <f>1159.7+93.9+10</f>
        <v>1263.5999999999999</v>
      </c>
      <c r="O216" s="1306">
        <f>+N216-M216</f>
        <v>10</v>
      </c>
      <c r="P216" s="1581"/>
      <c r="Q216" s="1589"/>
      <c r="R216" s="1554"/>
      <c r="S216" s="1559"/>
      <c r="T216" s="1554"/>
      <c r="U216" s="1559"/>
      <c r="V216" s="1596"/>
      <c r="W216" s="1958"/>
      <c r="Y216" s="16">
        <f>+G219+G226+G231+G236+G237+G238+G227</f>
        <v>971.6</v>
      </c>
      <c r="Z216" s="16">
        <f>+J219+J226+J231+J236+J237+J238+J227</f>
        <v>1155.7</v>
      </c>
      <c r="AA216" s="16">
        <f>+M219+M226+M231+M236+M237+M238+M227</f>
        <v>1159.7</v>
      </c>
    </row>
    <row r="217" spans="1:27" ht="14.25" customHeight="1" x14ac:dyDescent="0.25">
      <c r="A217" s="1595"/>
      <c r="B217" s="1541"/>
      <c r="C217" s="1542"/>
      <c r="D217" s="1884"/>
      <c r="E217" s="129"/>
      <c r="F217" s="20" t="s">
        <v>68</v>
      </c>
      <c r="G217" s="1589">
        <v>318.39999999999998</v>
      </c>
      <c r="H217" s="1559">
        <v>318.39999999999998</v>
      </c>
      <c r="I217" s="1554">
        <f t="shared" ref="I217:I218" si="33">+H217-G217</f>
        <v>0</v>
      </c>
      <c r="J217" s="1559">
        <v>210</v>
      </c>
      <c r="K217" s="1559">
        <v>210</v>
      </c>
      <c r="L217" s="1554">
        <f t="shared" ref="L217:L218" si="34">+K217-J217</f>
        <v>0</v>
      </c>
      <c r="M217" s="1559">
        <v>210</v>
      </c>
      <c r="N217" s="1559">
        <v>210</v>
      </c>
      <c r="O217" s="32">
        <f t="shared" ref="O217:O218" si="35">+N217-M217</f>
        <v>0</v>
      </c>
      <c r="P217" s="1581"/>
      <c r="Q217" s="1589"/>
      <c r="R217" s="1554"/>
      <c r="S217" s="1559"/>
      <c r="T217" s="1554"/>
      <c r="U217" s="1559"/>
      <c r="V217" s="1596"/>
      <c r="W217" s="1958"/>
      <c r="Y217" s="16">
        <f>+G221+G225</f>
        <v>318.39999999999998</v>
      </c>
      <c r="Z217" s="16">
        <f>+J221+J225</f>
        <v>210</v>
      </c>
      <c r="AA217" s="16">
        <f>+M221+M225</f>
        <v>210</v>
      </c>
    </row>
    <row r="218" spans="1:27" ht="14.25" customHeight="1" x14ac:dyDescent="0.25">
      <c r="A218" s="1595"/>
      <c r="B218" s="1541"/>
      <c r="C218" s="1542"/>
      <c r="D218" s="1885"/>
      <c r="E218" s="129"/>
      <c r="F218" s="124" t="s">
        <v>59</v>
      </c>
      <c r="G218" s="38">
        <v>15.7</v>
      </c>
      <c r="H218" s="202">
        <v>15.7</v>
      </c>
      <c r="I218" s="1554">
        <f t="shared" si="33"/>
        <v>0</v>
      </c>
      <c r="J218" s="1559">
        <v>20</v>
      </c>
      <c r="K218" s="1559">
        <v>20</v>
      </c>
      <c r="L218" s="1554">
        <f t="shared" si="34"/>
        <v>0</v>
      </c>
      <c r="M218" s="202">
        <v>26</v>
      </c>
      <c r="N218" s="202">
        <v>26</v>
      </c>
      <c r="O218" s="32">
        <f t="shared" si="35"/>
        <v>0</v>
      </c>
      <c r="P218" s="1586"/>
      <c r="Q218" s="38"/>
      <c r="R218" s="456"/>
      <c r="S218" s="202"/>
      <c r="T218" s="456"/>
      <c r="U218" s="202"/>
      <c r="V218" s="44"/>
      <c r="W218" s="1958"/>
      <c r="Y218" s="16">
        <f>+G232</f>
        <v>15.7</v>
      </c>
      <c r="Z218" s="16">
        <f>+J232</f>
        <v>20</v>
      </c>
      <c r="AA218" s="16">
        <f>+M232</f>
        <v>26</v>
      </c>
    </row>
    <row r="219" spans="1:27" ht="15" customHeight="1" x14ac:dyDescent="0.25">
      <c r="A219" s="1595"/>
      <c r="B219" s="1541"/>
      <c r="C219" s="1542"/>
      <c r="D219" s="1714" t="s">
        <v>71</v>
      </c>
      <c r="E219" s="1564" t="s">
        <v>205</v>
      </c>
      <c r="F219" s="1116" t="s">
        <v>394</v>
      </c>
      <c r="G219" s="1110">
        <f>349.1-26.5</f>
        <v>322.60000000000002</v>
      </c>
      <c r="H219" s="1110">
        <f>349.1-26.5</f>
        <v>322.60000000000002</v>
      </c>
      <c r="I219" s="1137">
        <f>+H219-G219</f>
        <v>0</v>
      </c>
      <c r="J219" s="1131">
        <v>430</v>
      </c>
      <c r="K219" s="1110">
        <f>+J219</f>
        <v>430</v>
      </c>
      <c r="L219" s="1137">
        <f>+K219-J219</f>
        <v>0</v>
      </c>
      <c r="M219" s="1131">
        <v>450</v>
      </c>
      <c r="N219" s="1110">
        <f>+M219</f>
        <v>450</v>
      </c>
      <c r="O219" s="1111">
        <f>+N219-M219</f>
        <v>0</v>
      </c>
      <c r="P219" s="1599" t="s">
        <v>76</v>
      </c>
      <c r="Q219" s="1590">
        <v>15.3</v>
      </c>
      <c r="R219" s="1555"/>
      <c r="S219" s="995">
        <v>15.3</v>
      </c>
      <c r="T219" s="530"/>
      <c r="U219" s="995">
        <v>15.3</v>
      </c>
      <c r="V219" s="922"/>
      <c r="W219" s="1958"/>
    </row>
    <row r="220" spans="1:27" ht="15" customHeight="1" x14ac:dyDescent="0.25">
      <c r="A220" s="1595"/>
      <c r="B220" s="1541"/>
      <c r="C220" s="1542"/>
      <c r="D220" s="1756"/>
      <c r="E220" s="1576"/>
      <c r="F220" s="1116" t="s">
        <v>381</v>
      </c>
      <c r="G220" s="1114">
        <f>207.6+46.3</f>
        <v>253.9</v>
      </c>
      <c r="H220" s="1114">
        <f>207.6+46.3</f>
        <v>253.9</v>
      </c>
      <c r="I220" s="1115">
        <f>+H220-G220</f>
        <v>0</v>
      </c>
      <c r="J220" s="1117">
        <f t="shared" ref="J220:M220" si="36">55.9+75.2</f>
        <v>131.1</v>
      </c>
      <c r="K220" s="1114">
        <f>+J220</f>
        <v>131.1</v>
      </c>
      <c r="L220" s="1115">
        <f>+K220-J220</f>
        <v>0</v>
      </c>
      <c r="M220" s="1117">
        <f t="shared" si="36"/>
        <v>131.1</v>
      </c>
      <c r="N220" s="1114">
        <f>+M220</f>
        <v>131.1</v>
      </c>
      <c r="O220" s="1118">
        <f>+N220-M220</f>
        <v>0</v>
      </c>
      <c r="P220" s="424" t="s">
        <v>139</v>
      </c>
      <c r="Q220" s="340">
        <v>20</v>
      </c>
      <c r="R220" s="524"/>
      <c r="S220" s="1559">
        <v>20</v>
      </c>
      <c r="T220" s="1554"/>
      <c r="U220" s="504">
        <v>20</v>
      </c>
      <c r="V220" s="218"/>
      <c r="W220" s="1958"/>
    </row>
    <row r="221" spans="1:27" ht="18" customHeight="1" x14ac:dyDescent="0.25">
      <c r="A221" s="1595"/>
      <c r="B221" s="1541"/>
      <c r="C221" s="1542"/>
      <c r="D221" s="1756"/>
      <c r="E221" s="1576"/>
      <c r="F221" s="1116" t="s">
        <v>386</v>
      </c>
      <c r="G221" s="1139">
        <v>218.4</v>
      </c>
      <c r="H221" s="1114">
        <f>+G221</f>
        <v>218.4</v>
      </c>
      <c r="I221" s="1115">
        <f>+H221-G221</f>
        <v>0</v>
      </c>
      <c r="J221" s="1117">
        <v>100</v>
      </c>
      <c r="K221" s="1114">
        <f>+J221</f>
        <v>100</v>
      </c>
      <c r="L221" s="1115">
        <f>+K221-J221</f>
        <v>0</v>
      </c>
      <c r="M221" s="1117">
        <v>100</v>
      </c>
      <c r="N221" s="1114">
        <f>+M221</f>
        <v>100</v>
      </c>
      <c r="O221" s="1118">
        <f>+N221-M221</f>
        <v>0</v>
      </c>
      <c r="P221" s="424" t="s">
        <v>33</v>
      </c>
      <c r="Q221" s="833">
        <v>89</v>
      </c>
      <c r="R221" s="589"/>
      <c r="S221" s="395">
        <v>92</v>
      </c>
      <c r="T221" s="469"/>
      <c r="U221" s="395">
        <v>95</v>
      </c>
      <c r="V221" s="144"/>
      <c r="W221" s="1963"/>
    </row>
    <row r="222" spans="1:27" ht="19.5" customHeight="1" x14ac:dyDescent="0.25">
      <c r="A222" s="1595"/>
      <c r="B222" s="1541"/>
      <c r="C222" s="1542"/>
      <c r="D222" s="1756"/>
      <c r="E222" s="854"/>
      <c r="F222" s="1182"/>
      <c r="G222" s="1690"/>
      <c r="H222" s="1691"/>
      <c r="I222" s="1184"/>
      <c r="J222" s="1101"/>
      <c r="K222" s="1183"/>
      <c r="L222" s="1184"/>
      <c r="M222" s="1692"/>
      <c r="N222" s="1691"/>
      <c r="O222" s="1693"/>
      <c r="P222" s="424" t="s">
        <v>235</v>
      </c>
      <c r="Q222" s="525">
        <v>7</v>
      </c>
      <c r="R222" s="469"/>
      <c r="S222" s="395">
        <v>7</v>
      </c>
      <c r="T222" s="469"/>
      <c r="U222" s="395">
        <v>7</v>
      </c>
      <c r="V222" s="144"/>
      <c r="W222" s="144"/>
    </row>
    <row r="223" spans="1:27" ht="26.25" customHeight="1" x14ac:dyDescent="0.25">
      <c r="A223" s="1595"/>
      <c r="B223" s="1541"/>
      <c r="C223" s="1542"/>
      <c r="D223" s="1756"/>
      <c r="E223" s="855"/>
      <c r="F223" s="1116"/>
      <c r="G223" s="1139"/>
      <c r="H223" s="1114"/>
      <c r="I223" s="1115"/>
      <c r="J223" s="1117"/>
      <c r="K223" s="1114"/>
      <c r="L223" s="1115"/>
      <c r="M223" s="1117"/>
      <c r="N223" s="1114"/>
      <c r="O223" s="1118"/>
      <c r="P223" s="424" t="s">
        <v>410</v>
      </c>
      <c r="Q223" s="837">
        <v>1</v>
      </c>
      <c r="R223" s="476"/>
      <c r="S223" s="391"/>
      <c r="T223" s="476"/>
      <c r="U223" s="391"/>
      <c r="V223" s="198"/>
      <c r="W223" s="198"/>
    </row>
    <row r="224" spans="1:27" ht="26.25" customHeight="1" x14ac:dyDescent="0.25">
      <c r="A224" s="1595"/>
      <c r="B224" s="1541"/>
      <c r="C224" s="1542"/>
      <c r="D224" s="1549"/>
      <c r="E224" s="176"/>
      <c r="F224" s="1116"/>
      <c r="G224" s="1157"/>
      <c r="H224" s="1126"/>
      <c r="I224" s="1129"/>
      <c r="J224" s="1128"/>
      <c r="K224" s="1126"/>
      <c r="L224" s="1129"/>
      <c r="M224" s="1128"/>
      <c r="N224" s="1126"/>
      <c r="O224" s="1127"/>
      <c r="P224" s="410" t="s">
        <v>160</v>
      </c>
      <c r="Q224" s="444">
        <v>6</v>
      </c>
      <c r="R224" s="445"/>
      <c r="S224" s="566"/>
      <c r="T224" s="445"/>
      <c r="U224" s="566"/>
      <c r="V224" s="568"/>
      <c r="W224" s="568"/>
    </row>
    <row r="225" spans="1:27" ht="15" customHeight="1" x14ac:dyDescent="0.25">
      <c r="A225" s="1595"/>
      <c r="B225" s="1541"/>
      <c r="C225" s="1542"/>
      <c r="D225" s="1534" t="s">
        <v>53</v>
      </c>
      <c r="E225" s="792"/>
      <c r="F225" s="1119" t="s">
        <v>386</v>
      </c>
      <c r="G225" s="1139">
        <v>100</v>
      </c>
      <c r="H225" s="1114">
        <f>+G225</f>
        <v>100</v>
      </c>
      <c r="I225" s="1115">
        <f>+H225-G225</f>
        <v>0</v>
      </c>
      <c r="J225" s="1117">
        <v>110</v>
      </c>
      <c r="K225" s="1114">
        <f>+J225</f>
        <v>110</v>
      </c>
      <c r="L225" s="1115">
        <f>+K225-J225</f>
        <v>0</v>
      </c>
      <c r="M225" s="1117">
        <v>110</v>
      </c>
      <c r="N225" s="1114">
        <f>+M225</f>
        <v>110</v>
      </c>
      <c r="O225" s="1118">
        <f>+N225-M225</f>
        <v>0</v>
      </c>
      <c r="P225" s="1599" t="s">
        <v>60</v>
      </c>
      <c r="Q225" s="688">
        <v>0.84</v>
      </c>
      <c r="R225" s="1603"/>
      <c r="S225" s="513">
        <v>0.84</v>
      </c>
      <c r="T225" s="1603"/>
      <c r="U225" s="513">
        <v>0.84</v>
      </c>
      <c r="V225" s="195"/>
      <c r="W225" s="195"/>
    </row>
    <row r="226" spans="1:27" ht="15" customHeight="1" x14ac:dyDescent="0.25">
      <c r="A226" s="1595"/>
      <c r="B226" s="1541"/>
      <c r="C226" s="1542"/>
      <c r="D226" s="1543"/>
      <c r="E226" s="178"/>
      <c r="F226" s="1116" t="s">
        <v>394</v>
      </c>
      <c r="G226" s="1139">
        <v>10.6</v>
      </c>
      <c r="H226" s="1114">
        <f>+G226</f>
        <v>10.6</v>
      </c>
      <c r="I226" s="1115">
        <f>+H226-G226</f>
        <v>0</v>
      </c>
      <c r="J226" s="1117">
        <v>11.7</v>
      </c>
      <c r="K226" s="1114">
        <f>+J226</f>
        <v>11.7</v>
      </c>
      <c r="L226" s="1115">
        <f>+K226-J226</f>
        <v>0</v>
      </c>
      <c r="M226" s="1117">
        <v>11.7</v>
      </c>
      <c r="N226" s="1114">
        <f>+M226</f>
        <v>11.7</v>
      </c>
      <c r="O226" s="1113">
        <f>+N226-M226</f>
        <v>0</v>
      </c>
      <c r="P226" s="1599"/>
      <c r="Q226" s="833"/>
      <c r="R226" s="589"/>
      <c r="S226" s="349"/>
      <c r="T226" s="589"/>
      <c r="U226" s="349"/>
      <c r="V226" s="141"/>
      <c r="W226" s="141"/>
    </row>
    <row r="227" spans="1:27" ht="25.5" customHeight="1" x14ac:dyDescent="0.25">
      <c r="A227" s="1595"/>
      <c r="B227" s="1541"/>
      <c r="C227" s="1542"/>
      <c r="D227" s="1867" t="s">
        <v>77</v>
      </c>
      <c r="E227" s="179"/>
      <c r="F227" s="1119" t="s">
        <v>394</v>
      </c>
      <c r="G227" s="1135">
        <v>8</v>
      </c>
      <c r="H227" s="1110">
        <f>+G227</f>
        <v>8</v>
      </c>
      <c r="I227" s="1137">
        <f>+H227-G227</f>
        <v>0</v>
      </c>
      <c r="J227" s="1131">
        <v>8</v>
      </c>
      <c r="K227" s="1110">
        <f>+J227</f>
        <v>8</v>
      </c>
      <c r="L227" s="1137">
        <f>+K227-J227</f>
        <v>0</v>
      </c>
      <c r="M227" s="1131">
        <v>8</v>
      </c>
      <c r="N227" s="1110">
        <f>+M227</f>
        <v>8</v>
      </c>
      <c r="O227" s="1131">
        <f>+N227-M227</f>
        <v>0</v>
      </c>
      <c r="P227" s="412" t="s">
        <v>292</v>
      </c>
      <c r="Q227" s="527">
        <v>14</v>
      </c>
      <c r="R227" s="563"/>
      <c r="S227" s="359">
        <v>14</v>
      </c>
      <c r="T227" s="563"/>
      <c r="U227" s="359">
        <v>14</v>
      </c>
      <c r="V227" s="140"/>
      <c r="W227" s="140"/>
    </row>
    <row r="228" spans="1:27" ht="15.75" customHeight="1" x14ac:dyDescent="0.25">
      <c r="A228" s="1595"/>
      <c r="B228" s="1541"/>
      <c r="C228" s="1542"/>
      <c r="D228" s="1838"/>
      <c r="E228" s="180"/>
      <c r="F228" s="1124"/>
      <c r="G228" s="1157"/>
      <c r="H228" s="1126"/>
      <c r="I228" s="1129"/>
      <c r="J228" s="1128"/>
      <c r="K228" s="1126"/>
      <c r="L228" s="1129"/>
      <c r="M228" s="1128"/>
      <c r="N228" s="1126"/>
      <c r="O228" s="1125"/>
      <c r="P228" s="407"/>
      <c r="Q228" s="681"/>
      <c r="R228" s="545"/>
      <c r="S228" s="350"/>
      <c r="T228" s="545"/>
      <c r="U228" s="350"/>
      <c r="V228" s="142"/>
      <c r="W228" s="142"/>
    </row>
    <row r="229" spans="1:27" ht="18.75" customHeight="1" x14ac:dyDescent="0.25">
      <c r="A229" s="935"/>
      <c r="B229" s="1541"/>
      <c r="C229" s="72"/>
      <c r="D229" s="1822" t="s">
        <v>90</v>
      </c>
      <c r="E229" s="1565" t="s">
        <v>41</v>
      </c>
      <c r="F229" s="1116" t="s">
        <v>381</v>
      </c>
      <c r="G229" s="1139">
        <v>45</v>
      </c>
      <c r="H229" s="1114">
        <f>+G229</f>
        <v>45</v>
      </c>
      <c r="I229" s="1115">
        <f>+H229-G229</f>
        <v>0</v>
      </c>
      <c r="J229" s="1117">
        <v>45</v>
      </c>
      <c r="K229" s="1114">
        <f>+J229</f>
        <v>45</v>
      </c>
      <c r="L229" s="1115">
        <f>+K229-J229</f>
        <v>0</v>
      </c>
      <c r="M229" s="1117">
        <v>45</v>
      </c>
      <c r="N229" s="1114">
        <f>+M229</f>
        <v>45</v>
      </c>
      <c r="O229" s="1113">
        <f>+N229-M229</f>
        <v>0</v>
      </c>
      <c r="P229" s="2011" t="s">
        <v>293</v>
      </c>
      <c r="Q229" s="900">
        <v>10</v>
      </c>
      <c r="R229" s="967"/>
      <c r="S229" s="348">
        <v>10</v>
      </c>
      <c r="T229" s="967"/>
      <c r="U229" s="348">
        <v>10</v>
      </c>
      <c r="V229" s="138"/>
      <c r="W229" s="138"/>
    </row>
    <row r="230" spans="1:27" ht="13.5" customHeight="1" x14ac:dyDescent="0.25">
      <c r="A230" s="935"/>
      <c r="B230" s="1541"/>
      <c r="C230" s="71"/>
      <c r="D230" s="1871"/>
      <c r="E230" s="1566"/>
      <c r="F230" s="1124"/>
      <c r="G230" s="1157"/>
      <c r="H230" s="1126"/>
      <c r="I230" s="1129"/>
      <c r="J230" s="1128"/>
      <c r="K230" s="1126"/>
      <c r="L230" s="1129"/>
      <c r="M230" s="1128"/>
      <c r="N230" s="1126"/>
      <c r="O230" s="1128"/>
      <c r="P230" s="2012"/>
      <c r="Q230" s="920"/>
      <c r="R230" s="997"/>
      <c r="S230" s="690"/>
      <c r="T230" s="997"/>
      <c r="U230" s="690"/>
      <c r="V230" s="154"/>
      <c r="W230" s="154"/>
    </row>
    <row r="231" spans="1:27" ht="35.15" customHeight="1" x14ac:dyDescent="0.25">
      <c r="A231" s="1595"/>
      <c r="B231" s="1541"/>
      <c r="C231" s="1542"/>
      <c r="D231" s="1775" t="s">
        <v>72</v>
      </c>
      <c r="E231" s="1564"/>
      <c r="F231" s="1098" t="s">
        <v>394</v>
      </c>
      <c r="G231" s="1641">
        <v>610.4</v>
      </c>
      <c r="H231" s="1309">
        <f>610.4+53.8</f>
        <v>664.2</v>
      </c>
      <c r="I231" s="1310">
        <f>+H231-G231</f>
        <v>53.8</v>
      </c>
      <c r="J231" s="224">
        <v>636</v>
      </c>
      <c r="K231" s="213">
        <f>636</f>
        <v>636</v>
      </c>
      <c r="L231" s="522">
        <f>+K231-J231</f>
        <v>0</v>
      </c>
      <c r="M231" s="224">
        <v>660</v>
      </c>
      <c r="N231" s="213">
        <f>660</f>
        <v>660</v>
      </c>
      <c r="O231" s="226">
        <f>+N231-M231</f>
        <v>0</v>
      </c>
      <c r="P231" s="412" t="s">
        <v>84</v>
      </c>
      <c r="Q231" s="904">
        <v>173</v>
      </c>
      <c r="R231" s="969"/>
      <c r="S231" s="533">
        <v>173</v>
      </c>
      <c r="T231" s="969"/>
      <c r="U231" s="533">
        <v>173</v>
      </c>
      <c r="V231" s="137"/>
      <c r="W231" s="1952" t="s">
        <v>497</v>
      </c>
    </row>
    <row r="232" spans="1:27" ht="35.15" customHeight="1" x14ac:dyDescent="0.25">
      <c r="A232" s="935"/>
      <c r="B232" s="1541"/>
      <c r="C232" s="75"/>
      <c r="D232" s="1808"/>
      <c r="E232" s="1566"/>
      <c r="F232" s="1124" t="s">
        <v>395</v>
      </c>
      <c r="G232" s="1157">
        <v>15.7</v>
      </c>
      <c r="H232" s="1126">
        <f>+G232</f>
        <v>15.7</v>
      </c>
      <c r="I232" s="1129">
        <f>+H232-G232</f>
        <v>0</v>
      </c>
      <c r="J232" s="1128">
        <v>20</v>
      </c>
      <c r="K232" s="1126">
        <f>+J232</f>
        <v>20</v>
      </c>
      <c r="L232" s="1129">
        <f>+K232-J232</f>
        <v>0</v>
      </c>
      <c r="M232" s="1128">
        <v>26</v>
      </c>
      <c r="N232" s="1126">
        <f>+M232</f>
        <v>26</v>
      </c>
      <c r="O232" s="1125">
        <f>+N232-M232</f>
        <v>0</v>
      </c>
      <c r="P232" s="407"/>
      <c r="Q232" s="905"/>
      <c r="R232" s="972"/>
      <c r="S232" s="346"/>
      <c r="T232" s="972"/>
      <c r="U232" s="346"/>
      <c r="V232" s="135"/>
      <c r="W232" s="1953"/>
    </row>
    <row r="233" spans="1:27" ht="30" customHeight="1" x14ac:dyDescent="0.25">
      <c r="A233" s="935"/>
      <c r="B233" s="1541"/>
      <c r="C233" s="71"/>
      <c r="D233" s="472" t="s">
        <v>286</v>
      </c>
      <c r="E233" s="159"/>
      <c r="F233" s="1156" t="s">
        <v>381</v>
      </c>
      <c r="G233" s="1157"/>
      <c r="H233" s="1126"/>
      <c r="I233" s="1129"/>
      <c r="J233" s="1128"/>
      <c r="K233" s="1126"/>
      <c r="L233" s="1129"/>
      <c r="M233" s="1128"/>
      <c r="N233" s="1126"/>
      <c r="O233" s="1128"/>
      <c r="P233" s="428" t="s">
        <v>267</v>
      </c>
      <c r="Q233" s="573">
        <v>0</v>
      </c>
      <c r="R233" s="998"/>
      <c r="S233" s="692">
        <v>10</v>
      </c>
      <c r="T233" s="998"/>
      <c r="U233" s="692"/>
      <c r="V233" s="571"/>
      <c r="W233" s="571"/>
    </row>
    <row r="234" spans="1:27" ht="17.25" customHeight="1" x14ac:dyDescent="0.25">
      <c r="A234" s="1998"/>
      <c r="B234" s="1790"/>
      <c r="C234" s="1870"/>
      <c r="D234" s="1858" t="s">
        <v>141</v>
      </c>
      <c r="E234" s="874" t="s">
        <v>118</v>
      </c>
      <c r="F234" s="1185" t="s">
        <v>381</v>
      </c>
      <c r="G234" s="1139">
        <v>139.1</v>
      </c>
      <c r="H234" s="1114">
        <f>+G234</f>
        <v>139.1</v>
      </c>
      <c r="I234" s="1115">
        <f>+H234-G234</f>
        <v>0</v>
      </c>
      <c r="J234" s="1117">
        <v>139.1</v>
      </c>
      <c r="K234" s="1114">
        <f>+J234</f>
        <v>139.1</v>
      </c>
      <c r="L234" s="1115">
        <f>+K234-J234</f>
        <v>0</v>
      </c>
      <c r="M234" s="1117">
        <v>139.1</v>
      </c>
      <c r="N234" s="1114">
        <f>+M234</f>
        <v>139.1</v>
      </c>
      <c r="O234" s="1118">
        <f>+N234-M234</f>
        <v>0</v>
      </c>
      <c r="P234" s="1599" t="s">
        <v>56</v>
      </c>
      <c r="Q234" s="921">
        <v>18</v>
      </c>
      <c r="R234" s="999"/>
      <c r="S234" s="996">
        <v>18</v>
      </c>
      <c r="T234" s="1000"/>
      <c r="U234" s="996">
        <v>18</v>
      </c>
      <c r="V234" s="153"/>
      <c r="W234" s="153"/>
    </row>
    <row r="235" spans="1:27" ht="21.75" customHeight="1" x14ac:dyDescent="0.25">
      <c r="A235" s="1998"/>
      <c r="B235" s="1790"/>
      <c r="C235" s="1870"/>
      <c r="D235" s="1871"/>
      <c r="E235" s="1565" t="s">
        <v>418</v>
      </c>
      <c r="F235" s="1181"/>
      <c r="G235" s="1349"/>
      <c r="H235" s="1187"/>
      <c r="I235" s="1350"/>
      <c r="J235" s="1351"/>
      <c r="K235" s="1187"/>
      <c r="L235" s="1350"/>
      <c r="M235" s="1351"/>
      <c r="N235" s="1187"/>
      <c r="O235" s="1186"/>
      <c r="P235" s="410" t="s">
        <v>61</v>
      </c>
      <c r="Q235" s="444">
        <v>7</v>
      </c>
      <c r="R235" s="445"/>
      <c r="S235" s="350">
        <v>7</v>
      </c>
      <c r="T235" s="545"/>
      <c r="U235" s="566">
        <v>7</v>
      </c>
      <c r="V235" s="568"/>
      <c r="W235" s="445"/>
    </row>
    <row r="236" spans="1:27" ht="30" customHeight="1" x14ac:dyDescent="0.25">
      <c r="A236" s="935"/>
      <c r="B236" s="1541"/>
      <c r="C236" s="71"/>
      <c r="D236" s="472" t="s">
        <v>310</v>
      </c>
      <c r="E236" s="159"/>
      <c r="F236" s="1124" t="s">
        <v>394</v>
      </c>
      <c r="G236" s="1157"/>
      <c r="H236" s="1126"/>
      <c r="I236" s="1129"/>
      <c r="J236" s="1128">
        <v>40</v>
      </c>
      <c r="K236" s="1126">
        <f>+J236</f>
        <v>40</v>
      </c>
      <c r="L236" s="1129">
        <f>+K236-J236</f>
        <v>0</v>
      </c>
      <c r="M236" s="1128"/>
      <c r="N236" s="1126"/>
      <c r="O236" s="1128"/>
      <c r="P236" s="428" t="s">
        <v>185</v>
      </c>
      <c r="Q236" s="573"/>
      <c r="R236" s="998"/>
      <c r="S236" s="692">
        <v>1</v>
      </c>
      <c r="T236" s="998"/>
      <c r="U236" s="692"/>
      <c r="V236" s="571"/>
      <c r="W236" s="571"/>
    </row>
    <row r="237" spans="1:27" ht="39.65" customHeight="1" x14ac:dyDescent="0.25">
      <c r="A237" s="935"/>
      <c r="B237" s="1541"/>
      <c r="C237" s="71"/>
      <c r="D237" s="472" t="s">
        <v>411</v>
      </c>
      <c r="E237" s="159"/>
      <c r="F237" s="1124" t="s">
        <v>394</v>
      </c>
      <c r="G237" s="1157"/>
      <c r="H237" s="1126"/>
      <c r="I237" s="1129"/>
      <c r="J237" s="1128">
        <v>20</v>
      </c>
      <c r="K237" s="1126">
        <f>+J237</f>
        <v>20</v>
      </c>
      <c r="L237" s="1129">
        <f>+K237-J237</f>
        <v>0</v>
      </c>
      <c r="M237" s="1128">
        <v>20</v>
      </c>
      <c r="N237" s="1126">
        <f>+M237</f>
        <v>20</v>
      </c>
      <c r="O237" s="1128">
        <f>+N237-M237</f>
        <v>0</v>
      </c>
      <c r="P237" s="428" t="s">
        <v>312</v>
      </c>
      <c r="Q237" s="573"/>
      <c r="R237" s="998"/>
      <c r="S237" s="692">
        <v>50</v>
      </c>
      <c r="T237" s="998"/>
      <c r="U237" s="692">
        <v>100</v>
      </c>
      <c r="V237" s="571"/>
      <c r="W237" s="571"/>
    </row>
    <row r="238" spans="1:27" ht="80.150000000000006" customHeight="1" x14ac:dyDescent="0.25">
      <c r="A238" s="935"/>
      <c r="B238" s="1541"/>
      <c r="C238" s="71"/>
      <c r="D238" s="472" t="s">
        <v>313</v>
      </c>
      <c r="E238" s="159"/>
      <c r="F238" s="124" t="s">
        <v>394</v>
      </c>
      <c r="G238" s="38">
        <v>20</v>
      </c>
      <c r="H238" s="214">
        <f>+G238</f>
        <v>20</v>
      </c>
      <c r="I238" s="456">
        <f>+H238-G238</f>
        <v>0</v>
      </c>
      <c r="J238" s="1660">
        <v>10</v>
      </c>
      <c r="K238" s="1322">
        <f>+J238+10</f>
        <v>20</v>
      </c>
      <c r="L238" s="1323">
        <f>+K238-J238</f>
        <v>10</v>
      </c>
      <c r="M238" s="1315">
        <v>10</v>
      </c>
      <c r="N238" s="1322">
        <f>+M238+10</f>
        <v>20</v>
      </c>
      <c r="O238" s="1315">
        <f>+N238-M238</f>
        <v>10</v>
      </c>
      <c r="P238" s="428" t="s">
        <v>314</v>
      </c>
      <c r="Q238" s="1658">
        <v>14</v>
      </c>
      <c r="R238" s="1659">
        <v>7</v>
      </c>
      <c r="S238" s="692">
        <v>7</v>
      </c>
      <c r="T238" s="998"/>
      <c r="U238" s="692">
        <v>7</v>
      </c>
      <c r="V238" s="571"/>
      <c r="W238" s="1661" t="s">
        <v>499</v>
      </c>
    </row>
    <row r="239" spans="1:27" ht="15" customHeight="1" thickBot="1" x14ac:dyDescent="0.3">
      <c r="A239" s="936"/>
      <c r="B239" s="104"/>
      <c r="C239" s="73"/>
      <c r="D239" s="694"/>
      <c r="E239" s="181"/>
      <c r="F239" s="41" t="s">
        <v>5</v>
      </c>
      <c r="G239" s="515">
        <f>+G215+G216+G217+G218</f>
        <v>1743.7</v>
      </c>
      <c r="H239" s="337">
        <f>+H215+H216+H217+H218</f>
        <v>1797.5</v>
      </c>
      <c r="I239" s="523">
        <f>+I215+I216+I217+I218</f>
        <v>53.8</v>
      </c>
      <c r="J239" s="45">
        <f t="shared" ref="J239:M239" si="37">+J215+J216+J217+J218</f>
        <v>1794.8</v>
      </c>
      <c r="K239" s="956">
        <f t="shared" ref="K239" si="38">+K215+K216+K217+K218</f>
        <v>1804.8</v>
      </c>
      <c r="L239" s="523">
        <f t="shared" ref="L239" si="39">+L215+L216+L217+L218</f>
        <v>10</v>
      </c>
      <c r="M239" s="790">
        <f t="shared" si="37"/>
        <v>1804.8</v>
      </c>
      <c r="N239" s="337">
        <f t="shared" ref="N239" si="40">+N215+N216+N217+N218</f>
        <v>1814.8</v>
      </c>
      <c r="O239" s="535">
        <f t="shared" ref="O239" si="41">+O215+O216+O217+O218</f>
        <v>10</v>
      </c>
      <c r="P239" s="74"/>
      <c r="Q239" s="284"/>
      <c r="R239" s="284"/>
      <c r="S239" s="281"/>
      <c r="T239" s="281"/>
      <c r="U239" s="284"/>
      <c r="V239" s="284"/>
      <c r="W239" s="285"/>
      <c r="Y239" s="889">
        <v>1770.2</v>
      </c>
      <c r="Z239" s="1">
        <v>1794.8</v>
      </c>
      <c r="AA239" s="1">
        <v>1804.8</v>
      </c>
    </row>
    <row r="240" spans="1:27" ht="13.5" customHeight="1" x14ac:dyDescent="0.25">
      <c r="A240" s="941" t="s">
        <v>4</v>
      </c>
      <c r="B240" s="120" t="s">
        <v>25</v>
      </c>
      <c r="C240" s="80" t="s">
        <v>6</v>
      </c>
      <c r="D240" s="1878" t="s">
        <v>184</v>
      </c>
      <c r="E240" s="1880"/>
      <c r="F240" s="1095" t="s">
        <v>22</v>
      </c>
      <c r="G240" s="1657">
        <f>20+118.3+40+4</f>
        <v>182.3</v>
      </c>
      <c r="H240" s="1657">
        <f>20+118.3+40+4-103.3</f>
        <v>79</v>
      </c>
      <c r="I240" s="1329">
        <f t="shared" ref="I240:I245" si="42">+H240-G240</f>
        <v>-103.3</v>
      </c>
      <c r="J240" s="1657">
        <f>1537.4+349.1+270+31.9-79.6+72.8</f>
        <v>2181.6</v>
      </c>
      <c r="K240" s="1657">
        <f>1537.4+349.1+270+31.9-79.6+72.8-618.6</f>
        <v>1563</v>
      </c>
      <c r="L240" s="1329">
        <f>+K240-J240</f>
        <v>-618.6</v>
      </c>
      <c r="M240" s="427">
        <f>136.5-133.1+72.8</f>
        <v>76.2</v>
      </c>
      <c r="N240" s="427">
        <f>136.5-133.1+72.8</f>
        <v>76.2</v>
      </c>
      <c r="O240" s="282">
        <f>+N240-M240</f>
        <v>0</v>
      </c>
      <c r="P240" s="430"/>
      <c r="Q240" s="838"/>
      <c r="R240" s="814"/>
      <c r="S240" s="427"/>
      <c r="T240" s="814"/>
      <c r="U240" s="427"/>
      <c r="V240" s="155"/>
      <c r="W240" s="1662"/>
      <c r="Y240" s="16">
        <f>+G253+G257+G260+G266+G275</f>
        <v>138.30000000000001</v>
      </c>
      <c r="Z240" s="16">
        <f>+J253+J257+J260+J266+J275</f>
        <v>1806.9</v>
      </c>
      <c r="AA240" s="16">
        <f>+M253+M257+M260+M266+M275</f>
        <v>3.4</v>
      </c>
    </row>
    <row r="241" spans="1:28" ht="13.5" customHeight="1" x14ac:dyDescent="0.25">
      <c r="A241" s="1594"/>
      <c r="B241" s="1573"/>
      <c r="C241" s="1574"/>
      <c r="D241" s="1879"/>
      <c r="E241" s="1881"/>
      <c r="F241" s="20" t="s">
        <v>207</v>
      </c>
      <c r="G241" s="1589">
        <v>28.6</v>
      </c>
      <c r="H241" s="1559">
        <v>28.6</v>
      </c>
      <c r="I241" s="1554">
        <f t="shared" si="42"/>
        <v>0</v>
      </c>
      <c r="J241" s="1559">
        <v>8.3000000000000007</v>
      </c>
      <c r="K241" s="1559">
        <v>8.3000000000000007</v>
      </c>
      <c r="L241" s="1554">
        <f>+K241-J241</f>
        <v>0</v>
      </c>
      <c r="M241" s="1559"/>
      <c r="N241" s="1559"/>
      <c r="O241" s="32"/>
      <c r="P241" s="815"/>
      <c r="Q241" s="1589"/>
      <c r="R241" s="1554"/>
      <c r="S241" s="1559"/>
      <c r="T241" s="1554"/>
      <c r="U241" s="1559"/>
      <c r="V241" s="1596"/>
      <c r="W241" s="1633"/>
      <c r="Y241" s="16">
        <f>+G268</f>
        <v>28.6</v>
      </c>
      <c r="Z241" s="16">
        <f>+J268</f>
        <v>8.3000000000000007</v>
      </c>
      <c r="AA241" s="16">
        <f>+M268</f>
        <v>0</v>
      </c>
    </row>
    <row r="242" spans="1:28" ht="13.5" customHeight="1" x14ac:dyDescent="0.25">
      <c r="A242" s="1594"/>
      <c r="B242" s="1573"/>
      <c r="C242" s="1574"/>
      <c r="D242" s="1879"/>
      <c r="E242" s="1881"/>
      <c r="F242" s="1671" t="s">
        <v>57</v>
      </c>
      <c r="G242" s="1305">
        <f>846.5+124.5+26.5</f>
        <v>997.5</v>
      </c>
      <c r="H242" s="1305">
        <f>846.5+124.5+26.5</f>
        <v>997.5</v>
      </c>
      <c r="I242" s="1304">
        <f t="shared" si="42"/>
        <v>0</v>
      </c>
      <c r="J242" s="1305">
        <f>57.2+206.1</f>
        <v>263.3</v>
      </c>
      <c r="K242" s="1305">
        <f>57.2+206.1+721.9</f>
        <v>985.2</v>
      </c>
      <c r="L242" s="1304">
        <f>+K242-J242</f>
        <v>721.9</v>
      </c>
      <c r="M242" s="1559">
        <f>57.2+133.1+54.6</f>
        <v>244.9</v>
      </c>
      <c r="N242" s="1559">
        <f>57.2+133.1+54.6</f>
        <v>244.9</v>
      </c>
      <c r="O242" s="32">
        <f>+N242-M242</f>
        <v>0</v>
      </c>
      <c r="P242" s="815"/>
      <c r="Q242" s="1589"/>
      <c r="R242" s="1554"/>
      <c r="S242" s="1559"/>
      <c r="T242" s="1554"/>
      <c r="U242" s="1559"/>
      <c r="V242" s="1596"/>
      <c r="W242" s="1633"/>
      <c r="Y242" s="16">
        <f>+G254+G259+G261+G272+G274</f>
        <v>997.5</v>
      </c>
      <c r="Z242" s="16">
        <f>+J254+J259+J261+J272+J274</f>
        <v>263.3</v>
      </c>
      <c r="AA242" s="16">
        <f>+M254+M259+M261+M272+M274</f>
        <v>190.3</v>
      </c>
    </row>
    <row r="243" spans="1:28" ht="13.5" customHeight="1" x14ac:dyDescent="0.25">
      <c r="A243" s="1594"/>
      <c r="B243" s="1573"/>
      <c r="C243" s="1574"/>
      <c r="D243" s="1879"/>
      <c r="E243" s="1881"/>
      <c r="F243" s="20" t="s">
        <v>50</v>
      </c>
      <c r="G243" s="1589">
        <v>17.8</v>
      </c>
      <c r="H243" s="1559">
        <v>17.8</v>
      </c>
      <c r="I243" s="1554">
        <f t="shared" si="42"/>
        <v>0</v>
      </c>
      <c r="J243" s="1559"/>
      <c r="K243" s="1559"/>
      <c r="L243" s="1554"/>
      <c r="M243" s="1559"/>
      <c r="N243" s="1559"/>
      <c r="O243" s="32"/>
      <c r="P243" s="815"/>
      <c r="Q243" s="1589"/>
      <c r="R243" s="1554"/>
      <c r="S243" s="1559"/>
      <c r="T243" s="1554"/>
      <c r="U243" s="1559"/>
      <c r="V243" s="1596"/>
      <c r="W243" s="1633"/>
      <c r="Y243" s="16">
        <f>+G248+G263+G267</f>
        <v>17.8</v>
      </c>
      <c r="Z243" s="16">
        <f>+J248+J263+J267</f>
        <v>0</v>
      </c>
      <c r="AA243" s="16">
        <f>+M248+M263+M267</f>
        <v>0</v>
      </c>
    </row>
    <row r="244" spans="1:28" ht="13.5" customHeight="1" x14ac:dyDescent="0.25">
      <c r="A244" s="1594"/>
      <c r="B244" s="1573"/>
      <c r="C244" s="1574"/>
      <c r="D244" s="1879"/>
      <c r="E244" s="1881"/>
      <c r="F244" s="20" t="s">
        <v>59</v>
      </c>
      <c r="G244" s="1589">
        <v>363.6</v>
      </c>
      <c r="H244" s="1559">
        <v>363.6</v>
      </c>
      <c r="I244" s="1554">
        <f t="shared" si="42"/>
        <v>0</v>
      </c>
      <c r="J244" s="1559"/>
      <c r="K244" s="1559"/>
      <c r="L244" s="1554"/>
      <c r="M244" s="1559"/>
      <c r="N244" s="1559"/>
      <c r="O244" s="32"/>
      <c r="P244" s="815"/>
      <c r="Q244" s="1589"/>
      <c r="R244" s="1554"/>
      <c r="S244" s="1559"/>
      <c r="T244" s="1554"/>
      <c r="U244" s="1559"/>
      <c r="V244" s="1596"/>
      <c r="W244" s="1633"/>
      <c r="Y244" s="16">
        <f>+G258</f>
        <v>363.6</v>
      </c>
      <c r="Z244" s="16">
        <f>+J258</f>
        <v>0</v>
      </c>
      <c r="AA244" s="16">
        <f>+M258</f>
        <v>0</v>
      </c>
    </row>
    <row r="245" spans="1:28" ht="13.5" customHeight="1" x14ac:dyDescent="0.25">
      <c r="A245" s="1594"/>
      <c r="B245" s="1573"/>
      <c r="C245" s="1574"/>
      <c r="D245" s="1879"/>
      <c r="E245" s="1881"/>
      <c r="F245" s="534" t="s">
        <v>367</v>
      </c>
      <c r="G245" s="1559">
        <v>13.8</v>
      </c>
      <c r="H245" s="1559">
        <v>13.8</v>
      </c>
      <c r="I245" s="1554">
        <f t="shared" si="42"/>
        <v>0</v>
      </c>
      <c r="J245" s="1559"/>
      <c r="K245" s="1559"/>
      <c r="L245" s="1554"/>
      <c r="M245" s="1559"/>
      <c r="N245" s="1559"/>
      <c r="O245" s="32"/>
      <c r="P245" s="815"/>
      <c r="Q245" s="1589"/>
      <c r="R245" s="1554"/>
      <c r="S245" s="1559"/>
      <c r="T245" s="1554"/>
      <c r="U245" s="1559"/>
      <c r="V245" s="1596"/>
      <c r="W245" s="1633"/>
      <c r="Y245" s="16">
        <f>+G255</f>
        <v>13.8</v>
      </c>
      <c r="Z245" s="16"/>
      <c r="AA245" s="16"/>
    </row>
    <row r="246" spans="1:28" ht="13.5" customHeight="1" x14ac:dyDescent="0.25">
      <c r="A246" s="1594"/>
      <c r="B246" s="1573"/>
      <c r="C246" s="1574"/>
      <c r="D246" s="1879"/>
      <c r="E246" s="1881"/>
      <c r="F246" s="1095" t="s">
        <v>68</v>
      </c>
      <c r="G246" s="1305">
        <f>158.7+230</f>
        <v>388.7</v>
      </c>
      <c r="H246" s="1305">
        <f>158.7+230-150</f>
        <v>238.7</v>
      </c>
      <c r="I246" s="1304">
        <f t="shared" ref="I246:I247" si="43">+H246-G246</f>
        <v>-150</v>
      </c>
      <c r="J246" s="1305"/>
      <c r="K246" s="1305">
        <v>150</v>
      </c>
      <c r="L246" s="1304">
        <f>+K246-J246</f>
        <v>150</v>
      </c>
      <c r="M246" s="1559"/>
      <c r="N246" s="1559"/>
      <c r="O246" s="32"/>
      <c r="P246" s="815"/>
      <c r="Q246" s="1589"/>
      <c r="R246" s="1554"/>
      <c r="S246" s="1559"/>
      <c r="T246" s="1554"/>
      <c r="U246" s="1559"/>
      <c r="V246" s="1596"/>
      <c r="W246" s="1633"/>
      <c r="Y246" s="16">
        <f>+G262</f>
        <v>388.7</v>
      </c>
      <c r="Z246" s="16"/>
      <c r="AA246" s="16"/>
    </row>
    <row r="247" spans="1:28" ht="14.25" customHeight="1" x14ac:dyDescent="0.25">
      <c r="A247" s="1594"/>
      <c r="B247" s="1573"/>
      <c r="C247" s="1574"/>
      <c r="D247" s="1807"/>
      <c r="E247" s="1882"/>
      <c r="F247" s="548" t="s">
        <v>38</v>
      </c>
      <c r="G247" s="202">
        <f>599.3-484.5</f>
        <v>114.8</v>
      </c>
      <c r="H247" s="202">
        <f>599.3-484.5</f>
        <v>114.8</v>
      </c>
      <c r="I247" s="1554">
        <f t="shared" si="43"/>
        <v>0</v>
      </c>
      <c r="J247" s="202">
        <f>1173.1-1130.5</f>
        <v>42.6</v>
      </c>
      <c r="K247" s="202">
        <f>1173.1-1130.5</f>
        <v>42.6</v>
      </c>
      <c r="L247" s="456">
        <f>+K247-J247</f>
        <v>0</v>
      </c>
      <c r="M247" s="202"/>
      <c r="N247" s="202"/>
      <c r="O247" s="43"/>
      <c r="P247" s="1600"/>
      <c r="Q247" s="38"/>
      <c r="R247" s="456"/>
      <c r="S247" s="202"/>
      <c r="T247" s="456"/>
      <c r="U247" s="202"/>
      <c r="V247" s="44"/>
      <c r="W247" s="1633"/>
      <c r="Y247" s="16">
        <f>+G256+G264+G269</f>
        <v>114.8</v>
      </c>
      <c r="Z247" s="16">
        <f>+J256+J264+J269</f>
        <v>42.6</v>
      </c>
      <c r="AA247" s="16">
        <f>+M256+M264+M269</f>
        <v>0</v>
      </c>
    </row>
    <row r="248" spans="1:28" ht="15" customHeight="1" x14ac:dyDescent="0.25">
      <c r="A248" s="1993"/>
      <c r="B248" s="1869"/>
      <c r="C248" s="1870"/>
      <c r="D248" s="1775" t="s">
        <v>413</v>
      </c>
      <c r="E248" s="827" t="s">
        <v>197</v>
      </c>
      <c r="F248" s="1119" t="s">
        <v>382</v>
      </c>
      <c r="G248" s="1135">
        <v>1</v>
      </c>
      <c r="H248" s="1110">
        <f>+G248</f>
        <v>1</v>
      </c>
      <c r="I248" s="1137">
        <f>+H248-G248</f>
        <v>0</v>
      </c>
      <c r="J248" s="224"/>
      <c r="K248" s="213"/>
      <c r="L248" s="522"/>
      <c r="M248" s="224"/>
      <c r="N248" s="224"/>
      <c r="O248" s="226"/>
      <c r="P248" s="1999" t="s">
        <v>412</v>
      </c>
      <c r="Q248" s="527"/>
      <c r="R248" s="563"/>
      <c r="S248" s="359"/>
      <c r="T248" s="563"/>
      <c r="U248" s="359"/>
      <c r="V248" s="140"/>
      <c r="W248" s="1633"/>
      <c r="Y248" s="16">
        <f>SUM(Y240:Y247)</f>
        <v>2063.1</v>
      </c>
      <c r="Z248" s="16">
        <f t="shared" ref="Z248:AA248" si="44">SUM(Z240:Z247)</f>
        <v>2121.1</v>
      </c>
      <c r="AA248" s="16">
        <f t="shared" si="44"/>
        <v>193.7</v>
      </c>
    </row>
    <row r="249" spans="1:28" ht="14.25" customHeight="1" x14ac:dyDescent="0.25">
      <c r="A249" s="1993"/>
      <c r="B249" s="1869"/>
      <c r="C249" s="1870"/>
      <c r="D249" s="1776"/>
      <c r="E249" s="828" t="s">
        <v>118</v>
      </c>
      <c r="F249" s="20"/>
      <c r="G249" s="1589"/>
      <c r="H249" s="1553"/>
      <c r="I249" s="1554"/>
      <c r="J249" s="1559"/>
      <c r="K249" s="1553"/>
      <c r="L249" s="1554"/>
      <c r="M249" s="1559"/>
      <c r="N249" s="1559"/>
      <c r="O249" s="32"/>
      <c r="P249" s="2000"/>
      <c r="Q249" s="547"/>
      <c r="R249" s="1003"/>
      <c r="S249" s="925"/>
      <c r="T249" s="1003"/>
      <c r="U249" s="925"/>
      <c r="V249" s="475"/>
      <c r="W249" s="1633"/>
      <c r="Y249" s="16">
        <f>+Y248-G284</f>
        <v>-44</v>
      </c>
      <c r="Z249" s="16">
        <f>+Z248-J284</f>
        <v>-374.7</v>
      </c>
      <c r="AA249" s="16">
        <f>+AA248-M284</f>
        <v>-127.4</v>
      </c>
    </row>
    <row r="250" spans="1:28" ht="14.25" customHeight="1" x14ac:dyDescent="0.25">
      <c r="A250" s="1993"/>
      <c r="B250" s="1869"/>
      <c r="C250" s="1870"/>
      <c r="D250" s="1807"/>
      <c r="E250" s="1548" t="s">
        <v>205</v>
      </c>
      <c r="F250" s="20"/>
      <c r="G250" s="1589"/>
      <c r="H250" s="1553"/>
      <c r="I250" s="1554"/>
      <c r="J250" s="1559"/>
      <c r="K250" s="1553"/>
      <c r="L250" s="1554"/>
      <c r="M250" s="1559"/>
      <c r="N250" s="1559"/>
      <c r="O250" s="32"/>
      <c r="P250" s="1989" t="s">
        <v>174</v>
      </c>
      <c r="Q250" s="833"/>
      <c r="R250" s="589"/>
      <c r="S250" s="349"/>
      <c r="T250" s="589"/>
      <c r="U250" s="349"/>
      <c r="V250" s="141"/>
      <c r="W250" s="1633"/>
    </row>
    <row r="251" spans="1:28" ht="17.25" customHeight="1" x14ac:dyDescent="0.25">
      <c r="A251" s="1993"/>
      <c r="B251" s="1869"/>
      <c r="C251" s="1870"/>
      <c r="D251" s="1808"/>
      <c r="E251" s="210"/>
      <c r="F251" s="124"/>
      <c r="G251" s="38"/>
      <c r="H251" s="214"/>
      <c r="I251" s="456"/>
      <c r="J251" s="1559"/>
      <c r="K251" s="1553"/>
      <c r="L251" s="1554"/>
      <c r="M251" s="1559"/>
      <c r="N251" s="1559"/>
      <c r="O251" s="32"/>
      <c r="P251" s="1981"/>
      <c r="Q251" s="833"/>
      <c r="R251" s="589"/>
      <c r="S251" s="349"/>
      <c r="T251" s="589"/>
      <c r="U251" s="350"/>
      <c r="V251" s="142"/>
      <c r="W251" s="1633"/>
      <c r="Y251" s="16">
        <f>+G240+G241+G242+G243+G244+G247+G245+G246</f>
        <v>2107.1</v>
      </c>
      <c r="Z251" s="16">
        <f>+J240+J241+J242+J243+J244+J247</f>
        <v>2495.8000000000002</v>
      </c>
      <c r="AA251" s="16">
        <f t="shared" ref="AA251" si="45">+M240+M241+M242+M243+M244+M247</f>
        <v>321.10000000000002</v>
      </c>
    </row>
    <row r="252" spans="1:28" ht="16.5" customHeight="1" x14ac:dyDescent="0.25">
      <c r="A252" s="1594"/>
      <c r="B252" s="1573"/>
      <c r="C252" s="1574"/>
      <c r="D252" s="794" t="s">
        <v>338</v>
      </c>
      <c r="E252" s="435" t="s">
        <v>197</v>
      </c>
      <c r="F252" s="528"/>
      <c r="G252" s="529"/>
      <c r="H252" s="213"/>
      <c r="I252" s="530"/>
      <c r="J252" s="224"/>
      <c r="K252" s="213"/>
      <c r="L252" s="522"/>
      <c r="M252" s="224"/>
      <c r="N252" s="224"/>
      <c r="O252" s="215"/>
      <c r="P252" s="522"/>
      <c r="Q252" s="578"/>
      <c r="R252" s="583"/>
      <c r="S252" s="923"/>
      <c r="T252" s="583"/>
      <c r="U252" s="1668"/>
      <c r="V252" s="924"/>
      <c r="W252" s="464"/>
      <c r="X252" s="1463"/>
      <c r="Y252" s="1463"/>
      <c r="Z252" s="1463"/>
      <c r="AA252" s="1463"/>
      <c r="AB252" s="1463"/>
    </row>
    <row r="253" spans="1:28" ht="16.5" customHeight="1" x14ac:dyDescent="0.25">
      <c r="A253" s="1594"/>
      <c r="B253" s="1573"/>
      <c r="C253" s="1574"/>
      <c r="D253" s="1874" t="s">
        <v>339</v>
      </c>
      <c r="E253" s="436"/>
      <c r="F253" s="1095" t="s">
        <v>381</v>
      </c>
      <c r="G253" s="1303">
        <f>1.7+118.3</f>
        <v>120</v>
      </c>
      <c r="H253" s="1664">
        <f>1.7+118.3-103.3</f>
        <v>16.7</v>
      </c>
      <c r="I253" s="1304">
        <f>+H253-G253</f>
        <v>-103.3</v>
      </c>
      <c r="J253" s="1665">
        <f>269.5+349.1</f>
        <v>618.6</v>
      </c>
      <c r="K253" s="1664">
        <v>0</v>
      </c>
      <c r="L253" s="1643">
        <f>+K253-J253</f>
        <v>-618.6</v>
      </c>
      <c r="M253" s="490"/>
      <c r="N253" s="236"/>
      <c r="O253" s="433"/>
      <c r="P253" s="1996" t="s">
        <v>290</v>
      </c>
      <c r="Q253" s="1666">
        <v>40</v>
      </c>
      <c r="R253" s="1667">
        <v>35</v>
      </c>
      <c r="S253" s="1073">
        <v>100</v>
      </c>
      <c r="T253" s="1074"/>
      <c r="U253" s="1002"/>
      <c r="V253" s="1669"/>
      <c r="W253" s="1975" t="s">
        <v>498</v>
      </c>
      <c r="X253" s="1463"/>
      <c r="Y253" s="1463"/>
      <c r="Z253" s="1463"/>
      <c r="AA253" s="1463"/>
      <c r="AB253" s="1463"/>
    </row>
    <row r="254" spans="1:28" ht="16.5" customHeight="1" x14ac:dyDescent="0.25">
      <c r="A254" s="1594"/>
      <c r="B254" s="1573"/>
      <c r="C254" s="1574"/>
      <c r="D254" s="1874"/>
      <c r="E254" s="436"/>
      <c r="F254" s="1672" t="s">
        <v>394</v>
      </c>
      <c r="G254" s="1553">
        <f>113.8+158.7+124.5+150</f>
        <v>547</v>
      </c>
      <c r="H254" s="1553">
        <f>113.8+158.7+124.5+150</f>
        <v>547</v>
      </c>
      <c r="I254" s="1554">
        <f>+H254-G254</f>
        <v>0</v>
      </c>
      <c r="J254" s="1303">
        <v>206.1</v>
      </c>
      <c r="K254" s="1303">
        <v>928</v>
      </c>
      <c r="L254" s="1304">
        <f>+K254-J254</f>
        <v>721.9</v>
      </c>
      <c r="M254" s="1559"/>
      <c r="N254" s="1559"/>
      <c r="O254" s="1596"/>
      <c r="P254" s="1997"/>
      <c r="Q254" s="700"/>
      <c r="R254" s="1004"/>
      <c r="S254" s="888"/>
      <c r="T254" s="1004"/>
      <c r="U254" s="1002"/>
      <c r="V254" s="926"/>
      <c r="W254" s="1976"/>
      <c r="X254" s="1463"/>
      <c r="Y254" s="1463"/>
      <c r="Z254" s="1463"/>
      <c r="AA254" s="1463"/>
      <c r="AB254" s="1463"/>
    </row>
    <row r="255" spans="1:28" ht="16.5" customHeight="1" x14ac:dyDescent="0.25">
      <c r="A255" s="1594"/>
      <c r="B255" s="1573"/>
      <c r="C255" s="1574"/>
      <c r="D255" s="1874"/>
      <c r="E255" s="436"/>
      <c r="F255" s="1165" t="s">
        <v>389</v>
      </c>
      <c r="G255" s="1114">
        <v>13.8</v>
      </c>
      <c r="H255" s="1114">
        <v>13.8</v>
      </c>
      <c r="I255" s="1115">
        <f>+H255-G255</f>
        <v>0</v>
      </c>
      <c r="J255" s="1559"/>
      <c r="K255" s="1553"/>
      <c r="L255" s="1554"/>
      <c r="M255" s="1559"/>
      <c r="N255" s="1559"/>
      <c r="O255" s="1596"/>
      <c r="P255" s="1997"/>
      <c r="Q255" s="700"/>
      <c r="R255" s="1004"/>
      <c r="S255" s="888"/>
      <c r="T255" s="1004"/>
      <c r="U255" s="1002"/>
      <c r="V255" s="926"/>
      <c r="W255" s="1976"/>
      <c r="X255" s="1463"/>
      <c r="Y255" s="1463"/>
      <c r="Z255" s="1463"/>
      <c r="AA255" s="1463"/>
      <c r="AB255" s="1463"/>
    </row>
    <row r="256" spans="1:28" ht="74.150000000000006" customHeight="1" x14ac:dyDescent="0.25">
      <c r="A256" s="1594"/>
      <c r="B256" s="1573"/>
      <c r="C256" s="1574"/>
      <c r="D256" s="1875"/>
      <c r="E256" s="436"/>
      <c r="F256" s="1177" t="s">
        <v>390</v>
      </c>
      <c r="G256" s="1168">
        <f>484.5-484.5</f>
        <v>0</v>
      </c>
      <c r="H256" s="1168">
        <f>484.5-484.5</f>
        <v>0</v>
      </c>
      <c r="I256" s="1188">
        <f>+H256-G256</f>
        <v>0</v>
      </c>
      <c r="J256" s="1168">
        <f>1130.5-1130.5</f>
        <v>0</v>
      </c>
      <c r="K256" s="1168">
        <f>1130.5-1130.5</f>
        <v>0</v>
      </c>
      <c r="L256" s="1188">
        <f>+K256-J256</f>
        <v>0</v>
      </c>
      <c r="M256" s="1348"/>
      <c r="N256" s="1348"/>
      <c r="O256" s="1179"/>
      <c r="P256" s="413"/>
      <c r="Q256" s="582"/>
      <c r="R256" s="585"/>
      <c r="S256" s="1001"/>
      <c r="T256" s="585"/>
      <c r="U256" s="1001"/>
      <c r="V256" s="927"/>
      <c r="W256" s="2065"/>
      <c r="X256" s="1463"/>
      <c r="Y256" s="1463"/>
      <c r="Z256" s="1463"/>
      <c r="AA256" s="1463"/>
      <c r="AB256" s="1463"/>
    </row>
    <row r="257" spans="1:28" ht="19.25" customHeight="1" x14ac:dyDescent="0.25">
      <c r="A257" s="1594"/>
      <c r="B257" s="1573"/>
      <c r="C257" s="1574"/>
      <c r="D257" s="1889" t="s">
        <v>341</v>
      </c>
      <c r="E257" s="436"/>
      <c r="F257" s="1189" t="s">
        <v>381</v>
      </c>
      <c r="G257" s="1694"/>
      <c r="H257" s="1190"/>
      <c r="I257" s="1695"/>
      <c r="J257" s="1696">
        <v>133.1</v>
      </c>
      <c r="K257" s="1191">
        <f>+J257</f>
        <v>133.1</v>
      </c>
      <c r="L257" s="1192">
        <f>+K257-J257</f>
        <v>0</v>
      </c>
      <c r="M257" s="1696">
        <f>133.1-133.1</f>
        <v>0</v>
      </c>
      <c r="N257" s="1696">
        <f>133.1-133.1</f>
        <v>0</v>
      </c>
      <c r="O257" s="1697">
        <f>+N257-M257</f>
        <v>0</v>
      </c>
      <c r="P257" s="562" t="s">
        <v>342</v>
      </c>
      <c r="Q257" s="588">
        <v>100</v>
      </c>
      <c r="R257" s="589"/>
      <c r="S257" s="349"/>
      <c r="T257" s="589"/>
      <c r="U257" s="349"/>
      <c r="V257" s="141"/>
      <c r="W257" s="1633"/>
      <c r="X257" s="1464"/>
      <c r="Y257" s="1463"/>
      <c r="Z257" s="1463"/>
      <c r="AA257" s="1463"/>
      <c r="AB257" s="1463"/>
    </row>
    <row r="258" spans="1:28" ht="19.25" customHeight="1" x14ac:dyDescent="0.25">
      <c r="A258" s="1594"/>
      <c r="B258" s="1573"/>
      <c r="C258" s="1574"/>
      <c r="D258" s="1890"/>
      <c r="E258" s="436"/>
      <c r="F258" s="1116" t="s">
        <v>395</v>
      </c>
      <c r="G258" s="1353">
        <v>363.6</v>
      </c>
      <c r="H258" s="1193">
        <f>+G258</f>
        <v>363.6</v>
      </c>
      <c r="I258" s="1195">
        <f t="shared" ref="I258:I264" si="46">+H258-G258</f>
        <v>0</v>
      </c>
      <c r="J258" s="1698"/>
      <c r="K258" s="1194"/>
      <c r="L258" s="1195"/>
      <c r="M258" s="1698"/>
      <c r="N258" s="1698"/>
      <c r="O258" s="1699"/>
      <c r="P258" s="408" t="s">
        <v>343</v>
      </c>
      <c r="Q258" s="275">
        <v>11</v>
      </c>
      <c r="R258" s="476"/>
      <c r="S258" s="391">
        <v>12</v>
      </c>
      <c r="T258" s="476"/>
      <c r="U258" s="391">
        <v>12</v>
      </c>
      <c r="V258" s="198"/>
      <c r="W258" s="1670"/>
      <c r="X258" s="1464"/>
      <c r="Y258" s="1463"/>
      <c r="Z258" s="1463"/>
      <c r="AA258" s="1463"/>
      <c r="AB258" s="1463"/>
    </row>
    <row r="259" spans="1:28" ht="19" customHeight="1" x14ac:dyDescent="0.25">
      <c r="A259" s="1594"/>
      <c r="B259" s="1573"/>
      <c r="C259" s="1574"/>
      <c r="D259" s="1891"/>
      <c r="E259" s="436"/>
      <c r="F259" s="1196" t="s">
        <v>394</v>
      </c>
      <c r="G259" s="1700">
        <v>179.5</v>
      </c>
      <c r="H259" s="1197">
        <f>+G259</f>
        <v>179.5</v>
      </c>
      <c r="I259" s="1199">
        <f t="shared" si="46"/>
        <v>0</v>
      </c>
      <c r="J259" s="1701"/>
      <c r="K259" s="1198"/>
      <c r="L259" s="1199"/>
      <c r="M259" s="1701">
        <v>133.1</v>
      </c>
      <c r="N259" s="1701">
        <v>133.1</v>
      </c>
      <c r="O259" s="1702">
        <f>+N259-M259</f>
        <v>0</v>
      </c>
      <c r="P259" s="408"/>
      <c r="Q259" s="209"/>
      <c r="R259" s="589"/>
      <c r="S259" s="349"/>
      <c r="T259" s="589"/>
      <c r="U259" s="350"/>
      <c r="V259" s="142"/>
      <c r="W259" s="1633"/>
      <c r="X259" s="1464"/>
      <c r="Y259" s="1467"/>
      <c r="Z259" s="1463"/>
      <c r="AA259" s="1463"/>
      <c r="AB259" s="1463"/>
    </row>
    <row r="260" spans="1:28" ht="17.5" customHeight="1" x14ac:dyDescent="0.25">
      <c r="A260" s="1594"/>
      <c r="B260" s="1573"/>
      <c r="C260" s="1574"/>
      <c r="D260" s="1994" t="s">
        <v>414</v>
      </c>
      <c r="E260" s="842"/>
      <c r="F260" s="1116" t="s">
        <v>381</v>
      </c>
      <c r="G260" s="1139">
        <f>694.8-320-320-39.9</f>
        <v>14.9</v>
      </c>
      <c r="H260" s="1114">
        <f>+G260</f>
        <v>14.9</v>
      </c>
      <c r="I260" s="1115">
        <f t="shared" si="46"/>
        <v>0</v>
      </c>
      <c r="J260" s="1110">
        <f>1130-79.6</f>
        <v>1050.4000000000001</v>
      </c>
      <c r="K260" s="1110">
        <f>1130-79.6</f>
        <v>1050.4000000000001</v>
      </c>
      <c r="L260" s="1137">
        <f>+K260-J260</f>
        <v>0</v>
      </c>
      <c r="M260" s="1131"/>
      <c r="N260" s="224"/>
      <c r="O260" s="215"/>
      <c r="P260" s="1601" t="s">
        <v>290</v>
      </c>
      <c r="Q260" s="1328">
        <v>35</v>
      </c>
      <c r="R260" s="1312">
        <v>30</v>
      </c>
      <c r="S260" s="359">
        <v>100</v>
      </c>
      <c r="T260" s="563"/>
      <c r="U260" s="1002"/>
      <c r="V260" s="926"/>
      <c r="W260" s="1952" t="s">
        <v>505</v>
      </c>
    </row>
    <row r="261" spans="1:28" ht="17.5" customHeight="1" x14ac:dyDescent="0.25">
      <c r="A261" s="1594"/>
      <c r="B261" s="1573"/>
      <c r="C261" s="1574"/>
      <c r="D261" s="1995"/>
      <c r="E261" s="436"/>
      <c r="F261" s="1116" t="s">
        <v>394</v>
      </c>
      <c r="G261" s="1114">
        <f>455.1-158.7-150</f>
        <v>146.4</v>
      </c>
      <c r="H261" s="1114">
        <f>455.1-158.7-150</f>
        <v>146.4</v>
      </c>
      <c r="I261" s="1115">
        <f t="shared" si="46"/>
        <v>0</v>
      </c>
      <c r="J261" s="1117"/>
      <c r="K261" s="1114"/>
      <c r="L261" s="1115"/>
      <c r="M261" s="1117"/>
      <c r="N261" s="1559"/>
      <c r="O261" s="1596"/>
      <c r="P261" s="408"/>
      <c r="Q261" s="209"/>
      <c r="R261" s="589"/>
      <c r="S261" s="349"/>
      <c r="T261" s="589"/>
      <c r="U261" s="1002"/>
      <c r="V261" s="926"/>
      <c r="W261" s="1976"/>
    </row>
    <row r="262" spans="1:28" ht="178.5" customHeight="1" x14ac:dyDescent="0.25">
      <c r="A262" s="1594"/>
      <c r="B262" s="1573"/>
      <c r="C262" s="1574"/>
      <c r="D262" s="550"/>
      <c r="E262" s="546"/>
      <c r="F262" s="1095" t="s">
        <v>386</v>
      </c>
      <c r="G262" s="1322">
        <f>158.7+230</f>
        <v>388.7</v>
      </c>
      <c r="H262" s="1322">
        <f>158.7+230-150</f>
        <v>238.7</v>
      </c>
      <c r="I262" s="1323">
        <f t="shared" si="46"/>
        <v>-150</v>
      </c>
      <c r="J262" s="1315"/>
      <c r="K262" s="1322">
        <v>150</v>
      </c>
      <c r="L262" s="1323">
        <f>+K262-J262</f>
        <v>150</v>
      </c>
      <c r="M262" s="202"/>
      <c r="N262" s="202"/>
      <c r="O262" s="44"/>
      <c r="P262" s="408"/>
      <c r="Q262" s="741"/>
      <c r="R262" s="584"/>
      <c r="S262" s="1002"/>
      <c r="T262" s="584"/>
      <c r="U262" s="1006"/>
      <c r="V262" s="928"/>
      <c r="W262" s="1953"/>
    </row>
    <row r="263" spans="1:28" ht="23.25" customHeight="1" x14ac:dyDescent="0.25">
      <c r="A263" s="1993"/>
      <c r="B263" s="1869"/>
      <c r="C263" s="1870"/>
      <c r="D263" s="1776" t="s">
        <v>102</v>
      </c>
      <c r="E263" s="827" t="s">
        <v>198</v>
      </c>
      <c r="F263" s="1119" t="s">
        <v>382</v>
      </c>
      <c r="G263" s="1139">
        <v>11.8</v>
      </c>
      <c r="H263" s="1114">
        <f>+G263</f>
        <v>11.8</v>
      </c>
      <c r="I263" s="1115">
        <f t="shared" si="46"/>
        <v>0</v>
      </c>
      <c r="J263" s="1117"/>
      <c r="K263" s="1114"/>
      <c r="L263" s="1115"/>
      <c r="M263" s="1117"/>
      <c r="N263" s="1117"/>
      <c r="O263" s="1113"/>
      <c r="P263" s="795" t="s">
        <v>335</v>
      </c>
      <c r="Q263" s="527">
        <v>1</v>
      </c>
      <c r="R263" s="563"/>
      <c r="S263" s="359"/>
      <c r="T263" s="563"/>
      <c r="U263" s="349"/>
      <c r="V263" s="141"/>
      <c r="W263" s="1632"/>
    </row>
    <row r="264" spans="1:28" ht="18" customHeight="1" x14ac:dyDescent="0.25">
      <c r="A264" s="1993"/>
      <c r="B264" s="1869"/>
      <c r="C264" s="1870"/>
      <c r="D264" s="1776"/>
      <c r="E264" s="856" t="s">
        <v>153</v>
      </c>
      <c r="F264" s="1116" t="s">
        <v>390</v>
      </c>
      <c r="G264" s="1139">
        <f>61.7+16.6</f>
        <v>78.3</v>
      </c>
      <c r="H264" s="1114">
        <f>+G264</f>
        <v>78.3</v>
      </c>
      <c r="I264" s="1115">
        <f t="shared" si="46"/>
        <v>0</v>
      </c>
      <c r="J264" s="1117"/>
      <c r="K264" s="1114"/>
      <c r="L264" s="1115"/>
      <c r="M264" s="1117"/>
      <c r="N264" s="1117"/>
      <c r="O264" s="1118"/>
      <c r="P264" s="1556"/>
      <c r="Q264" s="493"/>
      <c r="R264" s="532"/>
      <c r="S264" s="349"/>
      <c r="T264" s="589"/>
      <c r="U264" s="349"/>
      <c r="V264" s="141"/>
      <c r="W264" s="1633"/>
    </row>
    <row r="265" spans="1:28" ht="19.5" customHeight="1" x14ac:dyDescent="0.25">
      <c r="A265" s="1993"/>
      <c r="B265" s="1869"/>
      <c r="C265" s="1870"/>
      <c r="D265" s="1855"/>
      <c r="E265" s="828" t="s">
        <v>205</v>
      </c>
      <c r="F265" s="1116"/>
      <c r="G265" s="1139"/>
      <c r="H265" s="1114"/>
      <c r="I265" s="1115"/>
      <c r="J265" s="1117"/>
      <c r="K265" s="1114"/>
      <c r="L265" s="1115"/>
      <c r="M265" s="1117"/>
      <c r="N265" s="1117"/>
      <c r="O265" s="1113"/>
      <c r="P265" s="399"/>
      <c r="Q265" s="681"/>
      <c r="R265" s="545"/>
      <c r="S265" s="350"/>
      <c r="T265" s="545"/>
      <c r="U265" s="350"/>
      <c r="V265" s="142"/>
      <c r="W265" s="1663"/>
    </row>
    <row r="266" spans="1:28" ht="14.25" customHeight="1" x14ac:dyDescent="0.25">
      <c r="A266" s="1998"/>
      <c r="B266" s="1790"/>
      <c r="C266" s="1870"/>
      <c r="D266" s="1775" t="s">
        <v>149</v>
      </c>
      <c r="E266" s="1856" t="s">
        <v>400</v>
      </c>
      <c r="F266" s="1119" t="s">
        <v>381</v>
      </c>
      <c r="G266" s="1135"/>
      <c r="H266" s="1110"/>
      <c r="I266" s="1137"/>
      <c r="J266" s="1131">
        <v>1.4</v>
      </c>
      <c r="K266" s="1110">
        <f>+J266</f>
        <v>1.4</v>
      </c>
      <c r="L266" s="1137">
        <f>+K266-J266</f>
        <v>0</v>
      </c>
      <c r="M266" s="1131"/>
      <c r="N266" s="1131"/>
      <c r="O266" s="1111"/>
      <c r="P266" s="1601" t="s">
        <v>316</v>
      </c>
      <c r="Q266" s="618"/>
      <c r="R266" s="619"/>
      <c r="S266" s="496" t="s">
        <v>46</v>
      </c>
      <c r="T266" s="619"/>
      <c r="U266" s="496"/>
      <c r="V266" s="147"/>
      <c r="W266" s="147"/>
    </row>
    <row r="267" spans="1:28" ht="14.25" customHeight="1" x14ac:dyDescent="0.25">
      <c r="A267" s="1998"/>
      <c r="B267" s="1790"/>
      <c r="C267" s="1870"/>
      <c r="D267" s="1776"/>
      <c r="E267" s="2007"/>
      <c r="F267" s="1116" t="s">
        <v>382</v>
      </c>
      <c r="G267" s="1139">
        <f>6.1-1.1</f>
        <v>5</v>
      </c>
      <c r="H267" s="1114">
        <f>+G267</f>
        <v>5</v>
      </c>
      <c r="I267" s="1115">
        <f>+H267-G267</f>
        <v>0</v>
      </c>
      <c r="J267" s="1117"/>
      <c r="K267" s="1114"/>
      <c r="L267" s="1115"/>
      <c r="M267" s="1117"/>
      <c r="N267" s="1117"/>
      <c r="O267" s="1118"/>
      <c r="P267" s="408"/>
      <c r="Q267" s="1605"/>
      <c r="R267" s="1603"/>
      <c r="S267" s="392"/>
      <c r="T267" s="1603"/>
      <c r="U267" s="392"/>
      <c r="V267" s="195"/>
      <c r="W267" s="195"/>
    </row>
    <row r="268" spans="1:28" ht="19.5" customHeight="1" x14ac:dyDescent="0.25">
      <c r="A268" s="1998"/>
      <c r="B268" s="1790"/>
      <c r="C268" s="1870"/>
      <c r="D268" s="1776"/>
      <c r="E268" s="2008"/>
      <c r="F268" s="1124" t="s">
        <v>396</v>
      </c>
      <c r="G268" s="1157">
        <f>34.2-5.6</f>
        <v>28.6</v>
      </c>
      <c r="H268" s="1126">
        <f>+G268</f>
        <v>28.6</v>
      </c>
      <c r="I268" s="1129">
        <f>+H268-G268</f>
        <v>0</v>
      </c>
      <c r="J268" s="1128">
        <v>8.3000000000000007</v>
      </c>
      <c r="K268" s="1126">
        <f>+J268</f>
        <v>8.3000000000000007</v>
      </c>
      <c r="L268" s="1129">
        <f>+K268-J268</f>
        <v>0</v>
      </c>
      <c r="M268" s="1128"/>
      <c r="N268" s="1128"/>
      <c r="O268" s="1127"/>
      <c r="P268" s="399"/>
      <c r="Q268" s="929"/>
      <c r="R268" s="1005"/>
      <c r="S268" s="425"/>
      <c r="T268" s="1005"/>
      <c r="U268" s="425"/>
      <c r="V268" s="273"/>
      <c r="W268" s="273"/>
    </row>
    <row r="269" spans="1:28" ht="14.25" customHeight="1" x14ac:dyDescent="0.25">
      <c r="A269" s="1998"/>
      <c r="B269" s="1790"/>
      <c r="C269" s="1870"/>
      <c r="D269" s="1775" t="s">
        <v>287</v>
      </c>
      <c r="E269" s="1856" t="s">
        <v>400</v>
      </c>
      <c r="F269" s="1116" t="s">
        <v>390</v>
      </c>
      <c r="G269" s="1139">
        <v>36.5</v>
      </c>
      <c r="H269" s="1114">
        <f>+G269:G270</f>
        <v>36.5</v>
      </c>
      <c r="I269" s="1115">
        <f>+H269-G269</f>
        <v>0</v>
      </c>
      <c r="J269" s="1117">
        <v>42.6</v>
      </c>
      <c r="K269" s="1114">
        <f>+J269</f>
        <v>42.6</v>
      </c>
      <c r="L269" s="1115">
        <f>+K269-J269</f>
        <v>0</v>
      </c>
      <c r="M269" s="1117"/>
      <c r="N269" s="1117"/>
      <c r="O269" s="1113"/>
      <c r="P269" s="408" t="s">
        <v>152</v>
      </c>
      <c r="Q269" s="921"/>
      <c r="R269" s="999"/>
      <c r="S269" s="426">
        <v>1</v>
      </c>
      <c r="T269" s="999"/>
      <c r="U269" s="426"/>
      <c r="V269" s="153"/>
      <c r="W269" s="153"/>
    </row>
    <row r="270" spans="1:28" ht="13.5" customHeight="1" x14ac:dyDescent="0.25">
      <c r="A270" s="1998"/>
      <c r="B270" s="1790"/>
      <c r="C270" s="1870"/>
      <c r="D270" s="1776"/>
      <c r="E270" s="2007"/>
      <c r="F270" s="1116"/>
      <c r="G270" s="1139"/>
      <c r="H270" s="1114"/>
      <c r="I270" s="1115"/>
      <c r="J270" s="1117"/>
      <c r="K270" s="1114"/>
      <c r="L270" s="1115"/>
      <c r="M270" s="1117"/>
      <c r="N270" s="1117"/>
      <c r="O270" s="1113"/>
      <c r="P270" s="408"/>
      <c r="Q270" s="833"/>
      <c r="R270" s="589"/>
      <c r="S270" s="349"/>
      <c r="T270" s="589"/>
      <c r="U270" s="349"/>
      <c r="V270" s="141"/>
      <c r="W270" s="141"/>
    </row>
    <row r="271" spans="1:28" ht="14.25" customHeight="1" x14ac:dyDescent="0.25">
      <c r="A271" s="1998"/>
      <c r="B271" s="1790"/>
      <c r="C271" s="1870"/>
      <c r="D271" s="1855"/>
      <c r="E271" s="2008"/>
      <c r="F271" s="1124"/>
      <c r="G271" s="1157"/>
      <c r="H271" s="1126"/>
      <c r="I271" s="1129"/>
      <c r="J271" s="1128"/>
      <c r="K271" s="1126"/>
      <c r="L271" s="1129"/>
      <c r="M271" s="1128"/>
      <c r="N271" s="1128"/>
      <c r="O271" s="1125"/>
      <c r="P271" s="399"/>
      <c r="Q271" s="681"/>
      <c r="R271" s="545"/>
      <c r="S271" s="350"/>
      <c r="T271" s="545"/>
      <c r="U271" s="350"/>
      <c r="V271" s="142"/>
      <c r="W271" s="142"/>
    </row>
    <row r="272" spans="1:28" ht="24" customHeight="1" x14ac:dyDescent="0.25">
      <c r="A272" s="1998"/>
      <c r="B272" s="1790"/>
      <c r="C272" s="1870"/>
      <c r="D272" s="1775" t="s">
        <v>113</v>
      </c>
      <c r="E272" s="1564" t="s">
        <v>205</v>
      </c>
      <c r="F272" s="1119" t="s">
        <v>394</v>
      </c>
      <c r="G272" s="1110">
        <f>57.2+26.5</f>
        <v>83.7</v>
      </c>
      <c r="H272" s="1110">
        <f>57.2+26.5</f>
        <v>83.7</v>
      </c>
      <c r="I272" s="1137">
        <f>+H272-G272</f>
        <v>0</v>
      </c>
      <c r="J272" s="1131">
        <v>57.2</v>
      </c>
      <c r="K272" s="1110">
        <f>+J272</f>
        <v>57.2</v>
      </c>
      <c r="L272" s="1137">
        <f>+K272-J272</f>
        <v>0</v>
      </c>
      <c r="M272" s="1131">
        <v>57.2</v>
      </c>
      <c r="N272" s="1131">
        <f>+M272</f>
        <v>57.2</v>
      </c>
      <c r="O272" s="1109">
        <f>+N272-M272</f>
        <v>0</v>
      </c>
      <c r="P272" s="417" t="s">
        <v>116</v>
      </c>
      <c r="Q272" s="501">
        <v>16</v>
      </c>
      <c r="R272" s="465"/>
      <c r="S272" s="375">
        <v>16</v>
      </c>
      <c r="T272" s="465"/>
      <c r="U272" s="375">
        <v>16</v>
      </c>
      <c r="V272" s="143"/>
      <c r="W272" s="143"/>
    </row>
    <row r="273" spans="1:23" ht="29.75" customHeight="1" x14ac:dyDescent="0.25">
      <c r="A273" s="1998"/>
      <c r="B273" s="1790"/>
      <c r="C273" s="1870"/>
      <c r="D273" s="1776"/>
      <c r="E273" s="1548" t="s">
        <v>153</v>
      </c>
      <c r="F273" s="1116" t="s">
        <v>381</v>
      </c>
      <c r="G273" s="1139"/>
      <c r="H273" s="1114"/>
      <c r="I273" s="1115"/>
      <c r="J273" s="1114">
        <v>72.8</v>
      </c>
      <c r="K273" s="1114">
        <v>72.8</v>
      </c>
      <c r="L273" s="1115">
        <f>+K273-J273</f>
        <v>0</v>
      </c>
      <c r="M273" s="1117">
        <v>72.8</v>
      </c>
      <c r="N273" s="1117">
        <v>72.8</v>
      </c>
      <c r="O273" s="1113">
        <f>+N273-M273</f>
        <v>0</v>
      </c>
      <c r="P273" s="408" t="s">
        <v>232</v>
      </c>
      <c r="Q273" s="833">
        <v>5</v>
      </c>
      <c r="R273" s="589"/>
      <c r="S273" s="349">
        <v>5</v>
      </c>
      <c r="T273" s="589"/>
      <c r="U273" s="349">
        <v>5</v>
      </c>
      <c r="V273" s="141"/>
      <c r="W273" s="141"/>
    </row>
    <row r="274" spans="1:23" ht="17.75" customHeight="1" x14ac:dyDescent="0.25">
      <c r="A274" s="1998"/>
      <c r="B274" s="1790"/>
      <c r="C274" s="1870"/>
      <c r="D274" s="1855"/>
      <c r="E274" s="1565" t="s">
        <v>418</v>
      </c>
      <c r="F274" s="1124" t="s">
        <v>394</v>
      </c>
      <c r="G274" s="1157">
        <v>40.9</v>
      </c>
      <c r="H274" s="1126">
        <f>+G274</f>
        <v>40.9</v>
      </c>
      <c r="I274" s="1129">
        <f>+H274-G274</f>
        <v>0</v>
      </c>
      <c r="J274" s="1128"/>
      <c r="K274" s="1126"/>
      <c r="L274" s="1129"/>
      <c r="M274" s="1128"/>
      <c r="N274" s="1128"/>
      <c r="O274" s="1125"/>
      <c r="P274" s="603" t="s">
        <v>315</v>
      </c>
      <c r="Q274" s="444">
        <v>8</v>
      </c>
      <c r="R274" s="445"/>
      <c r="S274" s="605"/>
      <c r="T274" s="1007"/>
      <c r="U274" s="566"/>
      <c r="V274" s="568"/>
      <c r="W274" s="445"/>
    </row>
    <row r="275" spans="1:23" ht="15.75" customHeight="1" x14ac:dyDescent="0.25">
      <c r="A275" s="1998"/>
      <c r="B275" s="1790"/>
      <c r="C275" s="1870"/>
      <c r="D275" s="1775" t="s">
        <v>245</v>
      </c>
      <c r="E275" s="1564" t="s">
        <v>205</v>
      </c>
      <c r="F275" s="1119" t="s">
        <v>381</v>
      </c>
      <c r="G275" s="1135">
        <v>3.4</v>
      </c>
      <c r="H275" s="1110">
        <f>+G275</f>
        <v>3.4</v>
      </c>
      <c r="I275" s="1137">
        <f>+H275-G275</f>
        <v>0</v>
      </c>
      <c r="J275" s="1131">
        <v>3.4</v>
      </c>
      <c r="K275" s="1110">
        <f>+J275</f>
        <v>3.4</v>
      </c>
      <c r="L275" s="1137">
        <f>+K275-J275</f>
        <v>0</v>
      </c>
      <c r="M275" s="1131">
        <v>3.4</v>
      </c>
      <c r="N275" s="1131">
        <f>+M275</f>
        <v>3.4</v>
      </c>
      <c r="O275" s="1109">
        <f>+N275-M275</f>
        <v>0</v>
      </c>
      <c r="P275" s="1957" t="s">
        <v>246</v>
      </c>
      <c r="Q275" s="527">
        <v>3</v>
      </c>
      <c r="R275" s="563"/>
      <c r="S275" s="359">
        <v>3</v>
      </c>
      <c r="T275" s="563"/>
      <c r="U275" s="359">
        <v>3</v>
      </c>
      <c r="V275" s="140"/>
      <c r="W275" s="140"/>
    </row>
    <row r="276" spans="1:23" ht="13.5" customHeight="1" x14ac:dyDescent="0.25">
      <c r="A276" s="1998"/>
      <c r="B276" s="1790"/>
      <c r="C276" s="1870"/>
      <c r="D276" s="1855"/>
      <c r="E276" s="858" t="s">
        <v>153</v>
      </c>
      <c r="F276" s="1124"/>
      <c r="G276" s="1157"/>
      <c r="H276" s="1126"/>
      <c r="I276" s="1129"/>
      <c r="J276" s="1128"/>
      <c r="K276" s="1126"/>
      <c r="L276" s="1129"/>
      <c r="M276" s="1128"/>
      <c r="N276" s="1128"/>
      <c r="O276" s="1125"/>
      <c r="P276" s="2001"/>
      <c r="Q276" s="681"/>
      <c r="R276" s="545"/>
      <c r="S276" s="350"/>
      <c r="T276" s="545"/>
      <c r="U276" s="350"/>
      <c r="V276" s="142"/>
      <c r="W276" s="142"/>
    </row>
    <row r="277" spans="1:23" ht="27.65" customHeight="1" x14ac:dyDescent="0.25">
      <c r="A277" s="1998"/>
      <c r="B277" s="1790"/>
      <c r="C277" s="1870"/>
      <c r="D277" s="1714" t="s">
        <v>448</v>
      </c>
      <c r="E277" s="1577" t="s">
        <v>447</v>
      </c>
      <c r="F277" s="1116" t="s">
        <v>381</v>
      </c>
      <c r="G277" s="1114">
        <f>40+4</f>
        <v>44</v>
      </c>
      <c r="H277" s="1114">
        <f>40+4</f>
        <v>44</v>
      </c>
      <c r="I277" s="1115">
        <f>+H277-G277</f>
        <v>0</v>
      </c>
      <c r="J277" s="1114">
        <v>270</v>
      </c>
      <c r="K277" s="1114">
        <v>270</v>
      </c>
      <c r="L277" s="1115">
        <f>+K277-J277</f>
        <v>0</v>
      </c>
      <c r="M277" s="1117"/>
      <c r="N277" s="1117"/>
      <c r="O277" s="1113"/>
      <c r="P277" s="417" t="s">
        <v>449</v>
      </c>
      <c r="Q277" s="921">
        <v>1</v>
      </c>
      <c r="R277" s="999"/>
      <c r="S277" s="1624"/>
      <c r="T277" s="1000"/>
      <c r="U277" s="426"/>
      <c r="V277" s="286"/>
      <c r="W277" s="1986"/>
    </row>
    <row r="278" spans="1:23" ht="15" customHeight="1" x14ac:dyDescent="0.25">
      <c r="A278" s="1998"/>
      <c r="B278" s="1790"/>
      <c r="C278" s="1870"/>
      <c r="D278" s="1756"/>
      <c r="E278" s="1578"/>
      <c r="F278" s="1116"/>
      <c r="G278" s="1139"/>
      <c r="H278" s="1114"/>
      <c r="I278" s="1115"/>
      <c r="J278" s="1117"/>
      <c r="K278" s="1114"/>
      <c r="L278" s="1115"/>
      <c r="M278" s="1117"/>
      <c r="N278" s="1117"/>
      <c r="O278" s="1113"/>
      <c r="P278" s="1599" t="s">
        <v>450</v>
      </c>
      <c r="Q278" s="837">
        <v>1</v>
      </c>
      <c r="R278" s="469"/>
      <c r="S278" s="349"/>
      <c r="T278" s="836"/>
      <c r="U278" s="525"/>
      <c r="V278" s="1625"/>
      <c r="W278" s="1987"/>
    </row>
    <row r="279" spans="1:23" ht="15" customHeight="1" x14ac:dyDescent="0.25">
      <c r="A279" s="1998"/>
      <c r="B279" s="1790"/>
      <c r="C279" s="1870"/>
      <c r="D279" s="1756"/>
      <c r="E279" s="1578"/>
      <c r="F279" s="1116"/>
      <c r="G279" s="1139"/>
      <c r="H279" s="1114"/>
      <c r="I279" s="1115"/>
      <c r="J279" s="1117"/>
      <c r="K279" s="1114"/>
      <c r="L279" s="1115"/>
      <c r="M279" s="1117"/>
      <c r="N279" s="1117"/>
      <c r="O279" s="1113"/>
      <c r="P279" s="424" t="s">
        <v>451</v>
      </c>
      <c r="Q279" s="525"/>
      <c r="R279" s="469"/>
      <c r="S279" s="837">
        <v>5</v>
      </c>
      <c r="T279" s="836"/>
      <c r="U279" s="525"/>
      <c r="V279" s="200"/>
      <c r="W279" s="1987"/>
    </row>
    <row r="280" spans="1:23" ht="13.5" customHeight="1" x14ac:dyDescent="0.25">
      <c r="A280" s="1998"/>
      <c r="B280" s="1790"/>
      <c r="C280" s="1870"/>
      <c r="D280" s="1756"/>
      <c r="E280" s="1578"/>
      <c r="F280" s="1116"/>
      <c r="G280" s="1139"/>
      <c r="H280" s="1114"/>
      <c r="I280" s="1115"/>
      <c r="J280" s="1117"/>
      <c r="K280" s="1114"/>
      <c r="L280" s="1115"/>
      <c r="M280" s="1117"/>
      <c r="N280" s="1117"/>
      <c r="O280" s="1113"/>
      <c r="P280" s="1599" t="s">
        <v>452</v>
      </c>
      <c r="Q280" s="526"/>
      <c r="R280" s="469"/>
      <c r="S280" s="525">
        <v>5</v>
      </c>
      <c r="T280" s="589"/>
      <c r="U280" s="349"/>
      <c r="V280" s="1625"/>
      <c r="W280" s="1987"/>
    </row>
    <row r="281" spans="1:23" ht="15.65" customHeight="1" x14ac:dyDescent="0.25">
      <c r="A281" s="1998"/>
      <c r="B281" s="1790"/>
      <c r="C281" s="1870"/>
      <c r="D281" s="1756"/>
      <c r="E281" s="1578"/>
      <c r="F281" s="1177"/>
      <c r="G281" s="1331"/>
      <c r="H281" s="1114"/>
      <c r="I281" s="1188"/>
      <c r="J281" s="1117"/>
      <c r="K281" s="1114"/>
      <c r="L281" s="1188"/>
      <c r="M281" s="1117"/>
      <c r="N281" s="1168"/>
      <c r="O281" s="1113"/>
      <c r="P281" s="424" t="s">
        <v>453</v>
      </c>
      <c r="Q281" s="525"/>
      <c r="R281" s="469"/>
      <c r="S281" s="525">
        <v>2</v>
      </c>
      <c r="T281" s="469"/>
      <c r="U281" s="525"/>
      <c r="V281" s="1626"/>
      <c r="W281" s="1987"/>
    </row>
    <row r="282" spans="1:23" ht="14.15" customHeight="1" x14ac:dyDescent="0.25">
      <c r="A282" s="1998"/>
      <c r="B282" s="1790"/>
      <c r="C282" s="1870"/>
      <c r="D282" s="1756"/>
      <c r="E282" s="1578"/>
      <c r="F282" s="1155" t="s">
        <v>381</v>
      </c>
      <c r="G282" s="1139"/>
      <c r="H282" s="1149"/>
      <c r="I282" s="1115"/>
      <c r="J282" s="1149">
        <v>31.9</v>
      </c>
      <c r="K282" s="1149">
        <v>31.9</v>
      </c>
      <c r="L282" s="1115">
        <f>+K282-J282</f>
        <v>0</v>
      </c>
      <c r="M282" s="1703"/>
      <c r="N282" s="1101"/>
      <c r="O282" s="1704"/>
      <c r="P282" s="2025" t="s">
        <v>454</v>
      </c>
      <c r="Q282" s="833"/>
      <c r="R282" s="476"/>
      <c r="S282" s="837">
        <v>1</v>
      </c>
      <c r="T282" s="476"/>
      <c r="U282" s="349">
        <v>1</v>
      </c>
      <c r="V282" s="200"/>
      <c r="W282" s="1987"/>
    </row>
    <row r="283" spans="1:23" ht="17.149999999999999" customHeight="1" x14ac:dyDescent="0.25">
      <c r="A283" s="935"/>
      <c r="B283" s="1551"/>
      <c r="C283" s="1259"/>
      <c r="D283" s="1715"/>
      <c r="E283" s="1627"/>
      <c r="F283" s="1124" t="s">
        <v>394</v>
      </c>
      <c r="G283" s="1139"/>
      <c r="H283" s="1114"/>
      <c r="I283" s="1113"/>
      <c r="J283" s="1157"/>
      <c r="K283" s="1126"/>
      <c r="L283" s="1113"/>
      <c r="M283" s="1157">
        <v>54.6</v>
      </c>
      <c r="N283" s="1117">
        <v>54.6</v>
      </c>
      <c r="O283" s="1129">
        <f>+N283-M283</f>
        <v>0</v>
      </c>
      <c r="P283" s="1904"/>
      <c r="Q283" s="681"/>
      <c r="R283" s="1628"/>
      <c r="S283" s="681"/>
      <c r="T283" s="142"/>
      <c r="U283" s="200"/>
      <c r="V283" s="1628"/>
      <c r="W283" s="1988"/>
    </row>
    <row r="284" spans="1:23" ht="15" customHeight="1" thickBot="1" x14ac:dyDescent="0.3">
      <c r="A284" s="936"/>
      <c r="B284" s="104"/>
      <c r="C284" s="73"/>
      <c r="D284" s="1281"/>
      <c r="E284" s="1282"/>
      <c r="F284" s="41" t="s">
        <v>5</v>
      </c>
      <c r="G284" s="515">
        <f t="shared" ref="G284:O284" si="47">+G240+G241+G242+G243+G244+G245+G246+G247</f>
        <v>2107.1</v>
      </c>
      <c r="H284" s="337">
        <f t="shared" si="47"/>
        <v>1853.8</v>
      </c>
      <c r="I284" s="790">
        <f t="shared" si="47"/>
        <v>-253.3</v>
      </c>
      <c r="J284" s="515">
        <f t="shared" si="47"/>
        <v>2495.8000000000002</v>
      </c>
      <c r="K284" s="337">
        <f t="shared" si="47"/>
        <v>2749.1</v>
      </c>
      <c r="L284" s="790">
        <f t="shared" si="47"/>
        <v>253.3</v>
      </c>
      <c r="M284" s="515">
        <f t="shared" si="47"/>
        <v>321.10000000000002</v>
      </c>
      <c r="N284" s="1100">
        <f t="shared" si="47"/>
        <v>321.10000000000002</v>
      </c>
      <c r="O284" s="523">
        <f t="shared" si="47"/>
        <v>0</v>
      </c>
      <c r="P284" s="1283"/>
      <c r="Q284" s="284"/>
      <c r="R284" s="284"/>
      <c r="S284" s="281"/>
      <c r="T284" s="284"/>
      <c r="U284" s="284"/>
      <c r="V284" s="284"/>
      <c r="W284" s="285"/>
    </row>
    <row r="285" spans="1:23" ht="15" customHeight="1" thickBot="1" x14ac:dyDescent="0.3">
      <c r="A285" s="940" t="s">
        <v>4</v>
      </c>
      <c r="B285" s="25" t="s">
        <v>25</v>
      </c>
      <c r="C285" s="1840" t="s">
        <v>7</v>
      </c>
      <c r="D285" s="1840"/>
      <c r="E285" s="1840"/>
      <c r="F285" s="1841"/>
      <c r="G285" s="362">
        <f>G284+G239</f>
        <v>3850.8</v>
      </c>
      <c r="H285" s="25">
        <f t="shared" ref="H285:O285" si="48">H284+H239</f>
        <v>3651.3</v>
      </c>
      <c r="I285" s="951">
        <f t="shared" si="48"/>
        <v>-199.5</v>
      </c>
      <c r="J285" s="362">
        <f t="shared" si="48"/>
        <v>4290.6000000000004</v>
      </c>
      <c r="K285" s="25">
        <f t="shared" si="48"/>
        <v>4553.8999999999996</v>
      </c>
      <c r="L285" s="951">
        <f t="shared" si="48"/>
        <v>263.3</v>
      </c>
      <c r="M285" s="362">
        <f t="shared" si="48"/>
        <v>2125.9</v>
      </c>
      <c r="N285" s="25">
        <f t="shared" si="48"/>
        <v>2135.9</v>
      </c>
      <c r="O285" s="951">
        <f t="shared" si="48"/>
        <v>10</v>
      </c>
      <c r="P285" s="1862"/>
      <c r="Q285" s="1863"/>
      <c r="R285" s="1863"/>
      <c r="S285" s="1863"/>
      <c r="T285" s="1863"/>
      <c r="U285" s="1863"/>
      <c r="V285" s="1568"/>
      <c r="W285" s="1569"/>
    </row>
    <row r="286" spans="1:23" ht="15" customHeight="1" thickBot="1" x14ac:dyDescent="0.3">
      <c r="A286" s="940" t="s">
        <v>4</v>
      </c>
      <c r="B286" s="1909" t="s">
        <v>8</v>
      </c>
      <c r="C286" s="1910"/>
      <c r="D286" s="1910"/>
      <c r="E286" s="1910"/>
      <c r="F286" s="1911"/>
      <c r="G286" s="103">
        <f>G285+G213+G168</f>
        <v>33843.5</v>
      </c>
      <c r="H286" s="265">
        <f t="shared" ref="H286:N286" si="49">H285+H213+H168</f>
        <v>34868.5</v>
      </c>
      <c r="I286" s="930">
        <f t="shared" si="49"/>
        <v>1025</v>
      </c>
      <c r="J286" s="103">
        <f t="shared" si="49"/>
        <v>49788.2</v>
      </c>
      <c r="K286" s="265">
        <f t="shared" si="49"/>
        <v>50372.1</v>
      </c>
      <c r="L286" s="930">
        <f t="shared" si="49"/>
        <v>583.9</v>
      </c>
      <c r="M286" s="103">
        <f t="shared" si="49"/>
        <v>36238</v>
      </c>
      <c r="N286" s="937">
        <f t="shared" si="49"/>
        <v>36476.9</v>
      </c>
      <c r="O286" s="383">
        <f t="shared" ref="O286" si="50">O285+O213+O168</f>
        <v>238.9</v>
      </c>
      <c r="P286" s="2023"/>
      <c r="Q286" s="1912"/>
      <c r="R286" s="1912"/>
      <c r="S286" s="1912"/>
      <c r="T286" s="1912"/>
      <c r="U286" s="1912"/>
      <c r="V286" s="1579"/>
      <c r="W286" s="958"/>
    </row>
    <row r="287" spans="1:23" ht="15" customHeight="1" thickBot="1" x14ac:dyDescent="0.3">
      <c r="A287" s="266" t="s">
        <v>31</v>
      </c>
      <c r="B287" s="1914" t="s">
        <v>48</v>
      </c>
      <c r="C287" s="1915"/>
      <c r="D287" s="1915"/>
      <c r="E287" s="1915"/>
      <c r="F287" s="1916"/>
      <c r="G287" s="33">
        <f>SUM(G286)</f>
        <v>33843.5</v>
      </c>
      <c r="H287" s="266">
        <f t="shared" ref="H287:O287" si="51">SUM(H286)</f>
        <v>34868.5</v>
      </c>
      <c r="I287" s="931">
        <f t="shared" si="51"/>
        <v>1025</v>
      </c>
      <c r="J287" s="33">
        <f t="shared" si="51"/>
        <v>49788.2</v>
      </c>
      <c r="K287" s="266">
        <f t="shared" si="51"/>
        <v>50372.1</v>
      </c>
      <c r="L287" s="931">
        <f t="shared" si="51"/>
        <v>583.9</v>
      </c>
      <c r="M287" s="33">
        <f t="shared" si="51"/>
        <v>36238</v>
      </c>
      <c r="N287" s="384">
        <f t="shared" si="51"/>
        <v>36476.9</v>
      </c>
      <c r="O287" s="957">
        <f t="shared" si="51"/>
        <v>238.9</v>
      </c>
      <c r="P287" s="2024"/>
      <c r="Q287" s="1917"/>
      <c r="R287" s="1917"/>
      <c r="S287" s="1917"/>
      <c r="T287" s="1917"/>
      <c r="U287" s="1917"/>
      <c r="V287" s="893"/>
      <c r="W287" s="959"/>
    </row>
    <row r="288" spans="1:23" ht="14.25" customHeight="1" x14ac:dyDescent="0.25">
      <c r="A288" s="2028"/>
      <c r="B288" s="1950"/>
      <c r="C288" s="1950"/>
      <c r="D288" s="1950"/>
      <c r="E288" s="1950"/>
      <c r="F288" s="608"/>
      <c r="G288" s="608"/>
      <c r="H288" s="608"/>
      <c r="I288" s="608"/>
      <c r="J288" s="1291"/>
      <c r="K288" s="608"/>
      <c r="L288" s="608"/>
      <c r="M288" s="608"/>
      <c r="N288" s="608"/>
      <c r="O288" s="608"/>
      <c r="P288" s="34"/>
      <c r="Q288" s="34"/>
      <c r="R288" s="34"/>
      <c r="S288" s="34"/>
      <c r="T288" s="34"/>
      <c r="U288" s="34"/>
      <c r="V288" s="960"/>
      <c r="W288" s="34"/>
    </row>
    <row r="289" spans="1:27" ht="14.25" customHeight="1" x14ac:dyDescent="0.25">
      <c r="A289" s="943"/>
      <c r="B289" s="478"/>
      <c r="C289" s="478"/>
      <c r="D289" s="478"/>
      <c r="E289" s="478"/>
      <c r="F289" s="478"/>
      <c r="G289" s="34"/>
      <c r="H289" s="34"/>
      <c r="I289" s="34"/>
      <c r="J289" s="34"/>
      <c r="K289" s="34"/>
      <c r="L289" s="34"/>
      <c r="M289" s="34"/>
      <c r="N289" s="34"/>
      <c r="O289" s="34"/>
      <c r="P289" s="34"/>
      <c r="Q289" s="34"/>
      <c r="R289" s="34"/>
      <c r="S289" s="34"/>
      <c r="T289" s="34"/>
      <c r="U289" s="34"/>
      <c r="V289" s="34"/>
      <c r="W289" s="34"/>
    </row>
    <row r="290" spans="1:27" s="5" customFormat="1" ht="15" customHeight="1" thickBot="1" x14ac:dyDescent="0.3">
      <c r="A290" s="2029" t="s">
        <v>11</v>
      </c>
      <c r="B290" s="1951"/>
      <c r="C290" s="1951"/>
      <c r="D290" s="1951"/>
      <c r="E290" s="1951"/>
      <c r="F290" s="1951"/>
      <c r="G290" s="1951"/>
      <c r="H290" s="1951"/>
      <c r="I290" s="1951"/>
      <c r="J290" s="1951"/>
      <c r="K290" s="1951"/>
      <c r="L290" s="1951"/>
      <c r="M290" s="1951"/>
      <c r="N290" s="886"/>
      <c r="O290" s="886"/>
      <c r="P290" s="34"/>
      <c r="Q290" s="34"/>
      <c r="R290" s="34"/>
      <c r="S290" s="34"/>
      <c r="T290" s="34"/>
      <c r="U290" s="34"/>
      <c r="V290" s="34"/>
      <c r="W290" s="34"/>
      <c r="X290" s="1"/>
      <c r="Y290" s="1"/>
      <c r="Z290" s="1"/>
      <c r="AA290" s="1"/>
    </row>
    <row r="291" spans="1:27" ht="149.15" customHeight="1" thickBot="1" x14ac:dyDescent="0.3">
      <c r="A291" s="2030" t="s">
        <v>9</v>
      </c>
      <c r="B291" s="1896"/>
      <c r="C291" s="1896"/>
      <c r="D291" s="1896"/>
      <c r="E291" s="1896"/>
      <c r="F291" s="1897"/>
      <c r="G291" s="1008" t="s">
        <v>419</v>
      </c>
      <c r="H291" s="1009" t="s">
        <v>424</v>
      </c>
      <c r="I291" s="1010" t="s">
        <v>425</v>
      </c>
      <c r="J291" s="1011" t="s">
        <v>420</v>
      </c>
      <c r="K291" s="1012" t="s">
        <v>426</v>
      </c>
      <c r="L291" s="1010" t="s">
        <v>425</v>
      </c>
      <c r="M291" s="1008" t="s">
        <v>421</v>
      </c>
      <c r="N291" s="1009" t="s">
        <v>427</v>
      </c>
      <c r="O291" s="1010" t="s">
        <v>425</v>
      </c>
      <c r="P291" s="16"/>
      <c r="Q291" s="16"/>
      <c r="R291" s="16"/>
      <c r="S291" s="16"/>
      <c r="T291" s="16"/>
      <c r="U291" s="16"/>
      <c r="V291" s="16"/>
      <c r="W291" s="10"/>
    </row>
    <row r="292" spans="1:27" ht="14.25" customHeight="1" x14ac:dyDescent="0.25">
      <c r="A292" s="2031" t="s">
        <v>12</v>
      </c>
      <c r="B292" s="1899"/>
      <c r="C292" s="1899"/>
      <c r="D292" s="1899"/>
      <c r="E292" s="1899"/>
      <c r="F292" s="1900"/>
      <c r="G292" s="1014">
        <f>G293+G305+G306+G307+G303+G304</f>
        <v>30473.5</v>
      </c>
      <c r="H292" s="1019">
        <f>H293+H305+H306+H307+H303+H304</f>
        <v>31560.5</v>
      </c>
      <c r="I292" s="1013">
        <f>I293+I305+I306+I307+I303+I304</f>
        <v>1087</v>
      </c>
      <c r="J292" s="1014">
        <f t="shared" ref="J292:M292" si="52">J293+J305+J306+J307+J303+J304</f>
        <v>30020.7</v>
      </c>
      <c r="K292" s="1019">
        <f t="shared" ref="K292" si="53">K293+K305+K306+K307+K303+K304</f>
        <v>30542.6</v>
      </c>
      <c r="L292" s="1013">
        <f t="shared" ref="L292" si="54">L293+L305+L306+L307+L303+L304</f>
        <v>521.9</v>
      </c>
      <c r="M292" s="1014">
        <f t="shared" si="52"/>
        <v>21177.9</v>
      </c>
      <c r="N292" s="1019">
        <f t="shared" ref="N292" si="55">N293+N305+N306+N307+N303+N304</f>
        <v>21416.799999999999</v>
      </c>
      <c r="O292" s="1013">
        <f t="shared" ref="O292" si="56">O293+O305+O306+O307+O303+O304</f>
        <v>238.9</v>
      </c>
      <c r="P292" s="16"/>
      <c r="Q292" s="16"/>
      <c r="R292" s="16"/>
      <c r="S292" s="16"/>
      <c r="T292" s="16"/>
      <c r="U292" s="16"/>
      <c r="V292" s="16"/>
      <c r="W292" s="10"/>
    </row>
    <row r="293" spans="1:27" ht="16.5" customHeight="1" x14ac:dyDescent="0.25">
      <c r="A293" s="2032" t="s">
        <v>62</v>
      </c>
      <c r="B293" s="1902"/>
      <c r="C293" s="1902"/>
      <c r="D293" s="1902"/>
      <c r="E293" s="1902"/>
      <c r="F293" s="1903"/>
      <c r="G293" s="1015">
        <f t="shared" ref="G293:M293" si="57">SUM(G294:G302)</f>
        <v>28554.1</v>
      </c>
      <c r="H293" s="1020">
        <f t="shared" ref="H293" si="58">SUM(H294:H302)</f>
        <v>29429.599999999999</v>
      </c>
      <c r="I293" s="267">
        <f t="shared" ref="I293" si="59">SUM(I294:I302)</f>
        <v>875.5</v>
      </c>
      <c r="J293" s="1015">
        <f t="shared" si="57"/>
        <v>30000.7</v>
      </c>
      <c r="K293" s="1020">
        <f t="shared" ref="K293" si="60">SUM(K294:K302)</f>
        <v>30464.9</v>
      </c>
      <c r="L293" s="267">
        <f t="shared" ref="L293" si="61">SUM(L294:L302)</f>
        <v>464.2</v>
      </c>
      <c r="M293" s="1015">
        <f t="shared" si="57"/>
        <v>21151.9</v>
      </c>
      <c r="N293" s="1020">
        <f t="shared" ref="N293" si="62">SUM(N294:N302)</f>
        <v>21390.799999999999</v>
      </c>
      <c r="O293" s="267">
        <f t="shared" ref="O293" si="63">SUM(O294:O302)</f>
        <v>238.9</v>
      </c>
      <c r="P293" s="16"/>
      <c r="Q293" s="16"/>
      <c r="R293" s="16"/>
      <c r="S293" s="16"/>
      <c r="T293" s="16"/>
      <c r="U293" s="16"/>
      <c r="V293" s="16"/>
      <c r="W293" s="10"/>
    </row>
    <row r="294" spans="1:27" ht="14.25" customHeight="1" x14ac:dyDescent="0.25">
      <c r="A294" s="2033" t="s">
        <v>17</v>
      </c>
      <c r="B294" s="1905"/>
      <c r="C294" s="1905"/>
      <c r="D294" s="1905"/>
      <c r="E294" s="1905"/>
      <c r="F294" s="1906"/>
      <c r="G294" s="38">
        <f>SUMIF(F15:F287,"SB",G15:G287)</f>
        <v>10683.7</v>
      </c>
      <c r="H294" s="214">
        <f>SUMIF(F15:F287,"SB",H15:H287)</f>
        <v>11559.2</v>
      </c>
      <c r="I294" s="44">
        <f>SUMIF(F15:F287,"SB",I15:I287)</f>
        <v>875.5</v>
      </c>
      <c r="J294" s="38">
        <f>SUMIF(F15:F287,"SB",J15:J287)</f>
        <v>12543.4</v>
      </c>
      <c r="K294" s="214">
        <f>SUMIF(F15:F287,"SB",K15:K287)</f>
        <v>12249.1</v>
      </c>
      <c r="L294" s="44">
        <f>SUMIF(F15:F287,"SB",L15:L287)</f>
        <v>-294.3</v>
      </c>
      <c r="M294" s="38">
        <f>SUMIF(F15:F287,"SB",M15:M287)</f>
        <v>10010.700000000001</v>
      </c>
      <c r="N294" s="214">
        <f>SUMIF(F15:F287,"SB",N15:N287)</f>
        <v>10328.299999999999</v>
      </c>
      <c r="O294" s="44">
        <f>SUMIF(F15:F287,"SB",O15:O287)</f>
        <v>317.60000000000002</v>
      </c>
      <c r="P294" s="16"/>
      <c r="Q294" s="16"/>
      <c r="R294" s="16"/>
      <c r="S294" s="16"/>
      <c r="T294" s="16"/>
      <c r="U294" s="16"/>
      <c r="V294" s="16"/>
      <c r="W294" s="10"/>
    </row>
    <row r="295" spans="1:27" ht="14.25" customHeight="1" x14ac:dyDescent="0.25">
      <c r="A295" s="2026" t="s">
        <v>364</v>
      </c>
      <c r="B295" s="1942"/>
      <c r="C295" s="1942"/>
      <c r="D295" s="1942"/>
      <c r="E295" s="1942"/>
      <c r="F295" s="1943"/>
      <c r="G295" s="38">
        <f>SUMIF(F15:F287,"SB(P)",G15:G287)</f>
        <v>422.4</v>
      </c>
      <c r="H295" s="214">
        <f>SUMIF(F15:F287,"SB(P)",H15:H287)</f>
        <v>422.4</v>
      </c>
      <c r="I295" s="44">
        <f>SUMIF(F15:F287,"SB(P)",I15:I287)</f>
        <v>0</v>
      </c>
      <c r="J295" s="38">
        <f>SUMIF(F15:F287,"SB(P)",J15:J287)</f>
        <v>0</v>
      </c>
      <c r="K295" s="214">
        <f>SUMIF(F15:F287,"SB(P)",K15:K287)</f>
        <v>0</v>
      </c>
      <c r="L295" s="44">
        <f>SUMIF(F15:F287,"SB(P)",L15:L287)</f>
        <v>0</v>
      </c>
      <c r="M295" s="38">
        <f>SUMIF(F15:F287,"SB(P)",M15:M287)</f>
        <v>0</v>
      </c>
      <c r="N295" s="214">
        <f>SUMIF(F15:F287,"SB(P)",N15:N287)</f>
        <v>0</v>
      </c>
      <c r="O295" s="44">
        <f>SUMIF(F15:F287,"SB(P)",O15:O287)</f>
        <v>0</v>
      </c>
      <c r="P295" s="16"/>
      <c r="Q295" s="16"/>
      <c r="R295" s="16"/>
      <c r="S295" s="16"/>
      <c r="T295" s="16"/>
      <c r="U295" s="16"/>
      <c r="V295" s="16"/>
      <c r="W295" s="10"/>
    </row>
    <row r="296" spans="1:27" ht="27.75" customHeight="1" x14ac:dyDescent="0.25">
      <c r="A296" s="2026" t="s">
        <v>368</v>
      </c>
      <c r="B296" s="1942"/>
      <c r="C296" s="1942"/>
      <c r="D296" s="1942"/>
      <c r="E296" s="1942"/>
      <c r="F296" s="1943"/>
      <c r="G296" s="38">
        <f>SUMIF(F15:F287,"SB(K)",G15:G287)</f>
        <v>427.9</v>
      </c>
      <c r="H296" s="214">
        <f>SUMIF(F15:F287,"SB(K)",H15:H287)</f>
        <v>427.9</v>
      </c>
      <c r="I296" s="44">
        <f>SUMIF(F15:F287,"SB(K)",I15:I287)</f>
        <v>0</v>
      </c>
      <c r="J296" s="38">
        <f>SUMIF(F15:F287,"SB(K)",J15:J287)</f>
        <v>0</v>
      </c>
      <c r="K296" s="214">
        <f>SUMIF(F15:F287,"SB(K)",K15:K287)</f>
        <v>0</v>
      </c>
      <c r="L296" s="44">
        <f>SUMIF(F15:F287,"SB(K)",L15:L287)</f>
        <v>0</v>
      </c>
      <c r="M296" s="38">
        <f>SUMIF(F15:F287,"SB(K)",M15:M287)</f>
        <v>0</v>
      </c>
      <c r="N296" s="214">
        <f>SUMIF(F15:F287,"SB(K)",N15:N287)</f>
        <v>0</v>
      </c>
      <c r="O296" s="44">
        <f>SUMIF(F15:F287,"SB(K)",O15:O287)</f>
        <v>0</v>
      </c>
      <c r="P296" s="16"/>
      <c r="Q296" s="16"/>
      <c r="R296" s="16"/>
      <c r="S296" s="16"/>
      <c r="T296" s="16"/>
      <c r="U296" s="16"/>
      <c r="V296" s="16"/>
      <c r="W296" s="10"/>
    </row>
    <row r="297" spans="1:27" ht="14.25" customHeight="1" x14ac:dyDescent="0.25">
      <c r="A297" s="2040" t="s">
        <v>58</v>
      </c>
      <c r="B297" s="1936"/>
      <c r="C297" s="1936"/>
      <c r="D297" s="1936"/>
      <c r="E297" s="1936"/>
      <c r="F297" s="1937"/>
      <c r="G297" s="38">
        <f>SUMIF(F15:F287,"SB(VR)",G15:G287)</f>
        <v>2074.5</v>
      </c>
      <c r="H297" s="214">
        <f>SUMIF(F15:F287,"SB(VR)",H15:H287)</f>
        <v>2074.5</v>
      </c>
      <c r="I297" s="44">
        <f>SUMIF(F15:F287,"SB(VR)",I15:I287)</f>
        <v>0</v>
      </c>
      <c r="J297" s="38">
        <f>SUMIF(F15:F287,"SB(VR)",J15:J287)</f>
        <v>3068.3</v>
      </c>
      <c r="K297" s="214">
        <f>SUMIF(F15:F287,"SB(VR)",K15:K287)</f>
        <v>3500.2</v>
      </c>
      <c r="L297" s="44">
        <f>SUMIF(F15:F287,"SB(VR)",L15:L287)</f>
        <v>431.9</v>
      </c>
      <c r="M297" s="38">
        <f>SUMIF(F15:F287,"SB(VR)",M15:M287)</f>
        <v>2733.9</v>
      </c>
      <c r="N297" s="214">
        <f>SUMIF(F15:F287,"SB(VR)",N15:N287)</f>
        <v>3245.2</v>
      </c>
      <c r="O297" s="44">
        <f>SUMIF(F15:F287,"SB(VR)",O15:O287)</f>
        <v>511.3</v>
      </c>
      <c r="P297" s="16"/>
      <c r="Q297" s="16"/>
      <c r="R297" s="16"/>
      <c r="S297" s="16"/>
      <c r="T297" s="16"/>
      <c r="U297" s="16"/>
      <c r="V297" s="16"/>
      <c r="W297" s="10"/>
    </row>
    <row r="298" spans="1:27" ht="14.25" customHeight="1" x14ac:dyDescent="0.25">
      <c r="A298" s="2026" t="s">
        <v>366</v>
      </c>
      <c r="B298" s="1942"/>
      <c r="C298" s="1942"/>
      <c r="D298" s="1942"/>
      <c r="E298" s="1942"/>
      <c r="F298" s="1943"/>
      <c r="G298" s="38">
        <f>SUMIF(F15:F287,"SB(SPI)",G15:G287)</f>
        <v>150</v>
      </c>
      <c r="H298" s="214">
        <f>SUMIF(F15:F287,"SB(SPI)",H15:H287)</f>
        <v>150</v>
      </c>
      <c r="I298" s="44">
        <f>SUMIF(F15:F287,"SB(SPI)",I15:I287)</f>
        <v>0</v>
      </c>
      <c r="J298" s="38">
        <f>SUMIF(F15:F287,"SB(SPI)",J15:J287)</f>
        <v>0</v>
      </c>
      <c r="K298" s="214">
        <f>SUMIF(F15:F287,"SB(SPI)",K15:K287)</f>
        <v>0</v>
      </c>
      <c r="L298" s="44">
        <f>SUMIF(F15:F287,"SB(SPI)",L15:L287)</f>
        <v>0</v>
      </c>
      <c r="M298" s="38">
        <f>SUMIF(F15:F287,"SB(SPI)",M15:M287)</f>
        <v>0</v>
      </c>
      <c r="N298" s="214">
        <f>SUMIF(F15:F287,"SB(SPI)",N15:N287)</f>
        <v>0</v>
      </c>
      <c r="O298" s="44">
        <f>SUMIF(F15:F287,"SB(SPI)",O15:O287)</f>
        <v>0</v>
      </c>
      <c r="P298" s="16"/>
      <c r="Q298" s="16"/>
      <c r="R298" s="16"/>
      <c r="S298" s="16"/>
      <c r="T298" s="16"/>
      <c r="U298" s="16"/>
      <c r="V298" s="16"/>
      <c r="W298" s="10"/>
    </row>
    <row r="299" spans="1:27" ht="27" customHeight="1" x14ac:dyDescent="0.25">
      <c r="A299" s="2027" t="s">
        <v>415</v>
      </c>
      <c r="B299" s="1893"/>
      <c r="C299" s="1893"/>
      <c r="D299" s="1893"/>
      <c r="E299" s="1893"/>
      <c r="F299" s="1894"/>
      <c r="G299" s="693">
        <f>SUMIF(F15:F287,"SB(ES)",G15:G287)</f>
        <v>576.79999999999995</v>
      </c>
      <c r="H299" s="262">
        <f>SUMIF(F15:F287,"SB(ES)",H15:H287)</f>
        <v>576.79999999999995</v>
      </c>
      <c r="I299" s="268">
        <f>SUMIF(F15:F287,"SB(ES)",I15:I287)</f>
        <v>0</v>
      </c>
      <c r="J299" s="693">
        <f>SUMIF(F15:F287,"SB(ES)",J15:J287)</f>
        <v>805.7</v>
      </c>
      <c r="K299" s="262">
        <f>SUMIF(F15:F287,"SB(ES)",K15:K287)</f>
        <v>805.7</v>
      </c>
      <c r="L299" s="268">
        <f>SUMIF(F15:F287,"SB(ES)",L15:L287)</f>
        <v>0</v>
      </c>
      <c r="M299" s="693">
        <f>SUMIF(F15:F287,"SB(ES)",M15:M287)</f>
        <v>195.4</v>
      </c>
      <c r="N299" s="262">
        <f>SUMIF(F15:F287,"SB(ES)",N15:N287)</f>
        <v>195.4</v>
      </c>
      <c r="O299" s="268">
        <f>SUMIF(F15:F287,"SB(ES)",O15:O287)</f>
        <v>0</v>
      </c>
      <c r="P299" s="16"/>
      <c r="Q299" s="16"/>
      <c r="R299" s="16"/>
      <c r="S299" s="16"/>
      <c r="T299" s="16"/>
      <c r="U299" s="16"/>
      <c r="V299" s="16"/>
      <c r="W299" s="10"/>
    </row>
    <row r="300" spans="1:27" ht="14.25" customHeight="1" x14ac:dyDescent="0.25">
      <c r="A300" s="2027" t="s">
        <v>122</v>
      </c>
      <c r="B300" s="1893"/>
      <c r="C300" s="1893"/>
      <c r="D300" s="1893"/>
      <c r="E300" s="1893"/>
      <c r="F300" s="1894"/>
      <c r="G300" s="693">
        <f>SUMIF(F15:F287,"SB(VB)",G15:G287)</f>
        <v>9036</v>
      </c>
      <c r="H300" s="262">
        <f>SUMIF(F15:F287,"SB(VB)",H15:H287)</f>
        <v>9036</v>
      </c>
      <c r="I300" s="268">
        <f>SUMIF(F15:F287,"SB(VB)",I15:I287)</f>
        <v>0</v>
      </c>
      <c r="J300" s="693">
        <f>SUMIF(F15:F287,"SB(VB)",J15:J287)</f>
        <v>8000</v>
      </c>
      <c r="K300" s="262">
        <f>SUMIF(F15:F287,"SB(VB)",K15:K287)</f>
        <v>8000</v>
      </c>
      <c r="L300" s="268">
        <f>SUMIF(F15:F287,"SB(VB)",L15:L287)</f>
        <v>0</v>
      </c>
      <c r="M300" s="693">
        <f>SUMIF(F15:F287,"SB(VB)",M15:M287)</f>
        <v>0</v>
      </c>
      <c r="N300" s="262">
        <f>SUMIF(F15:F287,"SB(VB)",N15:N287)</f>
        <v>0</v>
      </c>
      <c r="O300" s="268">
        <f>SUMIF(F15:F287,"SB(VB)",O15:O287)</f>
        <v>0</v>
      </c>
      <c r="P300" s="16"/>
      <c r="Q300" s="16"/>
      <c r="R300" s="16"/>
      <c r="S300" s="16"/>
      <c r="T300" s="16"/>
      <c r="U300" s="16"/>
      <c r="V300" s="16"/>
      <c r="W300" s="10"/>
    </row>
    <row r="301" spans="1:27" ht="26.25" customHeight="1" x14ac:dyDescent="0.25">
      <c r="A301" s="2026" t="s">
        <v>142</v>
      </c>
      <c r="B301" s="1942"/>
      <c r="C301" s="1942"/>
      <c r="D301" s="1942"/>
      <c r="E301" s="1942"/>
      <c r="F301" s="1943"/>
      <c r="G301" s="693">
        <f>SUMIF(F15:F287,"SB(KPP)",G15:G287)</f>
        <v>5154.2</v>
      </c>
      <c r="H301" s="262">
        <f>SUMIF(F15:F287,"SB(KPP)",H15:H287)</f>
        <v>5154.2</v>
      </c>
      <c r="I301" s="268">
        <f>SUMIF(F15:F287,"SB(KPP)",I15:I287)</f>
        <v>0</v>
      </c>
      <c r="J301" s="693">
        <f>SUMIF(F15:F287,"SB(KPP)",J15:J287)</f>
        <v>5575</v>
      </c>
      <c r="K301" s="262">
        <f>SUMIF(F15:F287,"SB(KPP)",K15:K287)</f>
        <v>5901.6</v>
      </c>
      <c r="L301" s="268">
        <f>SUMIF(F15:F287,"SB(KPP)",L15:L287)</f>
        <v>326.60000000000002</v>
      </c>
      <c r="M301" s="693">
        <f>SUMIF(F15:F287,"SB(KPP)",M15:M287)</f>
        <v>8211.9</v>
      </c>
      <c r="N301" s="262">
        <f>SUMIF(F15:F287,"SB(KPP)",N15:N287)</f>
        <v>7621.9</v>
      </c>
      <c r="O301" s="268">
        <f>SUMIF(F15:F287,"SB(KPP)",O15:O287)</f>
        <v>-590</v>
      </c>
      <c r="P301" s="16"/>
      <c r="Q301" s="16"/>
      <c r="R301" s="16"/>
      <c r="S301" s="16"/>
      <c r="T301" s="16"/>
      <c r="U301" s="16"/>
      <c r="V301" s="16"/>
      <c r="W301" s="10"/>
    </row>
    <row r="302" spans="1:27" ht="27" customHeight="1" x14ac:dyDescent="0.25">
      <c r="A302" s="2026" t="s">
        <v>208</v>
      </c>
      <c r="B302" s="1942"/>
      <c r="C302" s="1942"/>
      <c r="D302" s="1942"/>
      <c r="E302" s="1942"/>
      <c r="F302" s="1943"/>
      <c r="G302" s="693">
        <f>SUMIF(F15:F287,"SB(ESA)",G15:G287)</f>
        <v>28.6</v>
      </c>
      <c r="H302" s="262">
        <f>SUMIF(F15:F287,"SB(ESA)",H15:H287)</f>
        <v>28.6</v>
      </c>
      <c r="I302" s="268">
        <f>SUMIF(F15:F287,"SB(ESA)",I15:I287)</f>
        <v>0</v>
      </c>
      <c r="J302" s="693">
        <f>SUMIF(F15:F287,"SB(ESA)",J15:J287)</f>
        <v>8.3000000000000007</v>
      </c>
      <c r="K302" s="262">
        <f>SUMIF(F15:F287,"SB(ESA)",K15:K287)</f>
        <v>8.3000000000000007</v>
      </c>
      <c r="L302" s="268">
        <f>SUMIF(F15:F287,"SB(ESA)",L15:L287)</f>
        <v>0</v>
      </c>
      <c r="M302" s="693">
        <f>SUMIF(F15:F287,"SB(ESA)",M15:M287)</f>
        <v>0</v>
      </c>
      <c r="N302" s="262">
        <f>SUMIF(F15:F287,"SB(ESA)",N15:N287)</f>
        <v>0</v>
      </c>
      <c r="O302" s="268">
        <f>SUMIF(F15:F287,"SB(ESA)",O15:O287)</f>
        <v>0</v>
      </c>
      <c r="P302" s="16"/>
      <c r="Q302" s="16"/>
      <c r="R302" s="16"/>
      <c r="S302" s="16"/>
      <c r="T302" s="16"/>
      <c r="U302" s="16"/>
      <c r="V302" s="16"/>
      <c r="W302" s="10"/>
    </row>
    <row r="303" spans="1:27" ht="15.75" customHeight="1" x14ac:dyDescent="0.25">
      <c r="A303" s="2042" t="s">
        <v>143</v>
      </c>
      <c r="B303" s="1945"/>
      <c r="C303" s="1945"/>
      <c r="D303" s="1945"/>
      <c r="E303" s="1945"/>
      <c r="F303" s="1946"/>
      <c r="G303" s="1016">
        <f>SUMIF(F15:F287,"KPP",G15:G287)</f>
        <v>0</v>
      </c>
      <c r="H303" s="1021">
        <f>SUMIF(F15:F287,"KPP",H15:H287)</f>
        <v>0</v>
      </c>
      <c r="I303" s="269">
        <f>SUMIF(F15:F287,"KPP",I15:I287)</f>
        <v>0</v>
      </c>
      <c r="J303" s="1016">
        <f>SUMIF(F15:F287,"KPP",J15:J287)</f>
        <v>0</v>
      </c>
      <c r="K303" s="1021">
        <f>SUMIF(F15:F287,"KPP",K15:K287)</f>
        <v>0</v>
      </c>
      <c r="L303" s="269">
        <f>SUMIF(F15:F287,"KPP",L15:L287)</f>
        <v>0</v>
      </c>
      <c r="M303" s="1016">
        <f>SUMIF(F15:F287,"KPP",M15:M287)</f>
        <v>0</v>
      </c>
      <c r="N303" s="1021">
        <f>SUMIF(F15:F287,"KPP",N15:N287)</f>
        <v>0</v>
      </c>
      <c r="O303" s="269">
        <f>SUMIF(F15:F287,"KPP",O15:O287)</f>
        <v>0</v>
      </c>
      <c r="P303" s="16"/>
      <c r="Q303" s="16"/>
      <c r="R303" s="16"/>
      <c r="S303" s="16"/>
      <c r="T303" s="16"/>
      <c r="U303" s="16"/>
      <c r="V303" s="16"/>
      <c r="W303" s="10"/>
    </row>
    <row r="304" spans="1:27" ht="26.25" customHeight="1" x14ac:dyDescent="0.25">
      <c r="A304" s="2042" t="s">
        <v>362</v>
      </c>
      <c r="B304" s="1945"/>
      <c r="C304" s="1945"/>
      <c r="D304" s="1945"/>
      <c r="E304" s="1945"/>
      <c r="F304" s="1946"/>
      <c r="G304" s="1016">
        <f>SUMIF(F15:F287,"SB(ESL)",G15:G287)</f>
        <v>59.5</v>
      </c>
      <c r="H304" s="1021">
        <f>SUMIF(F15:F287,"SB(ESL)",H15:H287)</f>
        <v>59.5</v>
      </c>
      <c r="I304" s="269">
        <f>SUMIF(F15:F287,"SB(ESL)",I15:I287)</f>
        <v>0</v>
      </c>
      <c r="J304" s="1016">
        <f>SUMIF(F15:F287,"SB(ESL)",J15:J287)</f>
        <v>0</v>
      </c>
      <c r="K304" s="1021">
        <f>SUMIF(F15:F287,"SB(ESL)",K15:K287)</f>
        <v>0</v>
      </c>
      <c r="L304" s="269">
        <f>SUMIF(F15:F287,"SB(ESL)",L15:L287)</f>
        <v>0</v>
      </c>
      <c r="M304" s="1016">
        <f>SUMIF(F15:F287,"SB(ESL)",M15:M287)</f>
        <v>0</v>
      </c>
      <c r="N304" s="1021">
        <f>SUMIF(F15:F287,"SB(ESL)",N15:N287)</f>
        <v>0</v>
      </c>
      <c r="O304" s="269">
        <f>SUMIF(F15:F287,"SB(ESL)",O15:O287)</f>
        <v>0</v>
      </c>
      <c r="P304" s="16"/>
      <c r="Q304" s="16"/>
      <c r="R304" s="16"/>
      <c r="S304" s="16"/>
      <c r="T304" s="16"/>
      <c r="U304" s="16"/>
      <c r="V304" s="16"/>
      <c r="W304" s="10"/>
    </row>
    <row r="305" spans="1:23" ht="14.25" customHeight="1" x14ac:dyDescent="0.25">
      <c r="A305" s="2043" t="s">
        <v>65</v>
      </c>
      <c r="B305" s="1948"/>
      <c r="C305" s="1948"/>
      <c r="D305" s="1948"/>
      <c r="E305" s="1948"/>
      <c r="F305" s="1949"/>
      <c r="G305" s="1016">
        <f>SUMIF(F15:F287,"SB(VRL)",G15:G287)</f>
        <v>427.7</v>
      </c>
      <c r="H305" s="1021">
        <f>SUMIF(F15:F287,"SB(VRL)",H15:H287)</f>
        <v>427.7</v>
      </c>
      <c r="I305" s="269">
        <f>SUMIF(F15:F287,"SB(VRL)",I15:I287)</f>
        <v>0</v>
      </c>
      <c r="J305" s="1016">
        <f>SUMIF(F15:F287,"SB(VRL)",J15:J287)</f>
        <v>20</v>
      </c>
      <c r="K305" s="1021">
        <f>SUMIF(F15:F287,"SB(VRL)",K15:K287)</f>
        <v>77.7</v>
      </c>
      <c r="L305" s="269">
        <f>SUMIF(F15:F287,"SB(VRL)",L15:L287)</f>
        <v>57.7</v>
      </c>
      <c r="M305" s="1016">
        <f>SUMIF(F15:F287,"SB(VRL)",M15:M287)</f>
        <v>26</v>
      </c>
      <c r="N305" s="1021">
        <f>SUMIF(F15:F287,"SB(VRL)",N15:N287)</f>
        <v>26</v>
      </c>
      <c r="O305" s="269">
        <f>SUMIF(F15:F287,"SB(VRL)",O15:O287)</f>
        <v>0</v>
      </c>
      <c r="P305" s="16"/>
      <c r="Q305" s="16"/>
      <c r="R305" s="16"/>
      <c r="S305" s="16"/>
      <c r="T305" s="16"/>
      <c r="U305" s="16"/>
      <c r="V305" s="16"/>
      <c r="W305" s="10"/>
    </row>
    <row r="306" spans="1:23" ht="14.25" customHeight="1" x14ac:dyDescent="0.25">
      <c r="A306" s="2042" t="s">
        <v>66</v>
      </c>
      <c r="B306" s="1948"/>
      <c r="C306" s="1948"/>
      <c r="D306" s="1948"/>
      <c r="E306" s="1948"/>
      <c r="F306" s="1949"/>
      <c r="G306" s="1016">
        <f>SUMIF(F15:F287,"SB(ŽPL)",G15:G287)</f>
        <v>5.7</v>
      </c>
      <c r="H306" s="1021">
        <f>SUMIF(F15:F287,"SB(ŽPL)",H15:H287)</f>
        <v>5.7</v>
      </c>
      <c r="I306" s="269">
        <f>SUMIF(F15:F287,"SB(ŽPL)",I15:I287)</f>
        <v>0</v>
      </c>
      <c r="J306" s="1016">
        <f>SUMIF(F15:F287,"SB(ŽPL)",J15:J287)</f>
        <v>0</v>
      </c>
      <c r="K306" s="1021">
        <f>SUMIF(F15:F287,"SB(ŽPL)",K15:K287)</f>
        <v>0</v>
      </c>
      <c r="L306" s="269">
        <f>SUMIF(F15:F287,"SB(ŽPL)",L15:L287)</f>
        <v>0</v>
      </c>
      <c r="M306" s="1016">
        <f>SUMIF(F15:F287,"SB(ŽPL)",M15:M287)</f>
        <v>0</v>
      </c>
      <c r="N306" s="1021">
        <f>SUMIF(F15:F287,"SB(ŽPL)",N15:N287)</f>
        <v>0</v>
      </c>
      <c r="O306" s="269">
        <f>SUMIF(F15:F287,"SB(ŽPL)",O15:O287)</f>
        <v>0</v>
      </c>
      <c r="P306" s="16"/>
      <c r="Q306" s="16"/>
      <c r="R306" s="16"/>
      <c r="S306" s="16"/>
      <c r="T306" s="16"/>
      <c r="U306" s="16"/>
      <c r="V306" s="16"/>
      <c r="W306" s="10"/>
    </row>
    <row r="307" spans="1:23" ht="14.25" customHeight="1" x14ac:dyDescent="0.25">
      <c r="A307" s="2037" t="s">
        <v>96</v>
      </c>
      <c r="B307" s="1927"/>
      <c r="C307" s="1927"/>
      <c r="D307" s="1927"/>
      <c r="E307" s="1927"/>
      <c r="F307" s="1928"/>
      <c r="G307" s="1016">
        <f>SUMIF(F15:F287,"SB(L)",G15:G287)</f>
        <v>1426.5</v>
      </c>
      <c r="H307" s="1021">
        <f>SUMIF(F15:F287,"SB(L)",H15:H287)</f>
        <v>1638</v>
      </c>
      <c r="I307" s="269">
        <f>SUMIF(F15:F287,"SB(L)",I15:I287)</f>
        <v>211.5</v>
      </c>
      <c r="J307" s="1016">
        <f>SUMIF(F15:F287,"SB(L)",J15:J287)</f>
        <v>0</v>
      </c>
      <c r="K307" s="1021">
        <f>SUMIF(F15:F287,"SB(L)",K15:K287)</f>
        <v>0</v>
      </c>
      <c r="L307" s="269">
        <f>SUMIF(F15:F287,"SB(L)",L15:L287)</f>
        <v>0</v>
      </c>
      <c r="M307" s="1016">
        <f>SUMIF(F15:F287,"SB(L)",M15:M287)</f>
        <v>0</v>
      </c>
      <c r="N307" s="1021">
        <f>SUMIF(F15:F287,"SB(L)",N15:N287)</f>
        <v>0</v>
      </c>
      <c r="O307" s="269">
        <f>SUMIF(F15:F287,"SB(L)",O15:O287)</f>
        <v>0</v>
      </c>
      <c r="P307" s="16"/>
      <c r="Q307" s="16"/>
      <c r="R307" s="16"/>
      <c r="S307" s="16"/>
      <c r="T307" s="16"/>
      <c r="U307" s="16"/>
      <c r="V307" s="16"/>
      <c r="W307" s="10"/>
    </row>
    <row r="308" spans="1:23" ht="14.25" customHeight="1" x14ac:dyDescent="0.25">
      <c r="A308" s="2038" t="s">
        <v>13</v>
      </c>
      <c r="B308" s="1930"/>
      <c r="C308" s="1930"/>
      <c r="D308" s="1930"/>
      <c r="E308" s="1930"/>
      <c r="F308" s="1931"/>
      <c r="G308" s="1017">
        <f t="shared" ref="G308:M308" si="64">G310+G311+G312+G309</f>
        <v>3370</v>
      </c>
      <c r="H308" s="1022">
        <f t="shared" ref="H308" si="65">H310+H311+H312+H309</f>
        <v>3308</v>
      </c>
      <c r="I308" s="270">
        <f t="shared" ref="I308" si="66">I310+I311+I312+I309</f>
        <v>-62</v>
      </c>
      <c r="J308" s="1017">
        <f t="shared" si="64"/>
        <v>19767.5</v>
      </c>
      <c r="K308" s="1022">
        <f t="shared" ref="K308" si="67">K310+K311+K312+K309</f>
        <v>19829.5</v>
      </c>
      <c r="L308" s="270">
        <f t="shared" ref="L308" si="68">L310+L311+L312+L309</f>
        <v>62</v>
      </c>
      <c r="M308" s="1017">
        <f t="shared" si="64"/>
        <v>15060.1</v>
      </c>
      <c r="N308" s="1022">
        <f t="shared" ref="N308" si="69">N310+N311+N312+N309</f>
        <v>15060.1</v>
      </c>
      <c r="O308" s="270">
        <f t="shared" ref="O308" si="70">O310+O311+O312+O309</f>
        <v>0</v>
      </c>
      <c r="P308" s="16"/>
      <c r="Q308" s="16"/>
      <c r="R308" s="16"/>
      <c r="S308" s="16"/>
      <c r="T308" s="16"/>
      <c r="U308" s="16"/>
      <c r="V308" s="16"/>
      <c r="W308" s="10"/>
    </row>
    <row r="309" spans="1:23" ht="14.25" customHeight="1" x14ac:dyDescent="0.25">
      <c r="A309" s="2027" t="s">
        <v>18</v>
      </c>
      <c r="B309" s="1893"/>
      <c r="C309" s="1893"/>
      <c r="D309" s="1893"/>
      <c r="E309" s="1893"/>
      <c r="F309" s="1894"/>
      <c r="G309" s="693">
        <f>SUMIF(F15:F287,"ES",G15:G287)</f>
        <v>114.8</v>
      </c>
      <c r="H309" s="262">
        <f>SUMIF(F15:F287,"ES",H15:H287)</f>
        <v>114.8</v>
      </c>
      <c r="I309" s="268">
        <f>SUMIF(F15:F287,"ES",I15:I287)</f>
        <v>0</v>
      </c>
      <c r="J309" s="693">
        <f>SUMIF(F15:F287,"ES",J15:J287)</f>
        <v>1712.8</v>
      </c>
      <c r="K309" s="262">
        <f>SUMIF(F15:F287,"ES",K15:K287)</f>
        <v>1712.8</v>
      </c>
      <c r="L309" s="268">
        <f>SUMIF(F15:F287,"ES",L15:L287)</f>
        <v>0</v>
      </c>
      <c r="M309" s="693">
        <f>SUMIF(F15:F287,"ES",M15:M287)</f>
        <v>1545.1</v>
      </c>
      <c r="N309" s="262">
        <f>SUMIF(F15:F287,"ES",N15:N287)</f>
        <v>1545.1</v>
      </c>
      <c r="O309" s="268">
        <f>SUMIF(F15:F287,"ES",O15:O287)</f>
        <v>0</v>
      </c>
      <c r="P309" s="16"/>
      <c r="Q309" s="16"/>
      <c r="R309" s="16"/>
      <c r="S309" s="16"/>
      <c r="T309" s="16"/>
      <c r="U309" s="16"/>
      <c r="V309" s="16"/>
      <c r="W309" s="10"/>
    </row>
    <row r="310" spans="1:23" ht="14.25" customHeight="1" x14ac:dyDescent="0.25">
      <c r="A310" s="2039" t="s">
        <v>19</v>
      </c>
      <c r="B310" s="1933"/>
      <c r="C310" s="1933"/>
      <c r="D310" s="1933"/>
      <c r="E310" s="1933"/>
      <c r="F310" s="1934"/>
      <c r="G310" s="693">
        <f>SUMIF(F15:F287,"KVJUD",G15:G287)</f>
        <v>1500</v>
      </c>
      <c r="H310" s="262">
        <f>SUMIF(F15:F287,"KVJUD",H15:H287)</f>
        <v>1500</v>
      </c>
      <c r="I310" s="268">
        <f>SUMIF(F15:F287,"KVJUD",I15:I287)</f>
        <v>0</v>
      </c>
      <c r="J310" s="693">
        <f>SUMIF(F15:F287,"KVJUD",J15:J287)</f>
        <v>1500</v>
      </c>
      <c r="K310" s="262">
        <f>SUMIF(F15:F287,"KVJUD",K15:K287)</f>
        <v>1500</v>
      </c>
      <c r="L310" s="268">
        <f>SUMIF(F15:F287,"KVJUD",L15:L287)</f>
        <v>0</v>
      </c>
      <c r="M310" s="693">
        <f>SUMIF(F15:F287,"KVJUD",M15:M287)</f>
        <v>1500</v>
      </c>
      <c r="N310" s="262">
        <f>SUMIF(F15:F287,"KVJUD",N15:N287)</f>
        <v>1500</v>
      </c>
      <c r="O310" s="268">
        <f>SUMIF(F15:F287,"KVJUD",O15:O287)</f>
        <v>0</v>
      </c>
      <c r="P310" s="16"/>
      <c r="Q310" s="16"/>
      <c r="R310" s="16"/>
      <c r="S310" s="16"/>
      <c r="T310" s="16"/>
      <c r="U310" s="16"/>
      <c r="V310" s="16"/>
      <c r="W310" s="16"/>
    </row>
    <row r="311" spans="1:23" ht="14.25" customHeight="1" x14ac:dyDescent="0.25">
      <c r="A311" s="2040" t="s">
        <v>20</v>
      </c>
      <c r="B311" s="1936"/>
      <c r="C311" s="1936"/>
      <c r="D311" s="1936"/>
      <c r="E311" s="1936"/>
      <c r="F311" s="1937"/>
      <c r="G311" s="693">
        <f>SUMIF(F15:F287,"LRVB",G15:G287)</f>
        <v>1500</v>
      </c>
      <c r="H311" s="262">
        <f>SUMIF(F15:F287,"LRVB",H15:H287)</f>
        <v>1500</v>
      </c>
      <c r="I311" s="268">
        <f>SUMIF(F15:F287,"LRVB",I15:I287)</f>
        <v>0</v>
      </c>
      <c r="J311" s="693">
        <f>SUMIF(F15:F287,"LRVB",J15:J287)</f>
        <v>16530.7</v>
      </c>
      <c r="K311" s="262">
        <f>SUMIF(F15:F287,"LRVB",K15:K287)</f>
        <v>16530.7</v>
      </c>
      <c r="L311" s="268">
        <f>SUMIF(F15:F287,"LRVB",L15:L287)</f>
        <v>0</v>
      </c>
      <c r="M311" s="693">
        <f>SUMIF(F15:F287,"LRVB",M15:M287)</f>
        <v>12015</v>
      </c>
      <c r="N311" s="262">
        <f>SUMIF(F15:F287,"LRVB",N15:N287)</f>
        <v>12015</v>
      </c>
      <c r="O311" s="268">
        <f>SUMIF(F15:F287,"LRVB",O15:O287)</f>
        <v>0</v>
      </c>
      <c r="P311" s="16"/>
      <c r="Q311" s="16"/>
      <c r="R311" s="16"/>
      <c r="S311" s="16"/>
      <c r="T311" s="16"/>
      <c r="U311" s="16"/>
      <c r="V311" s="16"/>
      <c r="W311" s="16"/>
    </row>
    <row r="312" spans="1:23" ht="14.25" customHeight="1" x14ac:dyDescent="0.25">
      <c r="A312" s="2041" t="s">
        <v>21</v>
      </c>
      <c r="B312" s="1939"/>
      <c r="C312" s="1939"/>
      <c r="D312" s="1939"/>
      <c r="E312" s="1939"/>
      <c r="F312" s="1940"/>
      <c r="G312" s="693">
        <f>SUMIF(F15:F287,"Kt",G15:G287)</f>
        <v>255.2</v>
      </c>
      <c r="H312" s="262">
        <f>SUMIF(F15:F287,"Kt",H15:H287)</f>
        <v>193.2</v>
      </c>
      <c r="I312" s="268">
        <f>SUMIF(F15:F287,"Kt",I15:I287)</f>
        <v>-62</v>
      </c>
      <c r="J312" s="693">
        <f>SUMIF(F15:F287,"Kt",J15:J287)</f>
        <v>24</v>
      </c>
      <c r="K312" s="262">
        <f>SUMIF(F15:F287,"Kt",K15:K287)</f>
        <v>86</v>
      </c>
      <c r="L312" s="268">
        <f>SUMIF(F15:F287,"Kt",L15:L287)</f>
        <v>62</v>
      </c>
      <c r="M312" s="693">
        <f>SUMIF(F15:F287,"Kt",M15:M287)</f>
        <v>0</v>
      </c>
      <c r="N312" s="262">
        <f>SUMIF(F15:F287,"Kt",N15:N287)</f>
        <v>0</v>
      </c>
      <c r="O312" s="268">
        <f>SUMIF(F15:F287,"Kt",O15:O287)</f>
        <v>0</v>
      </c>
      <c r="P312" s="16"/>
      <c r="Q312" s="16"/>
      <c r="R312" s="16"/>
      <c r="S312" s="16"/>
      <c r="T312" s="16"/>
      <c r="U312" s="16"/>
      <c r="V312" s="16"/>
      <c r="W312" s="16"/>
    </row>
    <row r="313" spans="1:23" ht="14.25" customHeight="1" thickBot="1" x14ac:dyDescent="0.3">
      <c r="A313" s="2034" t="s">
        <v>14</v>
      </c>
      <c r="B313" s="1921"/>
      <c r="C313" s="1921"/>
      <c r="D313" s="1921"/>
      <c r="E313" s="1921"/>
      <c r="F313" s="1922"/>
      <c r="G313" s="1018">
        <f t="shared" ref="G313:O313" si="71">SUM(G292,G308)</f>
        <v>33843.5</v>
      </c>
      <c r="H313" s="1023">
        <f t="shared" si="71"/>
        <v>34868.5</v>
      </c>
      <c r="I313" s="271">
        <f t="shared" si="71"/>
        <v>1025</v>
      </c>
      <c r="J313" s="1018">
        <f t="shared" si="71"/>
        <v>49788.2</v>
      </c>
      <c r="K313" s="1023">
        <f t="shared" si="71"/>
        <v>50372.1</v>
      </c>
      <c r="L313" s="271">
        <f t="shared" si="71"/>
        <v>583.9</v>
      </c>
      <c r="M313" s="1018">
        <f t="shared" si="71"/>
        <v>36238</v>
      </c>
      <c r="N313" s="1023">
        <f t="shared" si="71"/>
        <v>36476.9</v>
      </c>
      <c r="O313" s="271">
        <f t="shared" si="71"/>
        <v>238.9</v>
      </c>
      <c r="P313" s="16"/>
      <c r="Q313" s="16"/>
      <c r="R313" s="16"/>
      <c r="S313" s="16"/>
      <c r="T313" s="16"/>
      <c r="U313" s="16"/>
      <c r="V313" s="16"/>
      <c r="W313" s="16"/>
    </row>
    <row r="314" spans="1:23" x14ac:dyDescent="0.25">
      <c r="A314" s="531"/>
      <c r="B314" s="1"/>
      <c r="C314" s="1"/>
      <c r="D314" s="1"/>
      <c r="E314" s="890"/>
      <c r="F314" s="944"/>
      <c r="G314" s="945"/>
      <c r="H314" s="945"/>
      <c r="I314" s="945"/>
      <c r="J314" s="945"/>
      <c r="K314" s="945"/>
      <c r="L314" s="945"/>
      <c r="M314" s="945"/>
      <c r="N314" s="945"/>
      <c r="O314" s="945"/>
      <c r="P314" s="946"/>
      <c r="Q314" s="1"/>
      <c r="R314" s="1"/>
      <c r="S314" s="1"/>
      <c r="T314" s="1"/>
      <c r="U314" s="1"/>
      <c r="V314" s="1"/>
    </row>
    <row r="316" spans="1:23" x14ac:dyDescent="0.25">
      <c r="N316" s="10"/>
    </row>
  </sheetData>
  <mergeCells count="266">
    <mergeCell ref="W57:W62"/>
    <mergeCell ref="W260:W262"/>
    <mergeCell ref="W253:W256"/>
    <mergeCell ref="W79:W80"/>
    <mergeCell ref="W135:W136"/>
    <mergeCell ref="W152:W154"/>
    <mergeCell ref="W207:W208"/>
    <mergeCell ref="W184:W186"/>
    <mergeCell ref="W187:W188"/>
    <mergeCell ref="W175:W182"/>
    <mergeCell ref="W215:W221"/>
    <mergeCell ref="W95:W96"/>
    <mergeCell ref="V1:W1"/>
    <mergeCell ref="W71:W73"/>
    <mergeCell ref="W191:W192"/>
    <mergeCell ref="P8:V8"/>
    <mergeCell ref="Q9:V9"/>
    <mergeCell ref="W8:W10"/>
    <mergeCell ref="R105:R120"/>
    <mergeCell ref="R191:R192"/>
    <mergeCell ref="T71:T73"/>
    <mergeCell ref="T105:T120"/>
    <mergeCell ref="T191:T192"/>
    <mergeCell ref="V71:V73"/>
    <mergeCell ref="V105:V120"/>
    <mergeCell ref="V191:V192"/>
    <mergeCell ref="Q191:Q192"/>
    <mergeCell ref="S191:S192"/>
    <mergeCell ref="U191:U192"/>
    <mergeCell ref="C169:U169"/>
    <mergeCell ref="E170:E172"/>
    <mergeCell ref="D176:D177"/>
    <mergeCell ref="D181:D182"/>
    <mergeCell ref="P181:P182"/>
    <mergeCell ref="D184:D186"/>
    <mergeCell ref="D152:D154"/>
    <mergeCell ref="A313:F313"/>
    <mergeCell ref="I8:I10"/>
    <mergeCell ref="I105:I120"/>
    <mergeCell ref="H8:H10"/>
    <mergeCell ref="H105:H120"/>
    <mergeCell ref="L8:L10"/>
    <mergeCell ref="L105:L120"/>
    <mergeCell ref="K8:K10"/>
    <mergeCell ref="K105:K120"/>
    <mergeCell ref="A307:F307"/>
    <mergeCell ref="A308:F308"/>
    <mergeCell ref="A309:F309"/>
    <mergeCell ref="A310:F310"/>
    <mergeCell ref="A311:F311"/>
    <mergeCell ref="A312:F312"/>
    <mergeCell ref="A301:F301"/>
    <mergeCell ref="A302:F302"/>
    <mergeCell ref="A303:F303"/>
    <mergeCell ref="A304:F304"/>
    <mergeCell ref="A305:F305"/>
    <mergeCell ref="A306:F306"/>
    <mergeCell ref="A295:F295"/>
    <mergeCell ref="A296:F296"/>
    <mergeCell ref="A297:F297"/>
    <mergeCell ref="A298:F298"/>
    <mergeCell ref="A299:F299"/>
    <mergeCell ref="A300:F300"/>
    <mergeCell ref="A288:E288"/>
    <mergeCell ref="A290:M290"/>
    <mergeCell ref="A291:F291"/>
    <mergeCell ref="A292:F292"/>
    <mergeCell ref="A293:F293"/>
    <mergeCell ref="A294:F294"/>
    <mergeCell ref="P275:P276"/>
    <mergeCell ref="C285:F285"/>
    <mergeCell ref="P285:U285"/>
    <mergeCell ref="B286:F286"/>
    <mergeCell ref="P286:U286"/>
    <mergeCell ref="B287:F287"/>
    <mergeCell ref="P287:U287"/>
    <mergeCell ref="P282:P283"/>
    <mergeCell ref="A272:A274"/>
    <mergeCell ref="B272:B274"/>
    <mergeCell ref="C272:C274"/>
    <mergeCell ref="D272:D274"/>
    <mergeCell ref="A275:A276"/>
    <mergeCell ref="B275:B276"/>
    <mergeCell ref="C275:C276"/>
    <mergeCell ref="D275:D276"/>
    <mergeCell ref="A277:A282"/>
    <mergeCell ref="B277:B282"/>
    <mergeCell ref="C277:C282"/>
    <mergeCell ref="D277:D283"/>
    <mergeCell ref="A39:A46"/>
    <mergeCell ref="B39:B46"/>
    <mergeCell ref="C39:C46"/>
    <mergeCell ref="D39:D44"/>
    <mergeCell ref="D47:D49"/>
    <mergeCell ref="C50:C62"/>
    <mergeCell ref="D50:D56"/>
    <mergeCell ref="B68:B73"/>
    <mergeCell ref="D68:D70"/>
    <mergeCell ref="D57:D62"/>
    <mergeCell ref="A63:A67"/>
    <mergeCell ref="B63:B67"/>
    <mergeCell ref="C63:C73"/>
    <mergeCell ref="D63:D67"/>
    <mergeCell ref="A68:A73"/>
    <mergeCell ref="D29:D35"/>
    <mergeCell ref="E29:E31"/>
    <mergeCell ref="P31:P35"/>
    <mergeCell ref="G8:G10"/>
    <mergeCell ref="J8:J10"/>
    <mergeCell ref="M8:M10"/>
    <mergeCell ref="P9:P10"/>
    <mergeCell ref="O8:O10"/>
    <mergeCell ref="N8:N10"/>
    <mergeCell ref="D8:D10"/>
    <mergeCell ref="E8:E10"/>
    <mergeCell ref="F8:F10"/>
    <mergeCell ref="P7:U7"/>
    <mergeCell ref="A11:U11"/>
    <mergeCell ref="A12:U12"/>
    <mergeCell ref="B13:U13"/>
    <mergeCell ref="C14:U14"/>
    <mergeCell ref="D15:D28"/>
    <mergeCell ref="A8:A10"/>
    <mergeCell ref="B8:B10"/>
    <mergeCell ref="C8:C10"/>
    <mergeCell ref="A269:A271"/>
    <mergeCell ref="B269:B271"/>
    <mergeCell ref="C269:C271"/>
    <mergeCell ref="D161:D164"/>
    <mergeCell ref="C168:F168"/>
    <mergeCell ref="D131:D132"/>
    <mergeCell ref="D207:D208"/>
    <mergeCell ref="C213:F213"/>
    <mergeCell ref="D215:D218"/>
    <mergeCell ref="D219:D223"/>
    <mergeCell ref="D227:D228"/>
    <mergeCell ref="D229:D230"/>
    <mergeCell ref="D269:D271"/>
    <mergeCell ref="E269:E271"/>
    <mergeCell ref="E191:E192"/>
    <mergeCell ref="D158:D160"/>
    <mergeCell ref="C214:U214"/>
    <mergeCell ref="D146:D148"/>
    <mergeCell ref="D149:D151"/>
    <mergeCell ref="P131:P132"/>
    <mergeCell ref="D135:D136"/>
    <mergeCell ref="P135:P136"/>
    <mergeCell ref="E140:E141"/>
    <mergeCell ref="D144:D145"/>
    <mergeCell ref="P104:P120"/>
    <mergeCell ref="F105:F120"/>
    <mergeCell ref="G105:G120"/>
    <mergeCell ref="J105:J120"/>
    <mergeCell ref="E95:E96"/>
    <mergeCell ref="M105:M120"/>
    <mergeCell ref="A266:A268"/>
    <mergeCell ref="B266:B268"/>
    <mergeCell ref="C266:C268"/>
    <mergeCell ref="D266:D268"/>
    <mergeCell ref="E266:E268"/>
    <mergeCell ref="P213:U213"/>
    <mergeCell ref="D133:D134"/>
    <mergeCell ref="D142:D143"/>
    <mergeCell ref="D197:D198"/>
    <mergeCell ref="P197:P198"/>
    <mergeCell ref="D199:D200"/>
    <mergeCell ref="E199:E200"/>
    <mergeCell ref="D202:D203"/>
    <mergeCell ref="D205:D206"/>
    <mergeCell ref="P191:P192"/>
    <mergeCell ref="P229:P230"/>
    <mergeCell ref="D231:D232"/>
    <mergeCell ref="A234:A235"/>
    <mergeCell ref="D187:D188"/>
    <mergeCell ref="D189:D190"/>
    <mergeCell ref="P189:P190"/>
    <mergeCell ref="A191:A192"/>
    <mergeCell ref="B191:B192"/>
    <mergeCell ref="C191:C192"/>
    <mergeCell ref="D191:D192"/>
    <mergeCell ref="D88:D89"/>
    <mergeCell ref="D90:D92"/>
    <mergeCell ref="P91:P92"/>
    <mergeCell ref="A127:A128"/>
    <mergeCell ref="B127:B128"/>
    <mergeCell ref="C127:C128"/>
    <mergeCell ref="D127:D128"/>
    <mergeCell ref="D129:D130"/>
    <mergeCell ref="P129:P130"/>
    <mergeCell ref="D122:D124"/>
    <mergeCell ref="A125:A126"/>
    <mergeCell ref="B125:B126"/>
    <mergeCell ref="C125:C126"/>
    <mergeCell ref="D125:D126"/>
    <mergeCell ref="P125:P126"/>
    <mergeCell ref="O105:O120"/>
    <mergeCell ref="N105:N120"/>
    <mergeCell ref="D257:D259"/>
    <mergeCell ref="A263:A265"/>
    <mergeCell ref="B263:B265"/>
    <mergeCell ref="C263:C265"/>
    <mergeCell ref="D263:D265"/>
    <mergeCell ref="D260:D261"/>
    <mergeCell ref="P253:P255"/>
    <mergeCell ref="A193:A194"/>
    <mergeCell ref="B193:B194"/>
    <mergeCell ref="C193:C194"/>
    <mergeCell ref="D193:D194"/>
    <mergeCell ref="E193:E196"/>
    <mergeCell ref="B234:B235"/>
    <mergeCell ref="C234:C235"/>
    <mergeCell ref="D234:D235"/>
    <mergeCell ref="P248:P249"/>
    <mergeCell ref="A248:A251"/>
    <mergeCell ref="B248:B251"/>
    <mergeCell ref="C248:C251"/>
    <mergeCell ref="D248:D251"/>
    <mergeCell ref="P250:P251"/>
    <mergeCell ref="Q105:Q120"/>
    <mergeCell ref="E53:E54"/>
    <mergeCell ref="W74:W78"/>
    <mergeCell ref="W277:W283"/>
    <mergeCell ref="D240:D247"/>
    <mergeCell ref="E240:E247"/>
    <mergeCell ref="P71:P73"/>
    <mergeCell ref="D93:D94"/>
    <mergeCell ref="E93:E94"/>
    <mergeCell ref="D98:D100"/>
    <mergeCell ref="P98:P100"/>
    <mergeCell ref="U71:U73"/>
    <mergeCell ref="D74:D78"/>
    <mergeCell ref="P74:P75"/>
    <mergeCell ref="D79:D80"/>
    <mergeCell ref="D81:D82"/>
    <mergeCell ref="D83:D84"/>
    <mergeCell ref="R71:R73"/>
    <mergeCell ref="Q71:Q73"/>
    <mergeCell ref="S71:S73"/>
    <mergeCell ref="D95:D96"/>
    <mergeCell ref="P68:P70"/>
    <mergeCell ref="S105:S120"/>
    <mergeCell ref="D253:D256"/>
    <mergeCell ref="A4:W4"/>
    <mergeCell ref="A5:W5"/>
    <mergeCell ref="A6:W6"/>
    <mergeCell ref="W231:W232"/>
    <mergeCell ref="W63:W67"/>
    <mergeCell ref="W142:W143"/>
    <mergeCell ref="P39:P40"/>
    <mergeCell ref="W39:W44"/>
    <mergeCell ref="W81:W82"/>
    <mergeCell ref="P50:P53"/>
    <mergeCell ref="P57:P62"/>
    <mergeCell ref="W202:W203"/>
    <mergeCell ref="W103:W105"/>
    <mergeCell ref="W122:W124"/>
    <mergeCell ref="W125:W126"/>
    <mergeCell ref="W127:W128"/>
    <mergeCell ref="W133:W134"/>
    <mergeCell ref="W161:W164"/>
    <mergeCell ref="W193:W196"/>
    <mergeCell ref="P63:P66"/>
    <mergeCell ref="W83:W87"/>
    <mergeCell ref="W50:W56"/>
    <mergeCell ref="W29:W38"/>
    <mergeCell ref="U105:U120"/>
  </mergeCells>
  <printOptions horizontalCentered="1"/>
  <pageMargins left="0.78740157480314965" right="0.19685039370078741" top="0.59055118110236227" bottom="0.39370078740157483" header="0" footer="0"/>
  <pageSetup paperSize="9" scale="59" fitToHeight="0" orientation="landscape" r:id="rId1"/>
  <headerFooter alignWithMargins="0"/>
  <rowBreaks count="7" manualBreakCount="7">
    <brk id="46" max="22" man="1"/>
    <brk id="82" max="22" man="1"/>
    <brk id="148" max="22" man="1"/>
    <brk id="190" max="22" man="1"/>
    <brk id="226" max="22" man="1"/>
    <brk id="262" max="22" man="1"/>
    <brk id="296" max="22" man="1"/>
  </rowBreaks>
  <ignoredErrors>
    <ignoredError sqref="K128 I239 L239 O239 H59 H36 H84 H133" formula="1"/>
    <ignoredError sqref="R54"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02"/>
  <sheetViews>
    <sheetView topLeftCell="A266" zoomScaleNormal="100" zoomScaleSheetLayoutView="100" workbookViewId="0">
      <selection activeCell="I155" sqref="I155"/>
    </sheetView>
  </sheetViews>
  <sheetFormatPr defaultColWidth="9.1796875" defaultRowHeight="13" x14ac:dyDescent="0.25"/>
  <cols>
    <col min="1" max="3" width="2.81640625" style="2" customWidth="1"/>
    <col min="4" max="4" width="39.54296875" style="2" customWidth="1"/>
    <col min="5" max="5" width="4.453125" style="182" customWidth="1"/>
    <col min="6" max="6" width="8.81640625" style="3" customWidth="1"/>
    <col min="7" max="15" width="7.81640625" style="2" customWidth="1"/>
    <col min="16" max="16" width="39.81640625" style="2" customWidth="1"/>
    <col min="17" max="18" width="5.1796875" style="2" customWidth="1"/>
    <col min="19" max="20" width="5" style="2" customWidth="1"/>
    <col min="21" max="22" width="4.81640625" style="2" customWidth="1"/>
    <col min="23" max="23" width="34.54296875" style="2" customWidth="1"/>
    <col min="24" max="24" width="13.453125" style="1" customWidth="1"/>
    <col min="25" max="25" width="11.54296875" style="1101" hidden="1" customWidth="1"/>
    <col min="26" max="27" width="9.1796875" style="1101" hidden="1" customWidth="1"/>
    <col min="28" max="28" width="9.1796875" style="1" customWidth="1"/>
    <col min="29" max="16384" width="9.1796875" style="1"/>
  </cols>
  <sheetData>
    <row r="1" spans="1:27" ht="36" customHeight="1" x14ac:dyDescent="0.25">
      <c r="E1" s="174"/>
      <c r="G1" s="3"/>
      <c r="H1" s="3"/>
      <c r="I1" s="3"/>
      <c r="J1" s="3"/>
      <c r="K1" s="3"/>
      <c r="L1" s="3"/>
      <c r="M1" s="3"/>
      <c r="N1" s="3"/>
      <c r="O1" s="3"/>
      <c r="P1" s="787"/>
      <c r="Q1" s="787"/>
      <c r="R1" s="787"/>
      <c r="S1" s="787"/>
      <c r="T1" s="787"/>
      <c r="U1" s="787"/>
      <c r="V1" s="2044" t="s">
        <v>430</v>
      </c>
      <c r="W1" s="2044"/>
    </row>
    <row r="2" spans="1:27" ht="15.75" customHeight="1" x14ac:dyDescent="0.25">
      <c r="E2" s="174"/>
      <c r="G2" s="3"/>
      <c r="H2" s="3"/>
      <c r="I2" s="3"/>
      <c r="J2" s="3"/>
      <c r="K2" s="3"/>
      <c r="L2" s="3"/>
      <c r="M2" s="3"/>
      <c r="N2" s="3"/>
      <c r="O2" s="3"/>
      <c r="P2" s="787"/>
      <c r="Q2" s="787"/>
      <c r="R2" s="787"/>
      <c r="S2" s="787"/>
      <c r="T2" s="787"/>
      <c r="U2" s="787"/>
      <c r="V2" s="787"/>
      <c r="W2" s="787"/>
    </row>
    <row r="3" spans="1:27" ht="16.5" customHeight="1" x14ac:dyDescent="0.25">
      <c r="E3" s="174"/>
      <c r="G3" s="3"/>
      <c r="H3" s="3"/>
      <c r="I3" s="3"/>
      <c r="J3" s="3"/>
      <c r="K3" s="3"/>
      <c r="L3" s="3"/>
      <c r="M3" s="3"/>
      <c r="N3" s="3"/>
      <c r="O3" s="3"/>
      <c r="P3" s="787"/>
      <c r="Q3" s="787"/>
      <c r="R3" s="787"/>
      <c r="S3" s="787"/>
      <c r="T3" s="787"/>
      <c r="U3" s="787"/>
      <c r="V3" s="787"/>
      <c r="W3" s="787"/>
    </row>
    <row r="4" spans="1:27" s="2" customFormat="1" ht="15" customHeight="1" x14ac:dyDescent="0.25">
      <c r="A4" s="1716" t="s">
        <v>380</v>
      </c>
      <c r="B4" s="1716"/>
      <c r="C4" s="1716"/>
      <c r="D4" s="1716"/>
      <c r="E4" s="1716"/>
      <c r="F4" s="1716"/>
      <c r="G4" s="1716"/>
      <c r="H4" s="1716"/>
      <c r="I4" s="1716"/>
      <c r="J4" s="1716"/>
      <c r="K4" s="1716"/>
      <c r="L4" s="1716"/>
      <c r="M4" s="1716"/>
      <c r="N4" s="1716"/>
      <c r="O4" s="1716"/>
      <c r="P4" s="1716"/>
      <c r="Q4" s="1716"/>
      <c r="R4" s="1716"/>
      <c r="S4" s="1716"/>
      <c r="T4" s="1716"/>
      <c r="U4" s="1716"/>
      <c r="V4" s="1415"/>
      <c r="W4" s="1415"/>
      <c r="Y4" s="1102"/>
      <c r="Z4" s="1102"/>
      <c r="AA4" s="1102"/>
    </row>
    <row r="5" spans="1:27" ht="15.75" customHeight="1" x14ac:dyDescent="0.25">
      <c r="A5" s="1717" t="s">
        <v>26</v>
      </c>
      <c r="B5" s="1717"/>
      <c r="C5" s="1717"/>
      <c r="D5" s="1717"/>
      <c r="E5" s="1717"/>
      <c r="F5" s="1717"/>
      <c r="G5" s="1717"/>
      <c r="H5" s="1717"/>
      <c r="I5" s="1717"/>
      <c r="J5" s="1717"/>
      <c r="K5" s="1717"/>
      <c r="L5" s="1717"/>
      <c r="M5" s="1717"/>
      <c r="N5" s="1717"/>
      <c r="O5" s="1717"/>
      <c r="P5" s="1717"/>
      <c r="Q5" s="1717"/>
      <c r="R5" s="1717"/>
      <c r="S5" s="1717"/>
      <c r="T5" s="1717"/>
      <c r="U5" s="1717"/>
      <c r="V5" s="1416"/>
      <c r="W5" s="1416"/>
    </row>
    <row r="6" spans="1:27" ht="15" customHeight="1" x14ac:dyDescent="0.25">
      <c r="A6" s="1718" t="s">
        <v>15</v>
      </c>
      <c r="B6" s="1718"/>
      <c r="C6" s="1718"/>
      <c r="D6" s="1718"/>
      <c r="E6" s="1718"/>
      <c r="F6" s="1718"/>
      <c r="G6" s="1718"/>
      <c r="H6" s="1718"/>
      <c r="I6" s="1718"/>
      <c r="J6" s="1718"/>
      <c r="K6" s="1718"/>
      <c r="L6" s="1718"/>
      <c r="M6" s="1718"/>
      <c r="N6" s="1718"/>
      <c r="O6" s="1718"/>
      <c r="P6" s="1718"/>
      <c r="Q6" s="1718"/>
      <c r="R6" s="1718"/>
      <c r="S6" s="1718"/>
      <c r="T6" s="1718"/>
      <c r="U6" s="1718"/>
      <c r="V6" s="1417"/>
      <c r="W6" s="1417"/>
    </row>
    <row r="7" spans="1:27" ht="15" customHeight="1" thickBot="1" x14ac:dyDescent="0.3">
      <c r="A7" s="11"/>
      <c r="B7" s="11"/>
      <c r="C7" s="11"/>
      <c r="D7" s="11"/>
      <c r="E7" s="175"/>
      <c r="F7" s="53"/>
      <c r="G7" s="11"/>
      <c r="H7" s="11"/>
      <c r="I7" s="11"/>
      <c r="J7" s="11"/>
      <c r="K7" s="11"/>
      <c r="L7" s="11"/>
      <c r="M7" s="11"/>
      <c r="N7" s="11"/>
      <c r="O7" s="11"/>
      <c r="P7" s="1719"/>
      <c r="Q7" s="1719"/>
      <c r="R7" s="1719"/>
      <c r="S7" s="1719"/>
      <c r="T7" s="1719"/>
      <c r="U7" s="1719"/>
      <c r="V7" s="889"/>
      <c r="W7" s="889" t="s">
        <v>74</v>
      </c>
    </row>
    <row r="8" spans="1:27" s="14" customFormat="1" ht="27.75" customHeight="1" x14ac:dyDescent="0.25">
      <c r="A8" s="1720" t="s">
        <v>16</v>
      </c>
      <c r="B8" s="1723" t="s">
        <v>0</v>
      </c>
      <c r="C8" s="1723" t="s">
        <v>1</v>
      </c>
      <c r="D8" s="1726" t="s">
        <v>10</v>
      </c>
      <c r="E8" s="1744" t="s">
        <v>2</v>
      </c>
      <c r="F8" s="1747" t="s">
        <v>3</v>
      </c>
      <c r="G8" s="1729" t="s">
        <v>419</v>
      </c>
      <c r="H8" s="2021" t="s">
        <v>424</v>
      </c>
      <c r="I8" s="2019" t="s">
        <v>425</v>
      </c>
      <c r="J8" s="1729" t="s">
        <v>420</v>
      </c>
      <c r="K8" s="1750" t="s">
        <v>426</v>
      </c>
      <c r="L8" s="2035" t="s">
        <v>425</v>
      </c>
      <c r="M8" s="1729" t="s">
        <v>421</v>
      </c>
      <c r="N8" s="2021" t="s">
        <v>427</v>
      </c>
      <c r="O8" s="2019" t="s">
        <v>425</v>
      </c>
      <c r="P8" s="1731" t="s">
        <v>422</v>
      </c>
      <c r="Q8" s="1732"/>
      <c r="R8" s="1732"/>
      <c r="S8" s="1732"/>
      <c r="T8" s="1732"/>
      <c r="U8" s="1732"/>
      <c r="V8" s="1733"/>
      <c r="W8" s="2072" t="s">
        <v>429</v>
      </c>
      <c r="X8" s="884"/>
      <c r="Y8" s="1103"/>
      <c r="Z8" s="1103"/>
      <c r="AA8" s="1103"/>
    </row>
    <row r="9" spans="1:27" s="14" customFormat="1" ht="22.5" customHeight="1" x14ac:dyDescent="0.25">
      <c r="A9" s="1721"/>
      <c r="B9" s="1724"/>
      <c r="C9" s="1724"/>
      <c r="D9" s="1727"/>
      <c r="E9" s="1745"/>
      <c r="F9" s="1748"/>
      <c r="G9" s="1730"/>
      <c r="H9" s="2022"/>
      <c r="I9" s="2020"/>
      <c r="J9" s="1730"/>
      <c r="K9" s="1751"/>
      <c r="L9" s="2036"/>
      <c r="M9" s="1730"/>
      <c r="N9" s="2022"/>
      <c r="O9" s="2020"/>
      <c r="P9" s="2074" t="s">
        <v>10</v>
      </c>
      <c r="Q9" s="2075" t="s">
        <v>423</v>
      </c>
      <c r="R9" s="2076"/>
      <c r="S9" s="2076"/>
      <c r="T9" s="2076"/>
      <c r="U9" s="2076"/>
      <c r="V9" s="2077"/>
      <c r="W9" s="2073"/>
      <c r="X9" s="884"/>
      <c r="Y9" s="1103"/>
      <c r="Z9" s="1103"/>
      <c r="AA9" s="1103"/>
    </row>
    <row r="10" spans="1:27" s="14" customFormat="1" ht="98.15" customHeight="1" thickBot="1" x14ac:dyDescent="0.3">
      <c r="A10" s="1722"/>
      <c r="B10" s="1725"/>
      <c r="C10" s="1725"/>
      <c r="D10" s="1728"/>
      <c r="E10" s="1746"/>
      <c r="F10" s="1749"/>
      <c r="G10" s="1730"/>
      <c r="H10" s="2022"/>
      <c r="I10" s="2020"/>
      <c r="J10" s="1730"/>
      <c r="K10" s="1751"/>
      <c r="L10" s="2036"/>
      <c r="M10" s="1730"/>
      <c r="N10" s="2022"/>
      <c r="O10" s="2020"/>
      <c r="P10" s="2074"/>
      <c r="Q10" s="883" t="s">
        <v>249</v>
      </c>
      <c r="R10" s="894" t="s">
        <v>428</v>
      </c>
      <c r="S10" s="883" t="s">
        <v>250</v>
      </c>
      <c r="T10" s="894" t="s">
        <v>428</v>
      </c>
      <c r="U10" s="883" t="s">
        <v>251</v>
      </c>
      <c r="V10" s="895" t="s">
        <v>428</v>
      </c>
      <c r="W10" s="2073"/>
      <c r="X10" s="884"/>
      <c r="Y10" s="1103"/>
      <c r="Z10" s="1103"/>
      <c r="AA10" s="1103"/>
    </row>
    <row r="11" spans="1:27" s="7" customFormat="1" ht="15" customHeight="1" x14ac:dyDescent="0.25">
      <c r="A11" s="1738" t="s">
        <v>51</v>
      </c>
      <c r="B11" s="1739"/>
      <c r="C11" s="1739"/>
      <c r="D11" s="1739"/>
      <c r="E11" s="1739"/>
      <c r="F11" s="1739"/>
      <c r="G11" s="1739"/>
      <c r="H11" s="1739"/>
      <c r="I11" s="1739"/>
      <c r="J11" s="1739"/>
      <c r="K11" s="1739"/>
      <c r="L11" s="1739"/>
      <c r="M11" s="1739"/>
      <c r="N11" s="1739"/>
      <c r="O11" s="1739"/>
      <c r="P11" s="1739"/>
      <c r="Q11" s="1739"/>
      <c r="R11" s="1739"/>
      <c r="S11" s="1739"/>
      <c r="T11" s="1739"/>
      <c r="U11" s="1739"/>
      <c r="V11" s="1418"/>
      <c r="W11" s="1419"/>
      <c r="Y11" s="1104"/>
      <c r="Z11" s="1104"/>
      <c r="AA11" s="1104"/>
    </row>
    <row r="12" spans="1:27" s="7" customFormat="1" ht="15" customHeight="1" x14ac:dyDescent="0.25">
      <c r="A12" s="1741" t="s">
        <v>23</v>
      </c>
      <c r="B12" s="1742"/>
      <c r="C12" s="1742"/>
      <c r="D12" s="1742"/>
      <c r="E12" s="1742"/>
      <c r="F12" s="1742"/>
      <c r="G12" s="1742"/>
      <c r="H12" s="1742"/>
      <c r="I12" s="1742"/>
      <c r="J12" s="1742"/>
      <c r="K12" s="1742"/>
      <c r="L12" s="1742"/>
      <c r="M12" s="1742"/>
      <c r="N12" s="1742"/>
      <c r="O12" s="1742"/>
      <c r="P12" s="1742"/>
      <c r="Q12" s="1742"/>
      <c r="R12" s="1742"/>
      <c r="S12" s="1742"/>
      <c r="T12" s="1742"/>
      <c r="U12" s="1742"/>
      <c r="V12" s="1420"/>
      <c r="W12" s="1421"/>
      <c r="Y12" s="1104"/>
      <c r="Z12" s="1104"/>
      <c r="AA12" s="1104"/>
    </row>
    <row r="13" spans="1:27" ht="15" customHeight="1" x14ac:dyDescent="0.25">
      <c r="A13" s="13" t="s">
        <v>4</v>
      </c>
      <c r="B13" s="1757" t="s">
        <v>27</v>
      </c>
      <c r="C13" s="1758"/>
      <c r="D13" s="1758"/>
      <c r="E13" s="1758"/>
      <c r="F13" s="1758"/>
      <c r="G13" s="1758"/>
      <c r="H13" s="1758"/>
      <c r="I13" s="1758"/>
      <c r="J13" s="1758"/>
      <c r="K13" s="1758"/>
      <c r="L13" s="1758"/>
      <c r="M13" s="1758"/>
      <c r="N13" s="1758"/>
      <c r="O13" s="1758"/>
      <c r="P13" s="1758"/>
      <c r="Q13" s="1758"/>
      <c r="R13" s="1758"/>
      <c r="S13" s="1758"/>
      <c r="T13" s="1758"/>
      <c r="U13" s="1758"/>
      <c r="V13" s="1422"/>
      <c r="W13" s="1423"/>
    </row>
    <row r="14" spans="1:27" ht="15" customHeight="1" thickBot="1" x14ac:dyDescent="0.3">
      <c r="A14" s="898" t="s">
        <v>4</v>
      </c>
      <c r="B14" s="127" t="s">
        <v>4</v>
      </c>
      <c r="C14" s="2013" t="s">
        <v>191</v>
      </c>
      <c r="D14" s="2014"/>
      <c r="E14" s="2014"/>
      <c r="F14" s="2014"/>
      <c r="G14" s="2014"/>
      <c r="H14" s="2014"/>
      <c r="I14" s="2014"/>
      <c r="J14" s="2014"/>
      <c r="K14" s="2014"/>
      <c r="L14" s="2014"/>
      <c r="M14" s="2014"/>
      <c r="N14" s="2014"/>
      <c r="O14" s="2014"/>
      <c r="P14" s="2014"/>
      <c r="Q14" s="2014"/>
      <c r="R14" s="2014"/>
      <c r="S14" s="2014"/>
      <c r="T14" s="2014"/>
      <c r="U14" s="2014"/>
      <c r="V14" s="891"/>
      <c r="W14" s="896"/>
      <c r="Y14" s="1297" t="s">
        <v>431</v>
      </c>
    </row>
    <row r="15" spans="1:27" ht="13.5" customHeight="1" x14ac:dyDescent="0.25">
      <c r="A15" s="128" t="s">
        <v>4</v>
      </c>
      <c r="B15" s="120" t="s">
        <v>4</v>
      </c>
      <c r="C15" s="1372" t="s">
        <v>4</v>
      </c>
      <c r="D15" s="1765" t="s">
        <v>167</v>
      </c>
      <c r="E15" s="859" t="s">
        <v>41</v>
      </c>
      <c r="F15" s="1301" t="s">
        <v>22</v>
      </c>
      <c r="G15" s="1455">
        <v>3860.4</v>
      </c>
      <c r="H15" s="1305">
        <f>3860.4-13.7-20+13.7</f>
        <v>3840.4</v>
      </c>
      <c r="I15" s="1329">
        <f>+H15-G15</f>
        <v>-20</v>
      </c>
      <c r="J15" s="1305">
        <v>3925.7</v>
      </c>
      <c r="K15" s="1305">
        <f>3925.7+355</f>
        <v>4280.7</v>
      </c>
      <c r="L15" s="1329">
        <f>+K15-J15</f>
        <v>355</v>
      </c>
      <c r="M15" s="1433">
        <v>4149.8999999999996</v>
      </c>
      <c r="N15" s="1433">
        <v>4149.8999999999996</v>
      </c>
      <c r="O15" s="1426">
        <f>+N15-M15</f>
        <v>0</v>
      </c>
      <c r="P15" s="414"/>
      <c r="Q15" s="797"/>
      <c r="R15" s="965"/>
      <c r="S15" s="964"/>
      <c r="T15" s="965"/>
      <c r="U15" s="964"/>
      <c r="V15" s="897"/>
      <c r="W15" s="897"/>
      <c r="Y15" s="1105">
        <f>+G29+G36+G39+G48+G55+G57+G61+G63+G66+G73+G77+G79+G81+G86+G88+G95+G96+G101+G113+G115+G118+G119+G122+G124+G125+G136+G139+G142+G145+G153</f>
        <v>3860.4</v>
      </c>
      <c r="Z15" s="1105">
        <f>+J29+J36+J39+J48+J55+J57+J61+J63+J66+J73+J77+J79+J81+J86+J88+J95+J96+J101+J113+J115+J118+J119+J122+J125+J136+J139+J142+J145+J153</f>
        <v>3925.7</v>
      </c>
      <c r="AA15" s="1105">
        <f>+M29+M36+M39+M48+M55+M57+M61+M63+M66+M73+M77+M79+M81+M86+M88+M95+M96+M101+M113+M115+M118+M119+M122+M125+M136+M139+M142+M145+M153</f>
        <v>4149.8999999999996</v>
      </c>
    </row>
    <row r="16" spans="1:27" ht="13.5" customHeight="1" x14ac:dyDescent="0.25">
      <c r="A16" s="1379"/>
      <c r="B16" s="127"/>
      <c r="C16" s="1372"/>
      <c r="D16" s="1765"/>
      <c r="E16" s="843" t="s">
        <v>178</v>
      </c>
      <c r="F16" s="20" t="s">
        <v>367</v>
      </c>
      <c r="G16" s="1435">
        <v>414.1</v>
      </c>
      <c r="H16" s="1433">
        <v>414.1</v>
      </c>
      <c r="I16" s="1402">
        <f>+H16-G16</f>
        <v>0</v>
      </c>
      <c r="J16" s="1433"/>
      <c r="K16" s="1433"/>
      <c r="L16" s="1402"/>
      <c r="M16" s="1433"/>
      <c r="N16" s="1433"/>
      <c r="O16" s="1426"/>
      <c r="P16" s="414"/>
      <c r="Q16" s="899"/>
      <c r="R16" s="966"/>
      <c r="S16" s="964"/>
      <c r="T16" s="966"/>
      <c r="U16" s="964"/>
      <c r="V16" s="798"/>
      <c r="W16" s="798"/>
      <c r="Y16" s="1105">
        <f>+G49+G56+G67</f>
        <v>414.1</v>
      </c>
      <c r="Z16" s="1105">
        <f>+J49+J56+J67</f>
        <v>0</v>
      </c>
      <c r="AA16" s="1105">
        <f>+M49+M56+M67</f>
        <v>0</v>
      </c>
    </row>
    <row r="17" spans="1:27" ht="13.5" customHeight="1" x14ac:dyDescent="0.25">
      <c r="A17" s="1379"/>
      <c r="B17" s="127"/>
      <c r="C17" s="1372"/>
      <c r="D17" s="1765"/>
      <c r="E17" s="436"/>
      <c r="F17" s="1095" t="s">
        <v>363</v>
      </c>
      <c r="G17" s="1094">
        <v>358</v>
      </c>
      <c r="H17" s="1305">
        <f>358+64.4</f>
        <v>422.4</v>
      </c>
      <c r="I17" s="1304">
        <f t="shared" ref="I17:I28" si="0">+H17-G17</f>
        <v>64.400000000000006</v>
      </c>
      <c r="J17" s="1433"/>
      <c r="K17" s="1433"/>
      <c r="L17" s="1402"/>
      <c r="M17" s="1433"/>
      <c r="N17" s="1433"/>
      <c r="O17" s="1426"/>
      <c r="P17" s="414"/>
      <c r="Q17" s="899"/>
      <c r="R17" s="966"/>
      <c r="S17" s="964"/>
      <c r="T17" s="966"/>
      <c r="U17" s="964"/>
      <c r="V17" s="798"/>
      <c r="W17" s="798"/>
      <c r="Y17" s="1105">
        <f>+G62</f>
        <v>358</v>
      </c>
      <c r="Z17" s="1105">
        <f>+J62</f>
        <v>0</v>
      </c>
      <c r="AA17" s="1105">
        <f>+M62</f>
        <v>0</v>
      </c>
    </row>
    <row r="18" spans="1:27" ht="13.5" customHeight="1" x14ac:dyDescent="0.25">
      <c r="A18" s="1379"/>
      <c r="B18" s="127"/>
      <c r="C18" s="1372"/>
      <c r="D18" s="1765"/>
      <c r="E18" s="436"/>
      <c r="F18" s="20" t="s">
        <v>365</v>
      </c>
      <c r="G18" s="1435">
        <v>150</v>
      </c>
      <c r="H18" s="1433">
        <v>150</v>
      </c>
      <c r="I18" s="1402">
        <f t="shared" si="0"/>
        <v>0</v>
      </c>
      <c r="J18" s="1433"/>
      <c r="K18" s="1433"/>
      <c r="L18" s="1402"/>
      <c r="M18" s="1433"/>
      <c r="N18" s="1433"/>
      <c r="O18" s="1426"/>
      <c r="P18" s="414"/>
      <c r="Q18" s="899"/>
      <c r="R18" s="966"/>
      <c r="S18" s="964"/>
      <c r="T18" s="966"/>
      <c r="U18" s="964"/>
      <c r="V18" s="798"/>
      <c r="W18" s="798"/>
      <c r="Y18" s="1105">
        <f>+G58</f>
        <v>150</v>
      </c>
      <c r="Z18" s="1105">
        <f>+J58</f>
        <v>0</v>
      </c>
      <c r="AA18" s="1105">
        <f>+M58</f>
        <v>0</v>
      </c>
    </row>
    <row r="19" spans="1:27" ht="13.5" customHeight="1" x14ac:dyDescent="0.25">
      <c r="A19" s="1379"/>
      <c r="B19" s="127"/>
      <c r="C19" s="1372"/>
      <c r="D19" s="1765"/>
      <c r="E19" s="436"/>
      <c r="F19" s="1095" t="s">
        <v>68</v>
      </c>
      <c r="G19" s="1094">
        <v>4036.8</v>
      </c>
      <c r="H19" s="1305">
        <f>4036.8+100+46+170+11.5+24.2+10+102.1-53.5</f>
        <v>4447.1000000000004</v>
      </c>
      <c r="I19" s="1304">
        <f t="shared" si="0"/>
        <v>410.3</v>
      </c>
      <c r="J19" s="1305">
        <v>5072.3</v>
      </c>
      <c r="K19" s="1305">
        <f>5072.3+292.7</f>
        <v>5365</v>
      </c>
      <c r="L19" s="1304">
        <f>+K19-J19</f>
        <v>292.7</v>
      </c>
      <c r="M19" s="1305">
        <v>6174.6</v>
      </c>
      <c r="N19" s="1305">
        <f>6174.6+1835-7.7</f>
        <v>8001.9</v>
      </c>
      <c r="O19" s="1307">
        <f>+N19-M19</f>
        <v>1827.3</v>
      </c>
      <c r="P19" s="414"/>
      <c r="Q19" s="899"/>
      <c r="R19" s="966"/>
      <c r="S19" s="964"/>
      <c r="T19" s="966"/>
      <c r="U19" s="964"/>
      <c r="V19" s="798"/>
      <c r="W19" s="798"/>
      <c r="Y19" s="1105">
        <f>+G35+G38+G54+G65+G68+G72+G80+G83+G87+G102+G111+G112+G117+G121+G123+G128+G130+G131+G132+G134+G137+G148+G149+G129</f>
        <v>4036.8</v>
      </c>
      <c r="Z19" s="1105">
        <f>+J35+J38+J54+J65+J68+J72+J80+J83+J87+J102+J111+J112+J117+J121+J123+J130+J131+J132+J134+J137+J148+J149+J129</f>
        <v>5072.3</v>
      </c>
      <c r="AA19" s="1105">
        <f>+M35+M38+M54+M65+M68+M72+M80+M83+M87+M102+M111+M112+M117+M121+M123+M130+M131+M132+M134+M137+M148+M149+M129</f>
        <v>6174.6</v>
      </c>
    </row>
    <row r="20" spans="1:27" ht="13.5" customHeight="1" x14ac:dyDescent="0.25">
      <c r="A20" s="1379"/>
      <c r="B20" s="127"/>
      <c r="C20" s="1372"/>
      <c r="D20" s="1765"/>
      <c r="E20" s="436"/>
      <c r="F20" s="1301" t="s">
        <v>209</v>
      </c>
      <c r="G20" s="1094">
        <v>9038.6</v>
      </c>
      <c r="H20" s="1305">
        <f>9038.6-2.6</f>
        <v>9036</v>
      </c>
      <c r="I20" s="1304">
        <f t="shared" si="0"/>
        <v>-2.6</v>
      </c>
      <c r="J20" s="1433">
        <v>8000</v>
      </c>
      <c r="K20" s="1433">
        <v>8000</v>
      </c>
      <c r="L20" s="1402">
        <f>+K20-J20</f>
        <v>0</v>
      </c>
      <c r="M20" s="1433"/>
      <c r="N20" s="1433"/>
      <c r="O20" s="1426"/>
      <c r="P20" s="414"/>
      <c r="Q20" s="899"/>
      <c r="R20" s="966"/>
      <c r="S20" s="964"/>
      <c r="T20" s="966"/>
      <c r="U20" s="964"/>
      <c r="V20" s="798"/>
      <c r="W20" s="798"/>
      <c r="Y20" s="1105">
        <f>+G31+G33</f>
        <v>9038.6</v>
      </c>
      <c r="Z20" s="1105">
        <f>+J31+J33</f>
        <v>8000</v>
      </c>
      <c r="AA20" s="1105">
        <f>+M31+M33</f>
        <v>0</v>
      </c>
    </row>
    <row r="21" spans="1:27" ht="13" customHeight="1" x14ac:dyDescent="0.25">
      <c r="A21" s="1379"/>
      <c r="B21" s="127"/>
      <c r="C21" s="1372"/>
      <c r="D21" s="1765"/>
      <c r="E21" s="436"/>
      <c r="F21" s="1095" t="s">
        <v>115</v>
      </c>
      <c r="G21" s="1094">
        <v>516.4</v>
      </c>
      <c r="H21" s="1305">
        <f>516.4+60.4</f>
        <v>576.79999999999995</v>
      </c>
      <c r="I21" s="1304">
        <f t="shared" si="0"/>
        <v>60.4</v>
      </c>
      <c r="J21" s="1305"/>
      <c r="K21" s="1305">
        <v>805.7</v>
      </c>
      <c r="L21" s="1304">
        <f>+K21-J21</f>
        <v>805.7</v>
      </c>
      <c r="M21" s="1305"/>
      <c r="N21" s="1305">
        <v>195.4</v>
      </c>
      <c r="O21" s="1307">
        <f>+N21-M21</f>
        <v>195.4</v>
      </c>
      <c r="P21" s="414"/>
      <c r="Q21" s="899"/>
      <c r="R21" s="966"/>
      <c r="S21" s="964"/>
      <c r="T21" s="966"/>
      <c r="U21" s="964"/>
      <c r="V21" s="798"/>
      <c r="W21" s="798"/>
      <c r="Y21" s="1105">
        <f>+G74+G41+G53+G59</f>
        <v>516.4</v>
      </c>
      <c r="Z21" s="1105"/>
      <c r="AA21" s="1105"/>
    </row>
    <row r="22" spans="1:27" ht="13.5" customHeight="1" x14ac:dyDescent="0.25">
      <c r="A22" s="1379"/>
      <c r="B22" s="127"/>
      <c r="C22" s="1372"/>
      <c r="D22" s="1765"/>
      <c r="E22" s="436"/>
      <c r="F22" s="1405" t="s">
        <v>42</v>
      </c>
      <c r="G22" s="1435">
        <v>1500</v>
      </c>
      <c r="H22" s="1433">
        <v>1500</v>
      </c>
      <c r="I22" s="1402">
        <f t="shared" si="0"/>
        <v>0</v>
      </c>
      <c r="J22" s="1433">
        <v>1500</v>
      </c>
      <c r="K22" s="1433">
        <v>1500</v>
      </c>
      <c r="L22" s="1402">
        <f>+K22-J22</f>
        <v>0</v>
      </c>
      <c r="M22" s="1433">
        <v>1500</v>
      </c>
      <c r="N22" s="1433">
        <v>1500</v>
      </c>
      <c r="O22" s="1426">
        <f>+N22-M22</f>
        <v>0</v>
      </c>
      <c r="P22" s="414"/>
      <c r="Q22" s="899"/>
      <c r="R22" s="966"/>
      <c r="S22" s="964"/>
      <c r="T22" s="966"/>
      <c r="U22" s="964"/>
      <c r="V22" s="798"/>
      <c r="W22" s="798"/>
      <c r="Y22" s="1105">
        <f>+G34</f>
        <v>1500</v>
      </c>
      <c r="Z22" s="1105">
        <f>+J34</f>
        <v>1500</v>
      </c>
      <c r="AA22" s="1105">
        <f>+M34</f>
        <v>1500</v>
      </c>
    </row>
    <row r="23" spans="1:27" ht="13.5" customHeight="1" x14ac:dyDescent="0.25">
      <c r="A23" s="1379"/>
      <c r="B23" s="127"/>
      <c r="C23" s="1372"/>
      <c r="D23" s="1765"/>
      <c r="E23" s="436"/>
      <c r="F23" s="1301" t="s">
        <v>121</v>
      </c>
      <c r="G23" s="1435">
        <f>12500-11000</f>
        <v>1500</v>
      </c>
      <c r="H23" s="1433">
        <f>12500-11000</f>
        <v>1500</v>
      </c>
      <c r="I23" s="1402">
        <f t="shared" si="0"/>
        <v>0</v>
      </c>
      <c r="J23" s="1305">
        <v>13991.7</v>
      </c>
      <c r="K23" s="1305">
        <f>13991.7+2539</f>
        <v>16530.7</v>
      </c>
      <c r="L23" s="1304">
        <f t="shared" ref="L23:L25" si="1">+K23-J23</f>
        <v>2539</v>
      </c>
      <c r="M23" s="1305">
        <v>12015</v>
      </c>
      <c r="N23" s="1305">
        <f>12015</f>
        <v>12015</v>
      </c>
      <c r="O23" s="1307">
        <f t="shared" ref="O23:O24" si="2">+N23-M23</f>
        <v>0</v>
      </c>
      <c r="P23" s="414"/>
      <c r="Q23" s="899"/>
      <c r="R23" s="966"/>
      <c r="S23" s="964"/>
      <c r="T23" s="966"/>
      <c r="U23" s="964"/>
      <c r="V23" s="798"/>
      <c r="W23" s="798"/>
      <c r="Y23" s="1105">
        <f>+G37+G32+G45+G90+G154</f>
        <v>1500</v>
      </c>
      <c r="Z23" s="1105">
        <f>+J37+J32+J45+J90+J154</f>
        <v>13991.7</v>
      </c>
      <c r="AA23" s="1105">
        <f>+M37+M32+M45+M90+M154</f>
        <v>12015</v>
      </c>
    </row>
    <row r="24" spans="1:27" ht="13.5" customHeight="1" x14ac:dyDescent="0.25">
      <c r="A24" s="1379"/>
      <c r="B24" s="127"/>
      <c r="C24" s="1372"/>
      <c r="D24" s="1765"/>
      <c r="E24" s="436"/>
      <c r="F24" s="20" t="s">
        <v>38</v>
      </c>
      <c r="G24" s="1435">
        <f>483-358-125</f>
        <v>0</v>
      </c>
      <c r="H24" s="1433">
        <f>483-358-125</f>
        <v>0</v>
      </c>
      <c r="I24" s="1402">
        <f t="shared" si="0"/>
        <v>0</v>
      </c>
      <c r="J24" s="1305">
        <v>1100.9000000000001</v>
      </c>
      <c r="K24" s="1305">
        <f>1100.9-805.7</f>
        <v>295.2</v>
      </c>
      <c r="L24" s="1304">
        <f t="shared" si="1"/>
        <v>-805.7</v>
      </c>
      <c r="M24" s="1305">
        <v>438.8</v>
      </c>
      <c r="N24" s="1305">
        <f>438.8-268.7</f>
        <v>170.1</v>
      </c>
      <c r="O24" s="1307">
        <f t="shared" si="2"/>
        <v>-268.7</v>
      </c>
      <c r="P24" s="414"/>
      <c r="Q24" s="899"/>
      <c r="R24" s="966"/>
      <c r="S24" s="964"/>
      <c r="T24" s="966"/>
      <c r="U24" s="964"/>
      <c r="V24" s="798"/>
      <c r="W24" s="798"/>
      <c r="Y24" s="1105">
        <f>+G52+G89+G60</f>
        <v>0</v>
      </c>
      <c r="Z24" s="1105">
        <f>+J52+J89+J60</f>
        <v>1100.9000000000001</v>
      </c>
      <c r="AA24" s="1105">
        <f>+M52+M89+M60</f>
        <v>438.8</v>
      </c>
    </row>
    <row r="25" spans="1:27" ht="13.5" customHeight="1" x14ac:dyDescent="0.25">
      <c r="A25" s="1379"/>
      <c r="B25" s="127"/>
      <c r="C25" s="1372"/>
      <c r="D25" s="1765"/>
      <c r="E25" s="436"/>
      <c r="F25" s="20" t="s">
        <v>39</v>
      </c>
      <c r="G25" s="1435">
        <v>255.2</v>
      </c>
      <c r="H25" s="1433">
        <v>255.2</v>
      </c>
      <c r="I25" s="1402">
        <f t="shared" si="0"/>
        <v>0</v>
      </c>
      <c r="J25" s="1433">
        <v>24</v>
      </c>
      <c r="K25" s="1433">
        <v>24</v>
      </c>
      <c r="L25" s="1402">
        <f t="shared" si="1"/>
        <v>0</v>
      </c>
      <c r="M25" s="1433"/>
      <c r="N25" s="1433"/>
      <c r="O25" s="1426"/>
      <c r="P25" s="414"/>
      <c r="Q25" s="899"/>
      <c r="R25" s="966"/>
      <c r="S25" s="964"/>
      <c r="T25" s="966"/>
      <c r="U25" s="964"/>
      <c r="V25" s="798"/>
      <c r="W25" s="798"/>
      <c r="Y25" s="1105">
        <f>+G42+G82+G91+G76</f>
        <v>255.2</v>
      </c>
      <c r="Z25" s="1105">
        <f>+J42+J82+J91+J76</f>
        <v>24</v>
      </c>
      <c r="AA25" s="1105">
        <f>+M42+M82+M91+M76</f>
        <v>0</v>
      </c>
    </row>
    <row r="26" spans="1:27" ht="13.5" customHeight="1" x14ac:dyDescent="0.25">
      <c r="A26" s="1379"/>
      <c r="B26" s="127"/>
      <c r="C26" s="1372"/>
      <c r="D26" s="1765"/>
      <c r="E26" s="436"/>
      <c r="F26" s="1301" t="s">
        <v>50</v>
      </c>
      <c r="G26" s="1094">
        <v>635.6</v>
      </c>
      <c r="H26" s="1305">
        <f>635.6-24.2+35.6+13.5+5</f>
        <v>665.5</v>
      </c>
      <c r="I26" s="1304">
        <f t="shared" si="0"/>
        <v>29.9</v>
      </c>
      <c r="J26" s="1433"/>
      <c r="K26" s="1433"/>
      <c r="L26" s="1402"/>
      <c r="M26" s="1433"/>
      <c r="N26" s="1433"/>
      <c r="O26" s="1426"/>
      <c r="P26" s="414"/>
      <c r="Q26" s="899"/>
      <c r="R26" s="966"/>
      <c r="S26" s="964"/>
      <c r="T26" s="966"/>
      <c r="U26" s="964"/>
      <c r="V26" s="798"/>
      <c r="W26" s="798"/>
      <c r="Y26" s="1105">
        <f>+G30+G51+G64+G84+G147+G150+G151</f>
        <v>635.6</v>
      </c>
      <c r="Z26" s="1105">
        <f>+J30+J51+J64+J84+J147+J150+J151</f>
        <v>0</v>
      </c>
      <c r="AA26" s="1105">
        <f>+M30+M51+M64+M84+M147+M150+M151</f>
        <v>0</v>
      </c>
    </row>
    <row r="27" spans="1:27" ht="13.5" customHeight="1" x14ac:dyDescent="0.25">
      <c r="A27" s="1447"/>
      <c r="B27" s="127"/>
      <c r="C27" s="1448"/>
      <c r="D27" s="1765"/>
      <c r="E27" s="436"/>
      <c r="F27" s="1301" t="s">
        <v>67</v>
      </c>
      <c r="G27" s="1094"/>
      <c r="H27" s="1305">
        <v>5.7</v>
      </c>
      <c r="I27" s="1304">
        <v>5.7</v>
      </c>
      <c r="J27" s="1449"/>
      <c r="K27" s="1449"/>
      <c r="L27" s="1446"/>
      <c r="M27" s="1449"/>
      <c r="N27" s="1449"/>
      <c r="O27" s="1450"/>
      <c r="P27" s="414"/>
      <c r="Q27" s="899"/>
      <c r="R27" s="966"/>
      <c r="S27" s="964"/>
      <c r="T27" s="966"/>
      <c r="U27" s="964"/>
      <c r="V27" s="798"/>
      <c r="W27" s="798"/>
      <c r="Y27" s="1105"/>
      <c r="Z27" s="1105"/>
      <c r="AA27" s="1105"/>
    </row>
    <row r="28" spans="1:27" ht="13.5" customHeight="1" x14ac:dyDescent="0.25">
      <c r="A28" s="1379"/>
      <c r="B28" s="127"/>
      <c r="C28" s="1372"/>
      <c r="D28" s="1765"/>
      <c r="E28" s="436"/>
      <c r="F28" s="20" t="s">
        <v>360</v>
      </c>
      <c r="G28" s="38">
        <f>59.1+0.4</f>
        <v>59.5</v>
      </c>
      <c r="H28" s="1433">
        <f>59.1+0.4</f>
        <v>59.5</v>
      </c>
      <c r="I28" s="1402">
        <f t="shared" si="0"/>
        <v>0</v>
      </c>
      <c r="J28" s="1433"/>
      <c r="K28" s="1433"/>
      <c r="L28" s="1402"/>
      <c r="M28" s="1433"/>
      <c r="N28" s="1433"/>
      <c r="O28" s="1426"/>
      <c r="P28" s="415"/>
      <c r="Q28" s="799"/>
      <c r="R28" s="800"/>
      <c r="S28" s="397"/>
      <c r="T28" s="800"/>
      <c r="U28" s="397"/>
      <c r="V28" s="322"/>
      <c r="W28" s="800"/>
      <c r="Y28" s="1105">
        <f>+G75</f>
        <v>59.5</v>
      </c>
      <c r="Z28" s="1105">
        <f>+J75</f>
        <v>0</v>
      </c>
      <c r="AA28" s="1105">
        <f>+M75</f>
        <v>0</v>
      </c>
    </row>
    <row r="29" spans="1:27" ht="17.75" customHeight="1" x14ac:dyDescent="0.25">
      <c r="A29" s="1370"/>
      <c r="B29" s="1396"/>
      <c r="C29" s="1395"/>
      <c r="D29" s="1766" t="s">
        <v>81</v>
      </c>
      <c r="E29" s="1771" t="s">
        <v>399</v>
      </c>
      <c r="F29" s="1108" t="s">
        <v>381</v>
      </c>
      <c r="G29" s="1135">
        <v>390.8</v>
      </c>
      <c r="H29" s="1465"/>
      <c r="I29" s="1310"/>
      <c r="J29" s="1131"/>
      <c r="K29" s="1110"/>
      <c r="L29" s="1137"/>
      <c r="M29" s="1131">
        <f>340.5</f>
        <v>340.5</v>
      </c>
      <c r="N29" s="1110"/>
      <c r="O29" s="1111"/>
      <c r="P29" s="1385" t="s">
        <v>40</v>
      </c>
      <c r="Q29" s="526"/>
      <c r="R29" s="836"/>
      <c r="S29" s="394"/>
      <c r="T29" s="836"/>
      <c r="U29" s="394"/>
      <c r="V29" s="290"/>
      <c r="W29" s="290"/>
      <c r="Y29" s="1105">
        <f>SUM(Y15:Y28)</f>
        <v>22324.6</v>
      </c>
      <c r="Z29" s="1105">
        <f t="shared" ref="Z29:AA29" si="3">SUM(Z15:Z28)</f>
        <v>33614.6</v>
      </c>
      <c r="AA29" s="1105">
        <f t="shared" si="3"/>
        <v>24278.3</v>
      </c>
    </row>
    <row r="30" spans="1:27" ht="13.5" customHeight="1" x14ac:dyDescent="0.25">
      <c r="A30" s="1370"/>
      <c r="B30" s="1396"/>
      <c r="C30" s="1395"/>
      <c r="D30" s="1767"/>
      <c r="E30" s="1772"/>
      <c r="F30" s="1301" t="s">
        <v>483</v>
      </c>
      <c r="G30" s="1094"/>
      <c r="H30" s="1306">
        <v>5.7</v>
      </c>
      <c r="I30" s="1304">
        <v>5.7</v>
      </c>
      <c r="J30" s="1117"/>
      <c r="K30" s="1114"/>
      <c r="L30" s="1115"/>
      <c r="M30" s="1117"/>
      <c r="N30" s="1114"/>
      <c r="O30" s="1118"/>
      <c r="P30" s="2015" t="s">
        <v>119</v>
      </c>
      <c r="Q30" s="1313">
        <v>45</v>
      </c>
      <c r="R30" s="1314">
        <v>35</v>
      </c>
      <c r="S30" s="349">
        <v>85</v>
      </c>
      <c r="T30" s="589"/>
      <c r="U30" s="349">
        <v>100</v>
      </c>
      <c r="V30" s="141"/>
      <c r="W30" s="2078" t="s">
        <v>464</v>
      </c>
      <c r="Y30" s="1105">
        <f>+Y29-G155</f>
        <v>0</v>
      </c>
      <c r="Z30" s="1105">
        <f>+Z29-J155</f>
        <v>0</v>
      </c>
      <c r="AA30" s="1105">
        <f>+AA29-M155</f>
        <v>0</v>
      </c>
    </row>
    <row r="31" spans="1:27" ht="13.5" customHeight="1" x14ac:dyDescent="0.25">
      <c r="A31" s="1370"/>
      <c r="B31" s="1396"/>
      <c r="C31" s="1395"/>
      <c r="D31" s="1767"/>
      <c r="E31" s="859" t="s">
        <v>41</v>
      </c>
      <c r="F31" s="1112" t="s">
        <v>383</v>
      </c>
      <c r="G31" s="1139"/>
      <c r="H31" s="1113"/>
      <c r="I31" s="1115"/>
      <c r="J31" s="1117">
        <v>8000</v>
      </c>
      <c r="K31" s="1114"/>
      <c r="L31" s="1115"/>
      <c r="M31" s="1117"/>
      <c r="N31" s="1114"/>
      <c r="O31" s="1118"/>
      <c r="P31" s="2011"/>
      <c r="Q31" s="1313"/>
      <c r="R31" s="1314"/>
      <c r="S31" s="349"/>
      <c r="T31" s="589"/>
      <c r="U31" s="349"/>
      <c r="V31" s="141"/>
      <c r="W31" s="2079"/>
    </row>
    <row r="32" spans="1:27" ht="13.5" customHeight="1" x14ac:dyDescent="0.25">
      <c r="A32" s="1370"/>
      <c r="B32" s="1396"/>
      <c r="C32" s="1395"/>
      <c r="D32" s="1767"/>
      <c r="E32" s="1391" t="s">
        <v>418</v>
      </c>
      <c r="F32" s="1301" t="s">
        <v>384</v>
      </c>
      <c r="G32" s="1435">
        <f>9600+1400-11000</f>
        <v>0</v>
      </c>
      <c r="H32" s="1306"/>
      <c r="I32" s="1304"/>
      <c r="J32" s="1305">
        <f>5000-1400-1623.4</f>
        <v>1976.6</v>
      </c>
      <c r="K32" s="1305">
        <f>5000-1400-1623.4+2539</f>
        <v>4515.6000000000004</v>
      </c>
      <c r="L32" s="1304">
        <f>+K32-J32</f>
        <v>2539</v>
      </c>
      <c r="M32" s="1433"/>
      <c r="N32" s="1400"/>
      <c r="O32" s="1426"/>
      <c r="P32" s="2011"/>
      <c r="Q32" s="833"/>
      <c r="R32" s="589"/>
      <c r="S32" s="349"/>
      <c r="T32" s="589"/>
      <c r="U32" s="349"/>
      <c r="V32" s="141"/>
      <c r="W32" s="2079"/>
    </row>
    <row r="33" spans="1:29" ht="13.5" customHeight="1" x14ac:dyDescent="0.25">
      <c r="A33" s="1370"/>
      <c r="B33" s="1396"/>
      <c r="C33" s="1395"/>
      <c r="D33" s="1767"/>
      <c r="E33" s="1391"/>
      <c r="F33" s="1301" t="s">
        <v>383</v>
      </c>
      <c r="G33" s="1302">
        <v>9038.6</v>
      </c>
      <c r="H33" s="1303">
        <f>9038.6-2.6</f>
        <v>9036</v>
      </c>
      <c r="I33" s="1304">
        <f>+H33-G33</f>
        <v>-2.6</v>
      </c>
      <c r="J33" s="1433"/>
      <c r="K33" s="1400"/>
      <c r="L33" s="1402"/>
      <c r="M33" s="1433"/>
      <c r="N33" s="1400"/>
      <c r="O33" s="1426"/>
      <c r="P33" s="2011"/>
      <c r="Q33" s="833"/>
      <c r="R33" s="589"/>
      <c r="S33" s="349"/>
      <c r="T33" s="589"/>
      <c r="U33" s="349"/>
      <c r="V33" s="141"/>
      <c r="W33" s="2079"/>
    </row>
    <row r="34" spans="1:29" ht="13.5" customHeight="1" x14ac:dyDescent="0.25">
      <c r="A34" s="1370"/>
      <c r="B34" s="1396"/>
      <c r="C34" s="1395"/>
      <c r="D34" s="1767"/>
      <c r="E34" s="844"/>
      <c r="F34" s="1112" t="s">
        <v>385</v>
      </c>
      <c r="G34" s="1138">
        <v>1500</v>
      </c>
      <c r="H34" s="1114"/>
      <c r="I34" s="1115"/>
      <c r="J34" s="1117">
        <v>1500</v>
      </c>
      <c r="K34" s="1114"/>
      <c r="L34" s="1115"/>
      <c r="M34" s="1117">
        <v>1500</v>
      </c>
      <c r="N34" s="1114"/>
      <c r="O34" s="1118"/>
      <c r="P34" s="2016"/>
      <c r="Q34" s="833"/>
      <c r="R34" s="589"/>
      <c r="S34" s="349"/>
      <c r="T34" s="589"/>
      <c r="U34" s="349"/>
      <c r="V34" s="141"/>
      <c r="W34" s="2080"/>
    </row>
    <row r="35" spans="1:29" ht="27" customHeight="1" x14ac:dyDescent="0.25">
      <c r="A35" s="1370"/>
      <c r="B35" s="1396"/>
      <c r="C35" s="1395"/>
      <c r="D35" s="1399" t="s">
        <v>179</v>
      </c>
      <c r="E35" s="785"/>
      <c r="F35" s="1095" t="s">
        <v>386</v>
      </c>
      <c r="G35" s="1435">
        <f>754.4+800+1400-100-265-2462</f>
        <v>127.4</v>
      </c>
      <c r="H35" s="32"/>
      <c r="I35" s="1402"/>
      <c r="J35" s="1305">
        <f>549.7+100+752.6</f>
        <v>1402.3</v>
      </c>
      <c r="K35" s="1305">
        <f>549.7+100+752.6+292.7</f>
        <v>1695</v>
      </c>
      <c r="L35" s="1304">
        <f>+K35-J35</f>
        <v>292.7</v>
      </c>
      <c r="M35" s="1305">
        <f>10.2+870.8+265</f>
        <v>1146</v>
      </c>
      <c r="N35" s="1305">
        <f>10.2+870.8+265+1835</f>
        <v>2981</v>
      </c>
      <c r="O35" s="1307">
        <f>+N35-M35</f>
        <v>1835</v>
      </c>
      <c r="P35" s="431" t="s">
        <v>206</v>
      </c>
      <c r="Q35" s="525">
        <v>100</v>
      </c>
      <c r="R35" s="469"/>
      <c r="S35" s="395"/>
      <c r="T35" s="469"/>
      <c r="U35" s="395"/>
      <c r="V35" s="144"/>
      <c r="W35" s="469"/>
    </row>
    <row r="36" spans="1:29" ht="27" customHeight="1" x14ac:dyDescent="0.25">
      <c r="A36" s="1370"/>
      <c r="B36" s="1396"/>
      <c r="C36" s="1395"/>
      <c r="D36" s="1377"/>
      <c r="E36" s="785"/>
      <c r="F36" s="1116" t="s">
        <v>381</v>
      </c>
      <c r="G36" s="1139">
        <f>603.9-390.8</f>
        <v>213.1</v>
      </c>
      <c r="H36" s="1113"/>
      <c r="I36" s="1115"/>
      <c r="J36" s="1117"/>
      <c r="K36" s="1400"/>
      <c r="L36" s="1402"/>
      <c r="M36" s="1433"/>
      <c r="N36" s="1400"/>
      <c r="O36" s="1426"/>
      <c r="P36" s="413" t="s">
        <v>169</v>
      </c>
      <c r="Q36" s="526"/>
      <c r="R36" s="836"/>
      <c r="S36" s="394"/>
      <c r="T36" s="836"/>
      <c r="U36" s="394"/>
      <c r="V36" s="290"/>
      <c r="W36" s="290"/>
    </row>
    <row r="37" spans="1:29" ht="46.5" customHeight="1" x14ac:dyDescent="0.25">
      <c r="A37" s="1370"/>
      <c r="B37" s="1396"/>
      <c r="C37" s="1395"/>
      <c r="D37" s="1404"/>
      <c r="E37" s="785"/>
      <c r="F37" s="1116" t="s">
        <v>384</v>
      </c>
      <c r="G37" s="1139">
        <v>1500</v>
      </c>
      <c r="H37" s="1113"/>
      <c r="I37" s="1115"/>
      <c r="J37" s="1117">
        <v>2000</v>
      </c>
      <c r="K37" s="1400"/>
      <c r="L37" s="1402"/>
      <c r="M37" s="1433"/>
      <c r="N37" s="1400"/>
      <c r="O37" s="1426"/>
      <c r="P37" s="408" t="s">
        <v>170</v>
      </c>
      <c r="Q37" s="833">
        <v>40</v>
      </c>
      <c r="R37" s="589"/>
      <c r="S37" s="349">
        <v>60</v>
      </c>
      <c r="T37" s="589"/>
      <c r="U37" s="349"/>
      <c r="V37" s="141"/>
      <c r="W37" s="141"/>
    </row>
    <row r="38" spans="1:29" ht="24" customHeight="1" x14ac:dyDescent="0.25">
      <c r="A38" s="1753"/>
      <c r="B38" s="1754"/>
      <c r="C38" s="1755"/>
      <c r="D38" s="1714" t="s">
        <v>131</v>
      </c>
      <c r="E38" s="845" t="s">
        <v>178</v>
      </c>
      <c r="F38" s="1098" t="s">
        <v>386</v>
      </c>
      <c r="G38" s="1308">
        <f>314.6-111</f>
        <v>203.6</v>
      </c>
      <c r="H38" s="1309">
        <f>314.6-111+102.1</f>
        <v>305.7</v>
      </c>
      <c r="I38" s="1310">
        <f>+H38-G38</f>
        <v>102.1</v>
      </c>
      <c r="J38" s="224"/>
      <c r="K38" s="213"/>
      <c r="L38" s="522"/>
      <c r="M38" s="224"/>
      <c r="N38" s="213"/>
      <c r="O38" s="215"/>
      <c r="P38" s="2081" t="s">
        <v>455</v>
      </c>
      <c r="Q38" s="1311"/>
      <c r="R38" s="1312">
        <v>100</v>
      </c>
      <c r="S38" s="359"/>
      <c r="T38" s="563"/>
      <c r="U38" s="359"/>
      <c r="V38" s="140"/>
      <c r="W38" s="2082" t="s">
        <v>462</v>
      </c>
      <c r="X38" s="1442"/>
      <c r="Y38" s="1442"/>
      <c r="Z38" s="1442"/>
      <c r="AA38" s="1442"/>
      <c r="AB38" s="1442"/>
    </row>
    <row r="39" spans="1:29" ht="24" customHeight="1" x14ac:dyDescent="0.25">
      <c r="A39" s="1753"/>
      <c r="B39" s="1754"/>
      <c r="C39" s="1755"/>
      <c r="D39" s="1756"/>
      <c r="E39" s="859" t="s">
        <v>41</v>
      </c>
      <c r="F39" s="1116" t="s">
        <v>381</v>
      </c>
      <c r="G39" s="1138">
        <f>358.5+170.2-204.9</f>
        <v>323.8</v>
      </c>
      <c r="H39" s="1114">
        <f>358.5+170.2-204.9</f>
        <v>323.8</v>
      </c>
      <c r="I39" s="1115">
        <f>+H39-G39</f>
        <v>0</v>
      </c>
      <c r="J39" s="1433"/>
      <c r="K39" s="1400"/>
      <c r="L39" s="1402"/>
      <c r="M39" s="1433"/>
      <c r="N39" s="1400"/>
      <c r="O39" s="1426"/>
      <c r="P39" s="2069"/>
      <c r="Q39" s="1313"/>
      <c r="R39" s="1314"/>
      <c r="S39" s="349"/>
      <c r="T39" s="589"/>
      <c r="U39" s="349"/>
      <c r="V39" s="141"/>
      <c r="W39" s="2083"/>
      <c r="X39" s="2085" t="s">
        <v>463</v>
      </c>
      <c r="Y39" s="2086"/>
      <c r="Z39" s="2086"/>
      <c r="AA39" s="2086"/>
      <c r="AB39" s="2086"/>
    </row>
    <row r="40" spans="1:29" ht="24" customHeight="1" x14ac:dyDescent="0.25">
      <c r="A40" s="1753"/>
      <c r="B40" s="1754"/>
      <c r="C40" s="1755"/>
      <c r="D40" s="1756"/>
      <c r="E40" s="843"/>
      <c r="F40" s="1095" t="s">
        <v>382</v>
      </c>
      <c r="G40" s="1302"/>
      <c r="H40" s="1303">
        <v>13.5</v>
      </c>
      <c r="I40" s="1355">
        <f>+H40-G40</f>
        <v>13.5</v>
      </c>
      <c r="J40" s="1433"/>
      <c r="K40" s="1400"/>
      <c r="L40" s="1402"/>
      <c r="M40" s="1433"/>
      <c r="N40" s="1400"/>
      <c r="O40" s="1426"/>
      <c r="P40" s="1438"/>
      <c r="Q40" s="1313"/>
      <c r="R40" s="1314"/>
      <c r="S40" s="349"/>
      <c r="T40" s="589"/>
      <c r="U40" s="349"/>
      <c r="V40" s="141"/>
      <c r="W40" s="2083"/>
      <c r="X40" s="2085"/>
      <c r="Y40" s="2086"/>
      <c r="Z40" s="2086"/>
      <c r="AA40" s="2086"/>
      <c r="AB40" s="2086"/>
    </row>
    <row r="41" spans="1:29" ht="24" customHeight="1" x14ac:dyDescent="0.25">
      <c r="A41" s="1753"/>
      <c r="B41" s="1754"/>
      <c r="C41" s="1755"/>
      <c r="D41" s="1756"/>
      <c r="E41" s="1391" t="s">
        <v>418</v>
      </c>
      <c r="F41" s="1116" t="s">
        <v>387</v>
      </c>
      <c r="G41" s="1139">
        <v>0.1</v>
      </c>
      <c r="H41" s="32"/>
      <c r="I41" s="1402"/>
      <c r="J41" s="1433"/>
      <c r="K41" s="1400"/>
      <c r="L41" s="1402"/>
      <c r="M41" s="1433"/>
      <c r="N41" s="1400"/>
      <c r="O41" s="1426"/>
      <c r="P41" s="1410"/>
      <c r="Q41" s="833"/>
      <c r="R41" s="589"/>
      <c r="S41" s="349"/>
      <c r="T41" s="589"/>
      <c r="U41" s="349"/>
      <c r="V41" s="141"/>
      <c r="W41" s="2083"/>
      <c r="X41" s="2085"/>
      <c r="Y41" s="2086"/>
      <c r="Z41" s="2086"/>
      <c r="AA41" s="2086"/>
      <c r="AB41" s="2086"/>
    </row>
    <row r="42" spans="1:29" ht="48" customHeight="1" x14ac:dyDescent="0.25">
      <c r="A42" s="1753"/>
      <c r="B42" s="1754"/>
      <c r="C42" s="1755"/>
      <c r="D42" s="1756"/>
      <c r="E42" s="1391"/>
      <c r="F42" s="1116" t="s">
        <v>388</v>
      </c>
      <c r="G42" s="1331">
        <f>244.4-170.2</f>
        <v>74.2</v>
      </c>
      <c r="H42" s="1400"/>
      <c r="I42" s="1402"/>
      <c r="J42" s="1433"/>
      <c r="K42" s="1400"/>
      <c r="L42" s="1402"/>
      <c r="M42" s="1433"/>
      <c r="N42" s="1400"/>
      <c r="O42" s="1426"/>
      <c r="P42" s="1410"/>
      <c r="Q42" s="526"/>
      <c r="R42" s="589"/>
      <c r="S42" s="349"/>
      <c r="T42" s="589"/>
      <c r="U42" s="349"/>
      <c r="V42" s="141"/>
      <c r="W42" s="2084"/>
      <c r="X42" s="2085"/>
      <c r="Y42" s="2086"/>
      <c r="Z42" s="2086"/>
      <c r="AA42" s="2086"/>
      <c r="AB42" s="2086"/>
    </row>
    <row r="43" spans="1:29" ht="25.5" customHeight="1" x14ac:dyDescent="0.25">
      <c r="A43" s="1753"/>
      <c r="B43" s="1754"/>
      <c r="C43" s="1755"/>
      <c r="D43" s="77" t="s">
        <v>274</v>
      </c>
      <c r="E43" s="157"/>
      <c r="F43" s="1060"/>
      <c r="G43" s="340"/>
      <c r="H43" s="237"/>
      <c r="I43" s="524"/>
      <c r="J43" s="504"/>
      <c r="K43" s="237"/>
      <c r="L43" s="524"/>
      <c r="M43" s="504"/>
      <c r="N43" s="237"/>
      <c r="O43" s="218"/>
      <c r="P43" s="406" t="s">
        <v>98</v>
      </c>
      <c r="Q43" s="525">
        <v>100</v>
      </c>
      <c r="R43" s="469"/>
      <c r="S43" s="395"/>
      <c r="T43" s="469"/>
      <c r="U43" s="395"/>
      <c r="V43" s="144"/>
      <c r="W43" s="144"/>
    </row>
    <row r="44" spans="1:29" ht="27.75" customHeight="1" x14ac:dyDescent="0.25">
      <c r="A44" s="1753"/>
      <c r="B44" s="1754"/>
      <c r="C44" s="1755"/>
      <c r="D44" s="1431" t="s">
        <v>275</v>
      </c>
      <c r="E44" s="1397"/>
      <c r="F44" s="124"/>
      <c r="G44" s="38"/>
      <c r="H44" s="214"/>
      <c r="I44" s="456"/>
      <c r="J44" s="202"/>
      <c r="K44" s="214"/>
      <c r="L44" s="456"/>
      <c r="M44" s="1061"/>
      <c r="N44" s="1061"/>
      <c r="O44" s="44"/>
      <c r="P44" s="1363" t="s">
        <v>99</v>
      </c>
      <c r="Q44" s="681">
        <v>100</v>
      </c>
      <c r="R44" s="545"/>
      <c r="S44" s="350"/>
      <c r="T44" s="545"/>
      <c r="U44" s="566"/>
      <c r="V44" s="142"/>
      <c r="W44" s="142"/>
    </row>
    <row r="45" spans="1:29" ht="15" customHeight="1" x14ac:dyDescent="0.25">
      <c r="A45" s="1370"/>
      <c r="B45" s="1396"/>
      <c r="C45" s="1395"/>
      <c r="D45" s="1714" t="s">
        <v>334</v>
      </c>
      <c r="E45" s="435" t="s">
        <v>41</v>
      </c>
      <c r="F45" s="1116" t="s">
        <v>384</v>
      </c>
      <c r="G45" s="1139"/>
      <c r="H45" s="1114"/>
      <c r="I45" s="1137"/>
      <c r="J45" s="1117">
        <v>10000</v>
      </c>
      <c r="K45" s="1114"/>
      <c r="L45" s="1137"/>
      <c r="M45" s="1117">
        <v>12000</v>
      </c>
      <c r="N45" s="1117"/>
      <c r="O45" s="1118"/>
      <c r="P45" s="1385" t="s">
        <v>290</v>
      </c>
      <c r="Q45" s="900"/>
      <c r="R45" s="969"/>
      <c r="S45" s="348">
        <v>40</v>
      </c>
      <c r="T45" s="967"/>
      <c r="U45" s="348">
        <v>80</v>
      </c>
      <c r="V45" s="138"/>
      <c r="W45" s="138"/>
    </row>
    <row r="46" spans="1:29" ht="15" customHeight="1" x14ac:dyDescent="0.25">
      <c r="A46" s="1370"/>
      <c r="B46" s="1396"/>
      <c r="C46" s="1395"/>
      <c r="D46" s="1756"/>
      <c r="E46" s="1391" t="s">
        <v>418</v>
      </c>
      <c r="F46" s="1116"/>
      <c r="G46" s="1139"/>
      <c r="H46" s="1114"/>
      <c r="I46" s="1115"/>
      <c r="J46" s="1117"/>
      <c r="K46" s="1114"/>
      <c r="L46" s="1115"/>
      <c r="M46" s="1117"/>
      <c r="N46" s="1117"/>
      <c r="O46" s="1118"/>
      <c r="P46" s="1385"/>
      <c r="Q46" s="900"/>
      <c r="R46" s="967"/>
      <c r="S46" s="348"/>
      <c r="T46" s="967"/>
      <c r="U46" s="348"/>
      <c r="V46" s="138"/>
      <c r="W46" s="138"/>
    </row>
    <row r="47" spans="1:29" ht="15" customHeight="1" x14ac:dyDescent="0.25">
      <c r="A47" s="1370"/>
      <c r="B47" s="1396"/>
      <c r="C47" s="1395"/>
      <c r="D47" s="1715"/>
      <c r="E47" s="166"/>
      <c r="F47" s="1116"/>
      <c r="G47" s="1139"/>
      <c r="H47" s="1114"/>
      <c r="I47" s="1115"/>
      <c r="J47" s="1117"/>
      <c r="K47" s="1114"/>
      <c r="L47" s="1115"/>
      <c r="M47" s="1117"/>
      <c r="N47" s="1117"/>
      <c r="O47" s="1118"/>
      <c r="P47" s="1385"/>
      <c r="Q47" s="900"/>
      <c r="R47" s="967"/>
      <c r="S47" s="348"/>
      <c r="T47" s="967"/>
      <c r="U47" s="348"/>
      <c r="V47" s="138"/>
      <c r="W47" s="138"/>
    </row>
    <row r="48" spans="1:29" ht="18" customHeight="1" x14ac:dyDescent="0.25">
      <c r="A48" s="1379"/>
      <c r="B48" s="1380"/>
      <c r="C48" s="1773" t="s">
        <v>157</v>
      </c>
      <c r="D48" s="1775" t="s">
        <v>401</v>
      </c>
      <c r="E48" s="846" t="s">
        <v>178</v>
      </c>
      <c r="F48" s="1119" t="s">
        <v>381</v>
      </c>
      <c r="G48" s="1135"/>
      <c r="H48" s="1110"/>
      <c r="I48" s="1137"/>
      <c r="J48" s="1131">
        <f>696.2-244.2</f>
        <v>452</v>
      </c>
      <c r="K48" s="1110"/>
      <c r="L48" s="1137"/>
      <c r="M48" s="1131">
        <f>300-150</f>
        <v>150</v>
      </c>
      <c r="N48" s="1131"/>
      <c r="O48" s="1111"/>
      <c r="P48" s="1957" t="s">
        <v>173</v>
      </c>
      <c r="Q48" s="618"/>
      <c r="R48" s="619"/>
      <c r="S48" s="496"/>
      <c r="T48" s="619"/>
      <c r="U48" s="496"/>
      <c r="V48" s="147"/>
      <c r="W48" s="2087" t="s">
        <v>456</v>
      </c>
      <c r="X48" s="2085" t="s">
        <v>465</v>
      </c>
      <c r="Y48" s="1443"/>
      <c r="Z48" s="1443"/>
      <c r="AA48" s="1443"/>
      <c r="AB48" s="1443"/>
      <c r="AC48" s="1443"/>
    </row>
    <row r="49" spans="1:29" ht="18" customHeight="1" x14ac:dyDescent="0.25">
      <c r="A49" s="1379"/>
      <c r="B49" s="1380"/>
      <c r="C49" s="1773"/>
      <c r="D49" s="1776"/>
      <c r="E49" s="859" t="s">
        <v>41</v>
      </c>
      <c r="F49" s="1116" t="s">
        <v>389</v>
      </c>
      <c r="G49" s="1139">
        <v>100</v>
      </c>
      <c r="H49" s="1114"/>
      <c r="I49" s="1115"/>
      <c r="J49" s="1117"/>
      <c r="K49" s="1114"/>
      <c r="L49" s="1115"/>
      <c r="M49" s="1117"/>
      <c r="N49" s="1117"/>
      <c r="O49" s="1118"/>
      <c r="P49" s="1958"/>
      <c r="Q49" s="1428"/>
      <c r="R49" s="1424"/>
      <c r="S49" s="392"/>
      <c r="T49" s="1424"/>
      <c r="U49" s="392"/>
      <c r="V49" s="195"/>
      <c r="W49" s="2088"/>
      <c r="X49" s="2090"/>
      <c r="Y49" s="1443"/>
      <c r="Z49" s="1443"/>
      <c r="AA49" s="1443"/>
      <c r="AB49" s="1443"/>
      <c r="AC49" s="1443"/>
    </row>
    <row r="50" spans="1:29" ht="18" customHeight="1" x14ac:dyDescent="0.25">
      <c r="A50" s="1379"/>
      <c r="B50" s="1380"/>
      <c r="C50" s="1773"/>
      <c r="D50" s="1776"/>
      <c r="E50" s="859"/>
      <c r="F50" s="1095" t="s">
        <v>392</v>
      </c>
      <c r="G50" s="1094"/>
      <c r="H50" s="1303">
        <v>64.400000000000006</v>
      </c>
      <c r="I50" s="1304">
        <f>+H50-G50</f>
        <v>64.400000000000006</v>
      </c>
      <c r="J50" s="1433"/>
      <c r="K50" s="1400"/>
      <c r="L50" s="1402"/>
      <c r="M50" s="1433"/>
      <c r="N50" s="1433"/>
      <c r="O50" s="1426"/>
      <c r="P50" s="1958"/>
      <c r="Q50" s="1428"/>
      <c r="R50" s="1424"/>
      <c r="S50" s="392"/>
      <c r="T50" s="1424"/>
      <c r="U50" s="392"/>
      <c r="V50" s="195"/>
      <c r="W50" s="2088"/>
      <c r="X50" s="2090"/>
      <c r="Y50" s="1443"/>
      <c r="Z50" s="1443"/>
      <c r="AA50" s="1443"/>
      <c r="AB50" s="1443"/>
      <c r="AC50" s="1443"/>
    </row>
    <row r="51" spans="1:29" ht="18.75" customHeight="1" x14ac:dyDescent="0.25">
      <c r="A51" s="1379"/>
      <c r="B51" s="1380"/>
      <c r="C51" s="1773"/>
      <c r="D51" s="1776"/>
      <c r="E51" s="1772" t="s">
        <v>400</v>
      </c>
      <c r="F51" s="1095" t="s">
        <v>382</v>
      </c>
      <c r="G51" s="1094">
        <v>5.2</v>
      </c>
      <c r="H51" s="1303">
        <f>5.2+35.6</f>
        <v>40.799999999999997</v>
      </c>
      <c r="I51" s="1304">
        <f>+H51-G51</f>
        <v>35.6</v>
      </c>
      <c r="J51" s="1433"/>
      <c r="K51" s="1400"/>
      <c r="L51" s="1402"/>
      <c r="M51" s="1433"/>
      <c r="N51" s="1433"/>
      <c r="O51" s="1426"/>
      <c r="P51" s="1963"/>
      <c r="Q51" s="901"/>
      <c r="R51" s="970"/>
      <c r="S51" s="510"/>
      <c r="T51" s="970"/>
      <c r="U51" s="510"/>
      <c r="V51" s="184"/>
      <c r="W51" s="2088"/>
      <c r="X51" s="2090"/>
      <c r="Y51" s="1443"/>
      <c r="Z51" s="1443"/>
      <c r="AA51" s="1443"/>
      <c r="AB51" s="1443"/>
      <c r="AC51" s="1443"/>
    </row>
    <row r="52" spans="1:29" ht="26.25" customHeight="1" x14ac:dyDescent="0.25">
      <c r="A52" s="1379"/>
      <c r="B52" s="127"/>
      <c r="C52" s="1773"/>
      <c r="D52" s="1776"/>
      <c r="E52" s="1772"/>
      <c r="F52" s="1095" t="s">
        <v>390</v>
      </c>
      <c r="G52" s="1435">
        <f>542.2-184.2-358</f>
        <v>0</v>
      </c>
      <c r="H52" s="1400"/>
      <c r="I52" s="1402"/>
      <c r="J52" s="1305">
        <f>1044.4-238.7</f>
        <v>805.7</v>
      </c>
      <c r="K52" s="1303">
        <f>805.7-805.7</f>
        <v>0</v>
      </c>
      <c r="L52" s="1304">
        <f>+K52-J52</f>
        <v>-805.7</v>
      </c>
      <c r="M52" s="1305">
        <f>542.2-273.5</f>
        <v>268.7</v>
      </c>
      <c r="N52" s="1305">
        <f>268.7-268.7</f>
        <v>0</v>
      </c>
      <c r="O52" s="1307">
        <f>+N52-M52</f>
        <v>-268.7</v>
      </c>
      <c r="P52" s="1411" t="s">
        <v>354</v>
      </c>
      <c r="Q52" s="1317" t="s">
        <v>100</v>
      </c>
      <c r="R52" s="1318" t="s">
        <v>214</v>
      </c>
      <c r="S52" s="1096" t="s">
        <v>356</v>
      </c>
      <c r="T52" s="458"/>
      <c r="U52" s="560" t="s">
        <v>252</v>
      </c>
      <c r="V52" s="610"/>
      <c r="W52" s="2088"/>
      <c r="X52" s="2090"/>
      <c r="Y52" s="1443"/>
      <c r="Z52" s="1443"/>
      <c r="AA52" s="1443"/>
      <c r="AB52" s="1443"/>
      <c r="AC52" s="1443"/>
    </row>
    <row r="53" spans="1:29" ht="26.25" customHeight="1" x14ac:dyDescent="0.25">
      <c r="A53" s="1379"/>
      <c r="B53" s="127"/>
      <c r="C53" s="1773"/>
      <c r="D53" s="1776"/>
      <c r="E53" s="1439"/>
      <c r="F53" s="1095" t="s">
        <v>387</v>
      </c>
      <c r="G53" s="1094">
        <v>358</v>
      </c>
      <c r="H53" s="1303">
        <f>358+60.4</f>
        <v>418.4</v>
      </c>
      <c r="I53" s="1304">
        <f>+H53-G53</f>
        <v>60.4</v>
      </c>
      <c r="J53" s="1305"/>
      <c r="K53" s="1303">
        <v>805.7</v>
      </c>
      <c r="L53" s="1304">
        <f>+K53-J53</f>
        <v>805.7</v>
      </c>
      <c r="M53" s="1305"/>
      <c r="N53" s="1305">
        <v>195.4</v>
      </c>
      <c r="O53" s="1307">
        <f>+N53-M53</f>
        <v>195.4</v>
      </c>
      <c r="P53" s="1097"/>
      <c r="Q53" s="901"/>
      <c r="R53" s="970"/>
      <c r="S53" s="392"/>
      <c r="T53" s="1424"/>
      <c r="U53" s="901"/>
      <c r="V53" s="970"/>
      <c r="W53" s="2088"/>
      <c r="X53" s="2090"/>
      <c r="Y53" s="1443"/>
      <c r="Z53" s="1443"/>
      <c r="AA53" s="1443"/>
      <c r="AB53" s="1443"/>
      <c r="AC53" s="1443"/>
    </row>
    <row r="54" spans="1:29" ht="28.5" customHeight="1" x14ac:dyDescent="0.25">
      <c r="A54" s="1379"/>
      <c r="B54" s="127"/>
      <c r="C54" s="1773"/>
      <c r="D54" s="1776"/>
      <c r="E54" s="1391" t="s">
        <v>418</v>
      </c>
      <c r="F54" s="1354" t="s">
        <v>386</v>
      </c>
      <c r="G54" s="38">
        <v>100</v>
      </c>
      <c r="H54" s="214"/>
      <c r="I54" s="456"/>
      <c r="J54" s="1433">
        <v>647.4</v>
      </c>
      <c r="K54" s="1400"/>
      <c r="L54" s="1402"/>
      <c r="M54" s="1315">
        <v>529.20000000000005</v>
      </c>
      <c r="N54" s="1315">
        <f>529.2-7.7</f>
        <v>521.5</v>
      </c>
      <c r="O54" s="1316">
        <f>+N54-M54</f>
        <v>-7.7</v>
      </c>
      <c r="P54" s="1" t="s">
        <v>172</v>
      </c>
      <c r="Q54" s="903">
        <v>5</v>
      </c>
      <c r="R54" s="722"/>
      <c r="S54" s="788">
        <v>5</v>
      </c>
      <c r="T54" s="722"/>
      <c r="U54" s="973"/>
      <c r="V54" s="902"/>
      <c r="W54" s="2089"/>
      <c r="X54" s="2090"/>
      <c r="Y54" s="1443"/>
      <c r="Z54" s="1443"/>
      <c r="AA54" s="1443"/>
      <c r="AB54" s="1443"/>
      <c r="AC54" s="1443"/>
    </row>
    <row r="55" spans="1:29" ht="22.5" customHeight="1" x14ac:dyDescent="0.25">
      <c r="A55" s="65"/>
      <c r="B55" s="127"/>
      <c r="C55" s="1773"/>
      <c r="D55" s="1714" t="s">
        <v>253</v>
      </c>
      <c r="E55" s="860" t="s">
        <v>178</v>
      </c>
      <c r="F55" s="1119" t="s">
        <v>381</v>
      </c>
      <c r="G55" s="1139"/>
      <c r="H55" s="1114"/>
      <c r="I55" s="1115"/>
      <c r="J55" s="1131">
        <f>432-150</f>
        <v>282</v>
      </c>
      <c r="K55" s="1110"/>
      <c r="L55" s="1137"/>
      <c r="M55" s="1117">
        <v>216</v>
      </c>
      <c r="N55" s="1117"/>
      <c r="O55" s="1118"/>
      <c r="P55" s="1964" t="s">
        <v>87</v>
      </c>
      <c r="Q55" s="190" t="s">
        <v>254</v>
      </c>
      <c r="R55" s="619"/>
      <c r="S55" s="496" t="s">
        <v>318</v>
      </c>
      <c r="T55" s="619"/>
      <c r="U55" s="496" t="s">
        <v>252</v>
      </c>
      <c r="V55" s="147"/>
      <c r="W55" s="619"/>
    </row>
    <row r="56" spans="1:29" ht="22.5" customHeight="1" x14ac:dyDescent="0.25">
      <c r="A56" s="65"/>
      <c r="B56" s="127"/>
      <c r="C56" s="1773"/>
      <c r="D56" s="1756"/>
      <c r="E56" s="436" t="s">
        <v>41</v>
      </c>
      <c r="F56" s="1116" t="s">
        <v>389</v>
      </c>
      <c r="G56" s="1139">
        <v>194.3</v>
      </c>
      <c r="H56" s="1114"/>
      <c r="I56" s="1115"/>
      <c r="J56" s="1117"/>
      <c r="K56" s="1114"/>
      <c r="L56" s="1115"/>
      <c r="M56" s="1117"/>
      <c r="N56" s="1117"/>
      <c r="O56" s="1118"/>
      <c r="P56" s="1965"/>
      <c r="Q56" s="193"/>
      <c r="R56" s="1424"/>
      <c r="S56" s="392"/>
      <c r="T56" s="1424"/>
      <c r="U56" s="392"/>
      <c r="V56" s="195"/>
      <c r="W56" s="1424"/>
    </row>
    <row r="57" spans="1:29" ht="15.5" customHeight="1" x14ac:dyDescent="0.25">
      <c r="A57" s="65"/>
      <c r="B57" s="127"/>
      <c r="C57" s="1773"/>
      <c r="D57" s="1756"/>
      <c r="E57" s="1391" t="s">
        <v>418</v>
      </c>
      <c r="F57" s="1116" t="s">
        <v>381</v>
      </c>
      <c r="G57" s="1139">
        <v>21.7</v>
      </c>
      <c r="H57" s="1114"/>
      <c r="I57" s="1115"/>
      <c r="J57" s="1117"/>
      <c r="K57" s="1114"/>
      <c r="L57" s="1115"/>
      <c r="M57" s="1117"/>
      <c r="N57" s="1117"/>
      <c r="O57" s="1118"/>
      <c r="P57" s="1965"/>
      <c r="Q57" s="193"/>
      <c r="R57" s="1424"/>
      <c r="S57" s="392"/>
      <c r="T57" s="1424"/>
      <c r="U57" s="392"/>
      <c r="V57" s="195"/>
      <c r="W57" s="1424"/>
    </row>
    <row r="58" spans="1:29" ht="15.5" customHeight="1" x14ac:dyDescent="0.25">
      <c r="A58" s="65"/>
      <c r="B58" s="127"/>
      <c r="C58" s="1773"/>
      <c r="D58" s="1756"/>
      <c r="E58" s="1439"/>
      <c r="F58" s="1116" t="s">
        <v>391</v>
      </c>
      <c r="G58" s="1139">
        <v>150</v>
      </c>
      <c r="H58" s="1114"/>
      <c r="I58" s="1115"/>
      <c r="J58" s="1117"/>
      <c r="K58" s="1114"/>
      <c r="L58" s="1115"/>
      <c r="M58" s="1117"/>
      <c r="N58" s="1117"/>
      <c r="O58" s="1118"/>
      <c r="P58" s="1965"/>
      <c r="Q58" s="193"/>
      <c r="R58" s="1424"/>
      <c r="S58" s="392"/>
      <c r="T58" s="1424"/>
      <c r="U58" s="392"/>
      <c r="V58" s="195"/>
      <c r="W58" s="1424"/>
    </row>
    <row r="59" spans="1:29" ht="15.5" customHeight="1" x14ac:dyDescent="0.25">
      <c r="A59" s="65"/>
      <c r="B59" s="127"/>
      <c r="C59" s="1773"/>
      <c r="D59" s="1756"/>
      <c r="E59" s="1439"/>
      <c r="F59" s="1116" t="s">
        <v>387</v>
      </c>
      <c r="G59" s="1139">
        <v>125</v>
      </c>
      <c r="H59" s="1114"/>
      <c r="I59" s="1115"/>
      <c r="J59" s="1117"/>
      <c r="K59" s="1114"/>
      <c r="L59" s="1115"/>
      <c r="M59" s="1117"/>
      <c r="N59" s="1117"/>
      <c r="O59" s="1118"/>
      <c r="P59" s="1965"/>
      <c r="Q59" s="193"/>
      <c r="R59" s="1424"/>
      <c r="S59" s="392"/>
      <c r="T59" s="1424"/>
      <c r="U59" s="392"/>
      <c r="V59" s="195"/>
      <c r="W59" s="1424"/>
    </row>
    <row r="60" spans="1:29" ht="15.5" customHeight="1" x14ac:dyDescent="0.25">
      <c r="A60" s="65"/>
      <c r="B60" s="127"/>
      <c r="C60" s="1774"/>
      <c r="D60" s="1715"/>
      <c r="E60" s="1439"/>
      <c r="F60" s="1124" t="s">
        <v>390</v>
      </c>
      <c r="G60" s="1157">
        <f>125-125</f>
        <v>0</v>
      </c>
      <c r="H60" s="1126"/>
      <c r="I60" s="1129"/>
      <c r="J60" s="1128">
        <v>250</v>
      </c>
      <c r="K60" s="1126"/>
      <c r="L60" s="1129"/>
      <c r="M60" s="1128">
        <v>125</v>
      </c>
      <c r="N60" s="1128"/>
      <c r="O60" s="1127"/>
      <c r="P60" s="1966"/>
      <c r="Q60" s="544"/>
      <c r="R60" s="971"/>
      <c r="S60" s="968"/>
      <c r="T60" s="971"/>
      <c r="U60" s="347"/>
      <c r="V60" s="148"/>
      <c r="W60" s="1425"/>
    </row>
    <row r="61" spans="1:29" ht="15" customHeight="1" x14ac:dyDescent="0.25">
      <c r="A61" s="1789"/>
      <c r="B61" s="1790"/>
      <c r="C61" s="1791" t="s">
        <v>183</v>
      </c>
      <c r="D61" s="1766" t="s">
        <v>49</v>
      </c>
      <c r="E61" s="845" t="s">
        <v>178</v>
      </c>
      <c r="F61" s="1119" t="s">
        <v>381</v>
      </c>
      <c r="G61" s="1135">
        <f>1003.8-697.4-161.5-144.9+21.7</f>
        <v>21.7</v>
      </c>
      <c r="H61" s="1110"/>
      <c r="I61" s="1137"/>
      <c r="J61" s="1131"/>
      <c r="K61" s="1110"/>
      <c r="L61" s="1137"/>
      <c r="M61" s="1131"/>
      <c r="N61" s="1131"/>
      <c r="O61" s="1111"/>
      <c r="P61" s="1957" t="s">
        <v>404</v>
      </c>
      <c r="Q61" s="904">
        <v>100</v>
      </c>
      <c r="R61" s="969"/>
      <c r="S61" s="533"/>
      <c r="T61" s="969"/>
      <c r="U61" s="533"/>
      <c r="V61" s="137"/>
      <c r="W61" s="137"/>
    </row>
    <row r="62" spans="1:29" ht="15" customHeight="1" x14ac:dyDescent="0.25">
      <c r="A62" s="1789"/>
      <c r="B62" s="1790"/>
      <c r="C62" s="1792"/>
      <c r="D62" s="1767"/>
      <c r="E62" s="859" t="s">
        <v>41</v>
      </c>
      <c r="F62" s="1116" t="s">
        <v>392</v>
      </c>
      <c r="G62" s="1139">
        <v>358</v>
      </c>
      <c r="H62" s="1114"/>
      <c r="I62" s="1115"/>
      <c r="J62" s="1117"/>
      <c r="K62" s="1114"/>
      <c r="L62" s="1115"/>
      <c r="M62" s="1117"/>
      <c r="N62" s="1117"/>
      <c r="O62" s="1118"/>
      <c r="P62" s="1958"/>
      <c r="Q62" s="900"/>
      <c r="R62" s="967"/>
      <c r="S62" s="348"/>
      <c r="T62" s="967"/>
      <c r="U62" s="348"/>
      <c r="V62" s="138"/>
      <c r="W62" s="138"/>
    </row>
    <row r="63" spans="1:29" ht="17.25" customHeight="1" x14ac:dyDescent="0.25">
      <c r="A63" s="1789"/>
      <c r="B63" s="1790"/>
      <c r="C63" s="1792"/>
      <c r="D63" s="1767"/>
      <c r="E63" s="1391" t="s">
        <v>418</v>
      </c>
      <c r="F63" s="1116" t="s">
        <v>381</v>
      </c>
      <c r="G63" s="1139">
        <f>154.8+697.4-213.1-21.7</f>
        <v>617.4</v>
      </c>
      <c r="H63" s="1114"/>
      <c r="I63" s="1115"/>
      <c r="J63" s="1117"/>
      <c r="K63" s="1114"/>
      <c r="L63" s="1115"/>
      <c r="M63" s="1117"/>
      <c r="N63" s="1117"/>
      <c r="O63" s="1118"/>
      <c r="P63" s="1958"/>
      <c r="Q63" s="900"/>
      <c r="R63" s="967"/>
      <c r="S63" s="348"/>
      <c r="T63" s="967"/>
      <c r="U63" s="348"/>
      <c r="V63" s="138"/>
      <c r="W63" s="138"/>
    </row>
    <row r="64" spans="1:29" ht="15.65" customHeight="1" x14ac:dyDescent="0.25">
      <c r="A64" s="1789"/>
      <c r="B64" s="1790"/>
      <c r="C64" s="1792"/>
      <c r="D64" s="1767"/>
      <c r="E64" s="125"/>
      <c r="F64" s="1116" t="s">
        <v>382</v>
      </c>
      <c r="G64" s="1139">
        <v>475.5</v>
      </c>
      <c r="H64" s="1114"/>
      <c r="I64" s="1115"/>
      <c r="J64" s="1117"/>
      <c r="K64" s="1114"/>
      <c r="L64" s="1115"/>
      <c r="M64" s="1117"/>
      <c r="N64" s="1117"/>
      <c r="O64" s="1118"/>
      <c r="P64" s="1977"/>
      <c r="Q64" s="900"/>
      <c r="R64" s="967"/>
      <c r="S64" s="348"/>
      <c r="T64" s="967"/>
      <c r="U64" s="348"/>
      <c r="V64" s="138"/>
      <c r="W64" s="138"/>
    </row>
    <row r="65" spans="1:28" ht="17.25" customHeight="1" x14ac:dyDescent="0.25">
      <c r="A65" s="1789"/>
      <c r="B65" s="1790"/>
      <c r="C65" s="1792"/>
      <c r="D65" s="1767"/>
      <c r="E65" s="125"/>
      <c r="F65" s="1124" t="s">
        <v>386</v>
      </c>
      <c r="G65" s="1157">
        <f>200+78</f>
        <v>278</v>
      </c>
      <c r="H65" s="1126"/>
      <c r="I65" s="1129"/>
      <c r="J65" s="1128"/>
      <c r="K65" s="1126"/>
      <c r="L65" s="1129"/>
      <c r="M65" s="1128"/>
      <c r="N65" s="1128"/>
      <c r="O65" s="1127"/>
      <c r="P65" s="411"/>
      <c r="Q65" s="905"/>
      <c r="R65" s="972"/>
      <c r="S65" s="346"/>
      <c r="T65" s="972"/>
      <c r="U65" s="346"/>
      <c r="V65" s="135"/>
      <c r="W65" s="135"/>
    </row>
    <row r="66" spans="1:28" ht="14.25" customHeight="1" x14ac:dyDescent="0.25">
      <c r="A66" s="1789"/>
      <c r="B66" s="1790"/>
      <c r="C66" s="1792"/>
      <c r="D66" s="1775" t="s">
        <v>107</v>
      </c>
      <c r="E66" s="92" t="s">
        <v>178</v>
      </c>
      <c r="F66" s="1119" t="s">
        <v>381</v>
      </c>
      <c r="G66" s="1135">
        <f>300-119.8</f>
        <v>180.2</v>
      </c>
      <c r="H66" s="1110"/>
      <c r="I66" s="1137"/>
      <c r="J66" s="1131">
        <v>300</v>
      </c>
      <c r="K66" s="1110"/>
      <c r="L66" s="1137"/>
      <c r="M66" s="1131">
        <f>431.4-380.1-51.3</f>
        <v>0</v>
      </c>
      <c r="N66" s="1131"/>
      <c r="O66" s="1111"/>
      <c r="P66" s="1979" t="s">
        <v>276</v>
      </c>
      <c r="Q66" s="904">
        <v>100</v>
      </c>
      <c r="R66" s="561"/>
      <c r="S66" s="539"/>
      <c r="T66" s="561"/>
      <c r="U66" s="539"/>
      <c r="V66" s="139"/>
      <c r="W66" s="139"/>
    </row>
    <row r="67" spans="1:28" ht="14.25" customHeight="1" x14ac:dyDescent="0.25">
      <c r="A67" s="1789"/>
      <c r="B67" s="1790"/>
      <c r="C67" s="1792"/>
      <c r="D67" s="1776"/>
      <c r="E67" s="859" t="s">
        <v>41</v>
      </c>
      <c r="F67" s="1116" t="s">
        <v>389</v>
      </c>
      <c r="G67" s="1139">
        <v>119.8</v>
      </c>
      <c r="H67" s="1114"/>
      <c r="I67" s="1115"/>
      <c r="J67" s="1117"/>
      <c r="K67" s="1114"/>
      <c r="L67" s="1115"/>
      <c r="M67" s="1117"/>
      <c r="N67" s="1117"/>
      <c r="O67" s="1118"/>
      <c r="P67" s="1980"/>
      <c r="Q67" s="900"/>
      <c r="R67" s="967"/>
      <c r="S67" s="348"/>
      <c r="T67" s="967"/>
      <c r="U67" s="348"/>
      <c r="V67" s="138"/>
      <c r="W67" s="138"/>
    </row>
    <row r="68" spans="1:28" ht="15.75" customHeight="1" x14ac:dyDescent="0.25">
      <c r="A68" s="1789"/>
      <c r="B68" s="1790"/>
      <c r="C68" s="1792"/>
      <c r="D68" s="1776"/>
      <c r="E68" s="1391" t="s">
        <v>418</v>
      </c>
      <c r="F68" s="1116" t="s">
        <v>386</v>
      </c>
      <c r="G68" s="1139">
        <f>800+80+192.6</f>
        <v>1072.5999999999999</v>
      </c>
      <c r="H68" s="1114"/>
      <c r="I68" s="1115"/>
      <c r="J68" s="1117">
        <v>1000</v>
      </c>
      <c r="K68" s="1114"/>
      <c r="L68" s="1115"/>
      <c r="M68" s="1117">
        <f>2100-100-27.7</f>
        <v>1972.3</v>
      </c>
      <c r="N68" s="1117"/>
      <c r="O68" s="1118"/>
      <c r="P68" s="1992"/>
      <c r="Q68" s="537"/>
      <c r="R68" s="440"/>
      <c r="S68" s="974"/>
      <c r="T68" s="440"/>
      <c r="U68" s="974"/>
      <c r="V68" s="906"/>
      <c r="W68" s="440"/>
    </row>
    <row r="69" spans="1:28" ht="15.75" customHeight="1" x14ac:dyDescent="0.25">
      <c r="A69" s="1789"/>
      <c r="B69" s="1790"/>
      <c r="C69" s="1792"/>
      <c r="D69" s="1375"/>
      <c r="E69" s="439"/>
      <c r="F69" s="1116"/>
      <c r="G69" s="1139"/>
      <c r="H69" s="1114"/>
      <c r="I69" s="1115"/>
      <c r="J69" s="1117"/>
      <c r="K69" s="1114"/>
      <c r="L69" s="1115"/>
      <c r="M69" s="1117"/>
      <c r="N69" s="1117"/>
      <c r="O69" s="1118"/>
      <c r="P69" s="1989" t="s">
        <v>357</v>
      </c>
      <c r="Q69" s="2099" t="s">
        <v>432</v>
      </c>
      <c r="R69" s="1786"/>
      <c r="S69" s="1991" t="s">
        <v>254</v>
      </c>
      <c r="T69" s="1786"/>
      <c r="U69" s="1991" t="s">
        <v>252</v>
      </c>
      <c r="V69" s="2053"/>
      <c r="W69" s="1786"/>
    </row>
    <row r="70" spans="1:28" ht="15.75" customHeight="1" x14ac:dyDescent="0.25">
      <c r="A70" s="1789"/>
      <c r="B70" s="1790"/>
      <c r="C70" s="1792"/>
      <c r="D70" s="1375"/>
      <c r="E70" s="439"/>
      <c r="F70" s="20"/>
      <c r="G70" s="1435"/>
      <c r="H70" s="1400"/>
      <c r="I70" s="1402"/>
      <c r="J70" s="1433"/>
      <c r="K70" s="1400"/>
      <c r="L70" s="1402"/>
      <c r="M70" s="1433"/>
      <c r="N70" s="1433"/>
      <c r="O70" s="1426"/>
      <c r="P70" s="1980"/>
      <c r="Q70" s="1784"/>
      <c r="R70" s="1787"/>
      <c r="S70" s="1803"/>
      <c r="T70" s="1787"/>
      <c r="U70" s="1803"/>
      <c r="V70" s="2054"/>
      <c r="W70" s="1787"/>
    </row>
    <row r="71" spans="1:28" ht="20.25" customHeight="1" x14ac:dyDescent="0.25">
      <c r="A71" s="1789"/>
      <c r="B71" s="1790"/>
      <c r="C71" s="1793"/>
      <c r="D71" s="1373"/>
      <c r="E71" s="163"/>
      <c r="F71" s="98"/>
      <c r="G71" s="38"/>
      <c r="H71" s="214"/>
      <c r="I71" s="456"/>
      <c r="J71" s="202"/>
      <c r="K71" s="214"/>
      <c r="L71" s="456"/>
      <c r="M71" s="202"/>
      <c r="N71" s="202"/>
      <c r="O71" s="44"/>
      <c r="P71" s="1981"/>
      <c r="Q71" s="1785"/>
      <c r="R71" s="1788"/>
      <c r="S71" s="1804"/>
      <c r="T71" s="1788"/>
      <c r="U71" s="1804"/>
      <c r="V71" s="2055"/>
      <c r="W71" s="1788"/>
    </row>
    <row r="72" spans="1:28" ht="14.25" customHeight="1" x14ac:dyDescent="0.25">
      <c r="A72" s="1370"/>
      <c r="B72" s="1396"/>
      <c r="C72" s="75"/>
      <c r="D72" s="1756" t="s">
        <v>405</v>
      </c>
      <c r="E72" s="843" t="s">
        <v>178</v>
      </c>
      <c r="F72" s="1116" t="s">
        <v>386</v>
      </c>
      <c r="G72" s="1139">
        <f>29.9+8.6</f>
        <v>38.5</v>
      </c>
      <c r="H72" s="1400"/>
      <c r="I72" s="1402"/>
      <c r="J72" s="1433"/>
      <c r="K72" s="1400"/>
      <c r="L72" s="1402"/>
      <c r="M72" s="1433"/>
      <c r="N72" s="1433"/>
      <c r="O72" s="1426"/>
      <c r="P72" s="1957" t="s">
        <v>87</v>
      </c>
      <c r="Q72" s="527">
        <v>100</v>
      </c>
      <c r="R72" s="589"/>
      <c r="S72" s="349"/>
      <c r="T72" s="589"/>
      <c r="U72" s="349"/>
      <c r="V72" s="141"/>
      <c r="W72" s="2094" t="s">
        <v>466</v>
      </c>
    </row>
    <row r="73" spans="1:28" ht="14.25" customHeight="1" x14ac:dyDescent="0.25">
      <c r="A73" s="1370"/>
      <c r="B73" s="1396"/>
      <c r="C73" s="75"/>
      <c r="D73" s="1756"/>
      <c r="E73" s="859" t="s">
        <v>41</v>
      </c>
      <c r="F73" s="1095" t="s">
        <v>381</v>
      </c>
      <c r="G73" s="1094">
        <f>9.9+10.1</f>
        <v>20</v>
      </c>
      <c r="H73" s="1303">
        <f>20-20</f>
        <v>0</v>
      </c>
      <c r="I73" s="1304">
        <f>+H73-G73</f>
        <v>-20</v>
      </c>
      <c r="J73" s="1433"/>
      <c r="K73" s="1400"/>
      <c r="L73" s="1402"/>
      <c r="M73" s="1433"/>
      <c r="N73" s="1433"/>
      <c r="O73" s="1426"/>
      <c r="P73" s="1958"/>
      <c r="Q73" s="833"/>
      <c r="R73" s="589"/>
      <c r="S73" s="349"/>
      <c r="T73" s="589"/>
      <c r="U73" s="349"/>
      <c r="V73" s="141"/>
      <c r="W73" s="2095"/>
    </row>
    <row r="74" spans="1:28" ht="14.25" customHeight="1" x14ac:dyDescent="0.25">
      <c r="A74" s="1370"/>
      <c r="B74" s="1396"/>
      <c r="C74" s="75"/>
      <c r="D74" s="1756"/>
      <c r="E74" s="1391" t="s">
        <v>418</v>
      </c>
      <c r="F74" s="1116" t="s">
        <v>387</v>
      </c>
      <c r="G74" s="1139">
        <f>33.7-0.4</f>
        <v>33.299999999999997</v>
      </c>
      <c r="H74" s="1400"/>
      <c r="I74" s="1402"/>
      <c r="J74" s="1433"/>
      <c r="K74" s="1400"/>
      <c r="L74" s="1402"/>
      <c r="M74" s="1433"/>
      <c r="N74" s="1433"/>
      <c r="O74" s="1426"/>
      <c r="P74" s="1398"/>
      <c r="Q74" s="833"/>
      <c r="R74" s="589"/>
      <c r="S74" s="349"/>
      <c r="T74" s="589"/>
      <c r="U74" s="349"/>
      <c r="V74" s="141"/>
      <c r="W74" s="2095"/>
    </row>
    <row r="75" spans="1:28" ht="14.25" customHeight="1" x14ac:dyDescent="0.25">
      <c r="A75" s="1370"/>
      <c r="B75" s="1396"/>
      <c r="C75" s="75"/>
      <c r="D75" s="1756"/>
      <c r="E75" s="1439"/>
      <c r="F75" s="1116" t="s">
        <v>393</v>
      </c>
      <c r="G75" s="1139">
        <f>59.1+0.4</f>
        <v>59.5</v>
      </c>
      <c r="H75" s="1400"/>
      <c r="I75" s="1402"/>
      <c r="J75" s="1433"/>
      <c r="K75" s="1400"/>
      <c r="L75" s="1402"/>
      <c r="M75" s="1433"/>
      <c r="N75" s="1433"/>
      <c r="O75" s="1426"/>
      <c r="P75" s="1398"/>
      <c r="Q75" s="833"/>
      <c r="R75" s="589"/>
      <c r="S75" s="349"/>
      <c r="T75" s="589"/>
      <c r="U75" s="349"/>
      <c r="V75" s="141"/>
      <c r="W75" s="2095"/>
    </row>
    <row r="76" spans="1:28" ht="14.25" customHeight="1" x14ac:dyDescent="0.25">
      <c r="A76" s="1370"/>
      <c r="B76" s="1396"/>
      <c r="C76" s="75"/>
      <c r="D76" s="1756"/>
      <c r="E76" s="1439"/>
      <c r="F76" s="1116" t="s">
        <v>388</v>
      </c>
      <c r="G76" s="1157">
        <v>16.2</v>
      </c>
      <c r="H76" s="1400"/>
      <c r="I76" s="1402"/>
      <c r="J76" s="1433"/>
      <c r="K76" s="1400"/>
      <c r="L76" s="1402"/>
      <c r="M76" s="1433"/>
      <c r="N76" s="1433"/>
      <c r="O76" s="1426"/>
      <c r="P76" s="1398"/>
      <c r="Q76" s="833"/>
      <c r="R76" s="589"/>
      <c r="S76" s="349"/>
      <c r="T76" s="589"/>
      <c r="U76" s="349"/>
      <c r="V76" s="141"/>
      <c r="W76" s="2096"/>
    </row>
    <row r="77" spans="1:28" ht="28.5" customHeight="1" x14ac:dyDescent="0.25">
      <c r="A77" s="1370"/>
      <c r="B77" s="1396"/>
      <c r="C77" s="75"/>
      <c r="D77" s="1795" t="s">
        <v>255</v>
      </c>
      <c r="E77" s="1390" t="s">
        <v>41</v>
      </c>
      <c r="F77" s="1098" t="s">
        <v>381</v>
      </c>
      <c r="G77" s="1319">
        <f>30-13.7</f>
        <v>16.3</v>
      </c>
      <c r="H77" s="1309">
        <f>16.3+13.7</f>
        <v>30</v>
      </c>
      <c r="I77" s="1310">
        <f>+H77-G77</f>
        <v>13.7</v>
      </c>
      <c r="J77" s="224">
        <v>50</v>
      </c>
      <c r="K77" s="213"/>
      <c r="L77" s="522"/>
      <c r="M77" s="224">
        <v>103.2</v>
      </c>
      <c r="N77" s="224"/>
      <c r="O77" s="215"/>
      <c r="P77" s="417" t="s">
        <v>256</v>
      </c>
      <c r="Q77" s="501"/>
      <c r="R77" s="563"/>
      <c r="S77" s="375">
        <v>1</v>
      </c>
      <c r="T77" s="465"/>
      <c r="U77" s="359"/>
      <c r="V77" s="140"/>
      <c r="W77" s="1444" t="s">
        <v>457</v>
      </c>
      <c r="X77" s="1442" t="s">
        <v>467</v>
      </c>
    </row>
    <row r="78" spans="1:28" ht="17" customHeight="1" x14ac:dyDescent="0.25">
      <c r="A78" s="1370"/>
      <c r="B78" s="1396"/>
      <c r="C78" s="75"/>
      <c r="D78" s="1796"/>
      <c r="E78" s="449"/>
      <c r="F78" s="124"/>
      <c r="G78" s="214"/>
      <c r="H78" s="214"/>
      <c r="I78" s="456"/>
      <c r="J78" s="202"/>
      <c r="K78" s="214"/>
      <c r="L78" s="456"/>
      <c r="M78" s="202"/>
      <c r="N78" s="202"/>
      <c r="O78" s="44"/>
      <c r="P78" s="407" t="s">
        <v>333</v>
      </c>
      <c r="Q78" s="203"/>
      <c r="R78" s="445"/>
      <c r="S78" s="350"/>
      <c r="T78" s="545"/>
      <c r="U78" s="566"/>
      <c r="V78" s="568"/>
      <c r="W78" s="445"/>
    </row>
    <row r="79" spans="1:28" ht="28" customHeight="1" x14ac:dyDescent="0.25">
      <c r="A79" s="1370"/>
      <c r="B79" s="1396"/>
      <c r="C79" s="1395"/>
      <c r="D79" s="1756" t="s">
        <v>156</v>
      </c>
      <c r="E79" s="843" t="s">
        <v>178</v>
      </c>
      <c r="F79" s="1112" t="s">
        <v>381</v>
      </c>
      <c r="G79" s="1113">
        <f>191.4-41.4</f>
        <v>150</v>
      </c>
      <c r="H79" s="1110"/>
      <c r="I79" s="1115"/>
      <c r="J79" s="1117">
        <f t="shared" ref="J79:M79" si="4">250-50</f>
        <v>200</v>
      </c>
      <c r="K79" s="1114"/>
      <c r="L79" s="1115"/>
      <c r="M79" s="1131">
        <f t="shared" si="4"/>
        <v>200</v>
      </c>
      <c r="N79" s="1433"/>
      <c r="O79" s="1426"/>
      <c r="P79" s="400" t="s">
        <v>63</v>
      </c>
      <c r="Q79" s="553"/>
      <c r="R79" s="975"/>
      <c r="S79" s="541"/>
      <c r="T79" s="975"/>
      <c r="U79" s="541"/>
      <c r="V79" s="443"/>
      <c r="W79" s="2097" t="s">
        <v>458</v>
      </c>
      <c r="X79" s="2091" t="s">
        <v>468</v>
      </c>
      <c r="Y79" s="2092"/>
      <c r="Z79" s="2092"/>
      <c r="AA79" s="2092"/>
      <c r="AB79" s="2092"/>
    </row>
    <row r="80" spans="1:28" ht="47.25" customHeight="1" x14ac:dyDescent="0.25">
      <c r="A80" s="1370"/>
      <c r="B80" s="1396"/>
      <c r="C80" s="1395"/>
      <c r="D80" s="1756"/>
      <c r="E80" s="859" t="s">
        <v>41</v>
      </c>
      <c r="F80" s="1320" t="s">
        <v>386</v>
      </c>
      <c r="G80" s="1321">
        <v>200</v>
      </c>
      <c r="H80" s="1322">
        <f>200-53.5</f>
        <v>146.5</v>
      </c>
      <c r="I80" s="1323">
        <f>+H80-G80</f>
        <v>-53.5</v>
      </c>
      <c r="J80" s="202">
        <v>200</v>
      </c>
      <c r="K80" s="214"/>
      <c r="L80" s="456"/>
      <c r="M80" s="202">
        <v>200</v>
      </c>
      <c r="N80" s="43"/>
      <c r="O80" s="456"/>
      <c r="P80" s="418" t="s">
        <v>175</v>
      </c>
      <c r="Q80" s="833">
        <v>35</v>
      </c>
      <c r="R80" s="589"/>
      <c r="S80" s="566">
        <v>85</v>
      </c>
      <c r="T80" s="445"/>
      <c r="U80" s="349">
        <v>100</v>
      </c>
      <c r="V80" s="141"/>
      <c r="W80" s="2098"/>
      <c r="X80" s="2093"/>
      <c r="Y80" s="2092"/>
      <c r="Z80" s="2092"/>
      <c r="AA80" s="2092"/>
      <c r="AB80" s="2092"/>
    </row>
    <row r="81" spans="1:23" ht="26.75" customHeight="1" x14ac:dyDescent="0.25">
      <c r="A81" s="1409"/>
      <c r="B81" s="1371"/>
      <c r="C81" s="72"/>
      <c r="D81" s="1764" t="s">
        <v>226</v>
      </c>
      <c r="E81" s="109"/>
      <c r="F81" s="1119" t="s">
        <v>381</v>
      </c>
      <c r="G81" s="1109">
        <f>381.6-100</f>
        <v>281.60000000000002</v>
      </c>
      <c r="H81" s="1110"/>
      <c r="I81" s="1137"/>
      <c r="J81" s="1131">
        <v>250</v>
      </c>
      <c r="K81" s="1110"/>
      <c r="L81" s="1137"/>
      <c r="M81" s="1131">
        <v>300.10000000000002</v>
      </c>
      <c r="N81" s="213"/>
      <c r="O81" s="215"/>
      <c r="P81" s="409" t="s">
        <v>177</v>
      </c>
      <c r="Q81" s="501">
        <v>100</v>
      </c>
      <c r="R81" s="465"/>
      <c r="S81" s="375"/>
      <c r="T81" s="465"/>
      <c r="U81" s="375"/>
      <c r="V81" s="143"/>
      <c r="W81" s="143"/>
    </row>
    <row r="82" spans="1:23" ht="29.25" customHeight="1" x14ac:dyDescent="0.25">
      <c r="A82" s="1409"/>
      <c r="B82" s="1371"/>
      <c r="C82" s="72"/>
      <c r="D82" s="1807"/>
      <c r="E82" s="783"/>
      <c r="F82" s="1116" t="s">
        <v>388</v>
      </c>
      <c r="G82" s="1113">
        <v>159.9</v>
      </c>
      <c r="H82" s="1114"/>
      <c r="I82" s="1115"/>
      <c r="J82" s="1117">
        <v>24</v>
      </c>
      <c r="K82" s="1114"/>
      <c r="L82" s="1115"/>
      <c r="M82" s="1117"/>
      <c r="N82" s="1400"/>
      <c r="O82" s="1426"/>
      <c r="P82" s="424" t="s">
        <v>176</v>
      </c>
      <c r="Q82" s="837">
        <v>100</v>
      </c>
      <c r="R82" s="476"/>
      <c r="S82" s="391"/>
      <c r="T82" s="476"/>
      <c r="U82" s="391"/>
      <c r="V82" s="198"/>
      <c r="W82" s="198"/>
    </row>
    <row r="83" spans="1:23" ht="17" customHeight="1" x14ac:dyDescent="0.25">
      <c r="A83" s="1409"/>
      <c r="B83" s="1396"/>
      <c r="C83" s="72"/>
      <c r="D83" s="1389"/>
      <c r="E83" s="783"/>
      <c r="F83" s="1112" t="s">
        <v>386</v>
      </c>
      <c r="G83" s="1113">
        <v>100</v>
      </c>
      <c r="H83" s="1114"/>
      <c r="I83" s="1115"/>
      <c r="J83" s="1117"/>
      <c r="K83" s="1114"/>
      <c r="L83" s="1115"/>
      <c r="M83" s="1117"/>
      <c r="N83" s="1400"/>
      <c r="O83" s="1426"/>
      <c r="P83" s="424" t="s">
        <v>319</v>
      </c>
      <c r="Q83" s="837">
        <v>100</v>
      </c>
      <c r="R83" s="476"/>
      <c r="S83" s="391"/>
      <c r="T83" s="476"/>
      <c r="U83" s="391"/>
      <c r="V83" s="198"/>
      <c r="W83" s="198"/>
    </row>
    <row r="84" spans="1:23" ht="16.5" customHeight="1" x14ac:dyDescent="0.25">
      <c r="A84" s="1409"/>
      <c r="B84" s="1396"/>
      <c r="C84" s="72"/>
      <c r="D84" s="1389"/>
      <c r="E84" s="783"/>
      <c r="F84" s="1116" t="s">
        <v>382</v>
      </c>
      <c r="G84" s="1113">
        <v>42.3</v>
      </c>
      <c r="H84" s="1114"/>
      <c r="I84" s="1115"/>
      <c r="J84" s="1117"/>
      <c r="K84" s="1114"/>
      <c r="L84" s="1115"/>
      <c r="M84" s="1117"/>
      <c r="N84" s="1400"/>
      <c r="O84" s="1426"/>
      <c r="P84" s="424" t="s">
        <v>320</v>
      </c>
      <c r="Q84" s="837">
        <v>100</v>
      </c>
      <c r="R84" s="476"/>
      <c r="S84" s="391"/>
      <c r="T84" s="476"/>
      <c r="U84" s="391"/>
      <c r="V84" s="198"/>
      <c r="W84" s="198"/>
    </row>
    <row r="85" spans="1:23" ht="18" customHeight="1" x14ac:dyDescent="0.25">
      <c r="A85" s="1409"/>
      <c r="B85" s="1396"/>
      <c r="C85" s="72"/>
      <c r="D85" s="1389"/>
      <c r="E85" s="849"/>
      <c r="F85" s="1133"/>
      <c r="G85" s="1332"/>
      <c r="H85" s="1333"/>
      <c r="I85" s="1334"/>
      <c r="J85" s="1128"/>
      <c r="K85" s="1126"/>
      <c r="L85" s="1129"/>
      <c r="M85" s="1128"/>
      <c r="N85" s="214"/>
      <c r="O85" s="44"/>
      <c r="P85" s="407" t="s">
        <v>321</v>
      </c>
      <c r="Q85" s="444">
        <v>65</v>
      </c>
      <c r="R85" s="445"/>
      <c r="S85" s="566">
        <v>100</v>
      </c>
      <c r="T85" s="445"/>
      <c r="U85" s="566"/>
      <c r="V85" s="568"/>
      <c r="W85" s="445"/>
    </row>
    <row r="86" spans="1:23" ht="16.5" customHeight="1" x14ac:dyDescent="0.25">
      <c r="A86" s="1370"/>
      <c r="B86" s="1396"/>
      <c r="C86" s="1395"/>
      <c r="D86" s="1714" t="s">
        <v>114</v>
      </c>
      <c r="E86" s="859" t="s">
        <v>41</v>
      </c>
      <c r="F86" s="1119" t="s">
        <v>381</v>
      </c>
      <c r="G86" s="1335"/>
      <c r="H86" s="1110"/>
      <c r="I86" s="1137"/>
      <c r="J86" s="1117"/>
      <c r="K86" s="1114"/>
      <c r="L86" s="1115"/>
      <c r="M86" s="1117"/>
      <c r="N86" s="1400"/>
      <c r="O86" s="1426"/>
      <c r="P86" s="1385" t="s">
        <v>40</v>
      </c>
      <c r="Q86" s="900"/>
      <c r="R86" s="967"/>
      <c r="S86" s="533"/>
      <c r="T86" s="969"/>
      <c r="U86" s="533"/>
      <c r="V86" s="137"/>
      <c r="W86" s="137"/>
    </row>
    <row r="87" spans="1:23" ht="27" customHeight="1" x14ac:dyDescent="0.25">
      <c r="A87" s="1370"/>
      <c r="B87" s="1396"/>
      <c r="C87" s="1395"/>
      <c r="D87" s="1810"/>
      <c r="E87" s="167"/>
      <c r="F87" s="1132" t="s">
        <v>386</v>
      </c>
      <c r="G87" s="1125"/>
      <c r="H87" s="1126"/>
      <c r="I87" s="1129"/>
      <c r="J87" s="1128"/>
      <c r="K87" s="1126"/>
      <c r="L87" s="1129"/>
      <c r="M87" s="1128">
        <f>1900-1400-450</f>
        <v>50</v>
      </c>
      <c r="N87" s="214"/>
      <c r="O87" s="44"/>
      <c r="P87" s="591" t="s">
        <v>257</v>
      </c>
      <c r="Q87" s="907"/>
      <c r="R87" s="462"/>
      <c r="S87" s="976"/>
      <c r="T87" s="462"/>
      <c r="U87" s="976">
        <v>1</v>
      </c>
      <c r="V87" s="909"/>
      <c r="W87" s="462"/>
    </row>
    <row r="88" spans="1:23" ht="27.75" customHeight="1" x14ac:dyDescent="0.25">
      <c r="A88" s="1370"/>
      <c r="B88" s="1396"/>
      <c r="C88" s="1395"/>
      <c r="D88" s="1714" t="s">
        <v>120</v>
      </c>
      <c r="E88" s="859" t="s">
        <v>41</v>
      </c>
      <c r="F88" s="1136" t="s">
        <v>381</v>
      </c>
      <c r="G88" s="1109">
        <v>13.3</v>
      </c>
      <c r="H88" s="1110"/>
      <c r="I88" s="1137"/>
      <c r="J88" s="1131">
        <v>3.2</v>
      </c>
      <c r="K88" s="1110"/>
      <c r="L88" s="1137"/>
      <c r="M88" s="1131">
        <v>3.2</v>
      </c>
      <c r="N88" s="213"/>
      <c r="O88" s="215"/>
      <c r="P88" s="1414" t="s">
        <v>40</v>
      </c>
      <c r="Q88" s="526">
        <v>1</v>
      </c>
      <c r="R88" s="836"/>
      <c r="S88" s="394"/>
      <c r="T88" s="836"/>
      <c r="U88" s="394"/>
      <c r="V88" s="290"/>
      <c r="W88" s="290"/>
    </row>
    <row r="89" spans="1:23" ht="27.75" customHeight="1" x14ac:dyDescent="0.25">
      <c r="A89" s="1409"/>
      <c r="B89" s="1396"/>
      <c r="C89" s="75"/>
      <c r="D89" s="1756"/>
      <c r="E89" s="1388"/>
      <c r="F89" s="1138" t="s">
        <v>390</v>
      </c>
      <c r="G89" s="1138"/>
      <c r="H89" s="1114"/>
      <c r="I89" s="1115"/>
      <c r="J89" s="1117">
        <v>45.2</v>
      </c>
      <c r="K89" s="1114"/>
      <c r="L89" s="1115"/>
      <c r="M89" s="1117">
        <v>45.1</v>
      </c>
      <c r="N89" s="1400"/>
      <c r="O89" s="1426"/>
      <c r="P89" s="2002" t="s">
        <v>259</v>
      </c>
      <c r="Q89" s="493"/>
      <c r="R89" s="532"/>
      <c r="S89" s="349">
        <v>50</v>
      </c>
      <c r="T89" s="589"/>
      <c r="U89" s="349">
        <v>100</v>
      </c>
      <c r="V89" s="141"/>
      <c r="W89" s="141"/>
    </row>
    <row r="90" spans="1:23" ht="39.75" customHeight="1" x14ac:dyDescent="0.25">
      <c r="A90" s="1409"/>
      <c r="B90" s="1396"/>
      <c r="C90" s="75"/>
      <c r="D90" s="1715"/>
      <c r="E90" s="449"/>
      <c r="F90" s="1130" t="s">
        <v>384</v>
      </c>
      <c r="G90" s="1336"/>
      <c r="H90" s="1126"/>
      <c r="I90" s="1129"/>
      <c r="J90" s="1128">
        <v>15.1</v>
      </c>
      <c r="K90" s="1126"/>
      <c r="L90" s="1129"/>
      <c r="M90" s="1128">
        <v>15</v>
      </c>
      <c r="N90" s="214"/>
      <c r="O90" s="44"/>
      <c r="P90" s="1974"/>
      <c r="Q90" s="681"/>
      <c r="R90" s="545"/>
      <c r="S90" s="947"/>
      <c r="T90" s="791"/>
      <c r="U90" s="947"/>
      <c r="V90" s="910"/>
      <c r="W90" s="791"/>
    </row>
    <row r="91" spans="1:23" ht="17.25" customHeight="1" x14ac:dyDescent="0.25">
      <c r="A91" s="1370"/>
      <c r="B91" s="1371"/>
      <c r="C91" s="72"/>
      <c r="D91" s="1805" t="s">
        <v>110</v>
      </c>
      <c r="E91" s="1811" t="s">
        <v>118</v>
      </c>
      <c r="F91" s="1119" t="s">
        <v>388</v>
      </c>
      <c r="G91" s="1113">
        <v>4.9000000000000004</v>
      </c>
      <c r="H91" s="1114"/>
      <c r="I91" s="1115"/>
      <c r="J91" s="1117"/>
      <c r="K91" s="1114"/>
      <c r="L91" s="1115"/>
      <c r="M91" s="1117"/>
      <c r="N91" s="1400"/>
      <c r="O91" s="1426"/>
      <c r="P91" s="1364" t="s">
        <v>40</v>
      </c>
      <c r="Q91" s="833">
        <v>1</v>
      </c>
      <c r="R91" s="589"/>
      <c r="S91" s="359"/>
      <c r="T91" s="563"/>
      <c r="U91" s="349"/>
      <c r="V91" s="141"/>
      <c r="W91" s="589"/>
    </row>
    <row r="92" spans="1:23" ht="18" customHeight="1" x14ac:dyDescent="0.25">
      <c r="A92" s="1370"/>
      <c r="B92" s="1371"/>
      <c r="C92" s="71"/>
      <c r="D92" s="1806"/>
      <c r="E92" s="1812"/>
      <c r="F92" s="1124"/>
      <c r="G92" s="1140"/>
      <c r="H92" s="1141"/>
      <c r="I92" s="1337"/>
      <c r="J92" s="1338"/>
      <c r="K92" s="1141"/>
      <c r="L92" s="1337"/>
      <c r="M92" s="1338"/>
      <c r="N92" s="240"/>
      <c r="O92" s="221"/>
      <c r="P92" s="407"/>
      <c r="Q92" s="681"/>
      <c r="R92" s="545"/>
      <c r="S92" s="350"/>
      <c r="T92" s="545"/>
      <c r="U92" s="350"/>
      <c r="V92" s="142"/>
      <c r="W92" s="142"/>
    </row>
    <row r="93" spans="1:23" ht="62.15" customHeight="1" x14ac:dyDescent="0.25">
      <c r="A93" s="1370"/>
      <c r="B93" s="1396"/>
      <c r="C93" s="71"/>
      <c r="D93" s="2100" t="s">
        <v>460</v>
      </c>
      <c r="E93" s="1811"/>
      <c r="F93" s="1098" t="s">
        <v>382</v>
      </c>
      <c r="G93" s="1306"/>
      <c r="H93" s="1309">
        <v>5</v>
      </c>
      <c r="I93" s="1355">
        <f>+H93-G93</f>
        <v>5</v>
      </c>
      <c r="J93" s="1305"/>
      <c r="K93" s="1303">
        <v>355</v>
      </c>
      <c r="L93" s="1310">
        <f>+K93-J93</f>
        <v>355</v>
      </c>
      <c r="M93" s="981"/>
      <c r="N93" s="299"/>
      <c r="O93" s="805"/>
      <c r="P93" s="1324" t="s">
        <v>40</v>
      </c>
      <c r="Q93" s="833"/>
      <c r="R93" s="1314">
        <v>1</v>
      </c>
      <c r="S93" s="349"/>
      <c r="T93" s="465"/>
      <c r="U93" s="501"/>
      <c r="V93" s="141"/>
      <c r="W93" s="2094" t="s">
        <v>469</v>
      </c>
    </row>
    <row r="94" spans="1:23" ht="298.5" customHeight="1" x14ac:dyDescent="0.25">
      <c r="A94" s="1370"/>
      <c r="B94" s="1396"/>
      <c r="C94" s="71"/>
      <c r="D94" s="2101"/>
      <c r="E94" s="1812"/>
      <c r="F94" s="124"/>
      <c r="G94" s="352"/>
      <c r="H94" s="240"/>
      <c r="I94" s="1062"/>
      <c r="J94" s="352"/>
      <c r="K94" s="240"/>
      <c r="L94" s="1062"/>
      <c r="M94" s="352"/>
      <c r="N94" s="240"/>
      <c r="O94" s="1062"/>
      <c r="P94" s="1325" t="s">
        <v>459</v>
      </c>
      <c r="Q94" s="444"/>
      <c r="R94" s="445"/>
      <c r="S94" s="444"/>
      <c r="T94" s="1314">
        <v>100</v>
      </c>
      <c r="U94" s="681"/>
      <c r="V94" s="545"/>
      <c r="W94" s="2102"/>
    </row>
    <row r="95" spans="1:23" ht="55.5" customHeight="1" x14ac:dyDescent="0.25">
      <c r="A95" s="1370"/>
      <c r="B95" s="1396"/>
      <c r="C95" s="71"/>
      <c r="D95" s="1373" t="s">
        <v>260</v>
      </c>
      <c r="E95" s="86"/>
      <c r="F95" s="1143" t="s">
        <v>381</v>
      </c>
      <c r="G95" s="1125"/>
      <c r="H95" s="1126"/>
      <c r="I95" s="1129"/>
      <c r="J95" s="1128">
        <v>125</v>
      </c>
      <c r="K95" s="1126"/>
      <c r="L95" s="1129"/>
      <c r="M95" s="1338"/>
      <c r="N95" s="240"/>
      <c r="O95" s="221"/>
      <c r="P95" s="407" t="s">
        <v>261</v>
      </c>
      <c r="Q95" s="833"/>
      <c r="R95" s="589"/>
      <c r="S95" s="764">
        <v>100</v>
      </c>
      <c r="T95" s="765"/>
      <c r="U95" s="349"/>
      <c r="V95" s="141"/>
      <c r="W95" s="141"/>
    </row>
    <row r="96" spans="1:23" ht="16.5" customHeight="1" x14ac:dyDescent="0.25">
      <c r="A96" s="1370"/>
      <c r="B96" s="1396"/>
      <c r="C96" s="71"/>
      <c r="D96" s="1776" t="s">
        <v>154</v>
      </c>
      <c r="E96" s="783"/>
      <c r="F96" s="1116" t="s">
        <v>381</v>
      </c>
      <c r="G96" s="1113">
        <v>28</v>
      </c>
      <c r="H96" s="1114"/>
      <c r="I96" s="1115"/>
      <c r="J96" s="1117">
        <v>28</v>
      </c>
      <c r="K96" s="1114"/>
      <c r="L96" s="1115"/>
      <c r="M96" s="1117">
        <v>28</v>
      </c>
      <c r="N96" s="1400"/>
      <c r="O96" s="1426"/>
      <c r="P96" s="1958" t="s">
        <v>83</v>
      </c>
      <c r="Q96" s="527">
        <v>100</v>
      </c>
      <c r="R96" s="563"/>
      <c r="S96" s="359">
        <v>100</v>
      </c>
      <c r="T96" s="563"/>
      <c r="U96" s="359">
        <v>100</v>
      </c>
      <c r="V96" s="140"/>
      <c r="W96" s="140"/>
    </row>
    <row r="97" spans="1:27" ht="16.5" customHeight="1" x14ac:dyDescent="0.25">
      <c r="A97" s="1370"/>
      <c r="B97" s="1396"/>
      <c r="C97" s="71"/>
      <c r="D97" s="1807"/>
      <c r="E97" s="783"/>
      <c r="F97" s="1116"/>
      <c r="G97" s="1113"/>
      <c r="H97" s="1114"/>
      <c r="I97" s="1115"/>
      <c r="J97" s="1117"/>
      <c r="K97" s="1114"/>
      <c r="L97" s="1115"/>
      <c r="M97" s="1117"/>
      <c r="N97" s="1400"/>
      <c r="O97" s="1426"/>
      <c r="P97" s="1958"/>
      <c r="Q97" s="833"/>
      <c r="R97" s="589"/>
      <c r="S97" s="349"/>
      <c r="T97" s="589"/>
      <c r="U97" s="349"/>
      <c r="V97" s="141"/>
      <c r="W97" s="141"/>
    </row>
    <row r="98" spans="1:27" s="6" customFormat="1" ht="21" customHeight="1" x14ac:dyDescent="0.25">
      <c r="A98" s="1370"/>
      <c r="B98" s="1396"/>
      <c r="C98" s="1395"/>
      <c r="D98" s="1808"/>
      <c r="E98" s="784"/>
      <c r="F98" s="789"/>
      <c r="G98" s="233"/>
      <c r="H98" s="241"/>
      <c r="I98" s="953"/>
      <c r="J98" s="952"/>
      <c r="K98" s="241"/>
      <c r="L98" s="953"/>
      <c r="M98" s="952"/>
      <c r="N98" s="241"/>
      <c r="O98" s="222"/>
      <c r="P98" s="1990"/>
      <c r="Q98" s="908"/>
      <c r="R98" s="977"/>
      <c r="S98" s="393"/>
      <c r="T98" s="977"/>
      <c r="U98" s="393"/>
      <c r="V98" s="145"/>
      <c r="W98" s="145"/>
      <c r="Y98" s="1106"/>
      <c r="Z98" s="1106"/>
      <c r="AA98" s="1106"/>
    </row>
    <row r="99" spans="1:27" ht="15.75" customHeight="1" x14ac:dyDescent="0.25">
      <c r="A99" s="1370"/>
      <c r="B99" s="1371"/>
      <c r="C99" s="72"/>
      <c r="D99" s="169" t="s">
        <v>201</v>
      </c>
      <c r="E99" s="877" t="s">
        <v>418</v>
      </c>
      <c r="F99" s="111"/>
      <c r="G99" s="234"/>
      <c r="H99" s="242"/>
      <c r="I99" s="954"/>
      <c r="J99" s="357"/>
      <c r="K99" s="242"/>
      <c r="L99" s="954"/>
      <c r="M99" s="357"/>
      <c r="N99" s="242"/>
      <c r="O99" s="146"/>
      <c r="P99" s="405"/>
      <c r="Q99" s="354"/>
      <c r="R99" s="954"/>
      <c r="S99" s="357"/>
      <c r="T99" s="954"/>
      <c r="U99" s="357"/>
      <c r="V99" s="146"/>
      <c r="W99" s="146"/>
    </row>
    <row r="100" spans="1:27" ht="15.65" customHeight="1" x14ac:dyDescent="0.25">
      <c r="A100" s="1370"/>
      <c r="B100" s="1371"/>
      <c r="C100" s="72"/>
      <c r="D100" s="492" t="s">
        <v>295</v>
      </c>
      <c r="E100" s="879"/>
      <c r="F100" s="20"/>
      <c r="G100" s="32"/>
      <c r="H100" s="1400"/>
      <c r="I100" s="1402"/>
      <c r="J100" s="504"/>
      <c r="K100" s="237"/>
      <c r="L100" s="524"/>
      <c r="M100" s="1433"/>
      <c r="N100" s="1400"/>
      <c r="O100" s="1426"/>
      <c r="P100" s="1374"/>
      <c r="Q100" s="490"/>
      <c r="R100" s="433"/>
      <c r="S100" s="505"/>
      <c r="T100" s="433"/>
      <c r="U100" s="504"/>
      <c r="V100" s="217"/>
      <c r="W100" s="433"/>
    </row>
    <row r="101" spans="1:27" ht="26.25" customHeight="1" x14ac:dyDescent="0.25">
      <c r="A101" s="1370"/>
      <c r="B101" s="1371"/>
      <c r="C101" s="72"/>
      <c r="D101" s="99" t="s">
        <v>300</v>
      </c>
      <c r="E101" s="783"/>
      <c r="F101" s="1155" t="s">
        <v>381</v>
      </c>
      <c r="G101" s="1339">
        <v>20</v>
      </c>
      <c r="H101" s="1149"/>
      <c r="I101" s="1150"/>
      <c r="J101" s="1175">
        <v>20</v>
      </c>
      <c r="K101" s="1149"/>
      <c r="L101" s="1150"/>
      <c r="M101" s="1175">
        <v>20</v>
      </c>
      <c r="N101" s="236"/>
      <c r="O101" s="217"/>
      <c r="P101" s="1374" t="s">
        <v>55</v>
      </c>
      <c r="Q101" s="1205">
        <v>2.6</v>
      </c>
      <c r="R101" s="1206">
        <v>3</v>
      </c>
      <c r="S101" s="505">
        <v>2.6</v>
      </c>
      <c r="T101" s="433"/>
      <c r="U101" s="505">
        <v>2.6</v>
      </c>
      <c r="V101" s="217"/>
      <c r="W101" s="1969" t="s">
        <v>437</v>
      </c>
    </row>
    <row r="102" spans="1:27" ht="27" customHeight="1" x14ac:dyDescent="0.25">
      <c r="A102" s="1370"/>
      <c r="B102" s="1371"/>
      <c r="C102" s="75"/>
      <c r="D102" s="51" t="s">
        <v>296</v>
      </c>
      <c r="E102" s="783"/>
      <c r="F102" s="1201" t="s">
        <v>386</v>
      </c>
      <c r="G102" s="1202">
        <v>590</v>
      </c>
      <c r="H102" s="1203">
        <f>590+100</f>
        <v>690</v>
      </c>
      <c r="I102" s="1204">
        <f>+H102-G102</f>
        <v>100</v>
      </c>
      <c r="J102" s="1433">
        <v>590</v>
      </c>
      <c r="K102" s="1400"/>
      <c r="L102" s="1402"/>
      <c r="M102" s="1433">
        <v>590</v>
      </c>
      <c r="N102" s="1400"/>
      <c r="O102" s="1426"/>
      <c r="P102" s="2005"/>
      <c r="Q102" s="1435"/>
      <c r="R102" s="1402"/>
      <c r="S102" s="1433"/>
      <c r="T102" s="1402"/>
      <c r="U102" s="1433"/>
      <c r="V102" s="1426"/>
      <c r="W102" s="1970"/>
    </row>
    <row r="103" spans="1:27" ht="15.65" customHeight="1" x14ac:dyDescent="0.25">
      <c r="A103" s="1370"/>
      <c r="B103" s="1371"/>
      <c r="C103" s="75"/>
      <c r="D103" s="773" t="s">
        <v>304</v>
      </c>
      <c r="E103" s="783"/>
      <c r="F103" s="1819"/>
      <c r="G103" s="1813"/>
      <c r="H103" s="1813"/>
      <c r="I103" s="1814"/>
      <c r="J103" s="1825"/>
      <c r="K103" s="1813"/>
      <c r="L103" s="1814"/>
      <c r="M103" s="1825"/>
      <c r="N103" s="1813"/>
      <c r="O103" s="2003"/>
      <c r="P103" s="2005"/>
      <c r="Q103" s="1982"/>
      <c r="R103" s="1814"/>
      <c r="S103" s="1825"/>
      <c r="T103" s="1814"/>
      <c r="U103" s="1825"/>
      <c r="V103" s="2003"/>
      <c r="W103" s="1970"/>
    </row>
    <row r="104" spans="1:27" ht="15.65" customHeight="1" x14ac:dyDescent="0.25">
      <c r="A104" s="1370"/>
      <c r="B104" s="1371"/>
      <c r="C104" s="75"/>
      <c r="D104" s="772" t="s">
        <v>373</v>
      </c>
      <c r="E104" s="783"/>
      <c r="F104" s="1819"/>
      <c r="G104" s="1813"/>
      <c r="H104" s="1813"/>
      <c r="I104" s="1814"/>
      <c r="J104" s="1825"/>
      <c r="K104" s="1813"/>
      <c r="L104" s="1814"/>
      <c r="M104" s="1825"/>
      <c r="N104" s="1813"/>
      <c r="O104" s="2003"/>
      <c r="P104" s="2005"/>
      <c r="Q104" s="1982"/>
      <c r="R104" s="1814"/>
      <c r="S104" s="1825"/>
      <c r="T104" s="1814"/>
      <c r="U104" s="1825"/>
      <c r="V104" s="2003"/>
      <c r="W104" s="983"/>
    </row>
    <row r="105" spans="1:27" ht="15.65" customHeight="1" x14ac:dyDescent="0.25">
      <c r="A105" s="1370"/>
      <c r="B105" s="1371"/>
      <c r="C105" s="75"/>
      <c r="D105" s="99" t="s">
        <v>374</v>
      </c>
      <c r="E105" s="783"/>
      <c r="F105" s="1819"/>
      <c r="G105" s="1813"/>
      <c r="H105" s="1813"/>
      <c r="I105" s="1814"/>
      <c r="J105" s="1825"/>
      <c r="K105" s="1813"/>
      <c r="L105" s="1814"/>
      <c r="M105" s="1825"/>
      <c r="N105" s="1813"/>
      <c r="O105" s="2003"/>
      <c r="P105" s="2005"/>
      <c r="Q105" s="1982"/>
      <c r="R105" s="1814"/>
      <c r="S105" s="1825"/>
      <c r="T105" s="1814"/>
      <c r="U105" s="1825"/>
      <c r="V105" s="2003"/>
      <c r="W105" s="983"/>
    </row>
    <row r="106" spans="1:27" ht="15.65" customHeight="1" x14ac:dyDescent="0.25">
      <c r="A106" s="1370"/>
      <c r="B106" s="1371"/>
      <c r="C106" s="75"/>
      <c r="D106" s="99" t="s">
        <v>375</v>
      </c>
      <c r="E106" s="783"/>
      <c r="F106" s="1819"/>
      <c r="G106" s="1813"/>
      <c r="H106" s="1813"/>
      <c r="I106" s="1814"/>
      <c r="J106" s="1825"/>
      <c r="K106" s="1813"/>
      <c r="L106" s="1814"/>
      <c r="M106" s="1825"/>
      <c r="N106" s="1813"/>
      <c r="O106" s="2003"/>
      <c r="P106" s="2005"/>
      <c r="Q106" s="1982"/>
      <c r="R106" s="1814"/>
      <c r="S106" s="1825"/>
      <c r="T106" s="1814"/>
      <c r="U106" s="1825"/>
      <c r="V106" s="2003"/>
      <c r="W106" s="983"/>
    </row>
    <row r="107" spans="1:27" ht="15.65" customHeight="1" x14ac:dyDescent="0.25">
      <c r="A107" s="1370"/>
      <c r="B107" s="1371"/>
      <c r="C107" s="75"/>
      <c r="D107" s="774" t="s">
        <v>301</v>
      </c>
      <c r="E107" s="783"/>
      <c r="F107" s="1819"/>
      <c r="G107" s="1813"/>
      <c r="H107" s="1813"/>
      <c r="I107" s="1814"/>
      <c r="J107" s="1825"/>
      <c r="K107" s="1813"/>
      <c r="L107" s="1814"/>
      <c r="M107" s="1825"/>
      <c r="N107" s="1813"/>
      <c r="O107" s="2003"/>
      <c r="P107" s="2005"/>
      <c r="Q107" s="1982"/>
      <c r="R107" s="1814"/>
      <c r="S107" s="1825"/>
      <c r="T107" s="1814"/>
      <c r="U107" s="1825"/>
      <c r="V107" s="2003"/>
      <c r="W107" s="983"/>
    </row>
    <row r="108" spans="1:27" ht="15.65" customHeight="1" x14ac:dyDescent="0.25">
      <c r="A108" s="1370"/>
      <c r="B108" s="1371"/>
      <c r="C108" s="75"/>
      <c r="D108" s="775" t="s">
        <v>352</v>
      </c>
      <c r="E108" s="783"/>
      <c r="F108" s="1819"/>
      <c r="G108" s="1813"/>
      <c r="H108" s="1813"/>
      <c r="I108" s="1814"/>
      <c r="J108" s="1825"/>
      <c r="K108" s="1813"/>
      <c r="L108" s="1814"/>
      <c r="M108" s="1825"/>
      <c r="N108" s="1813"/>
      <c r="O108" s="2003"/>
      <c r="P108" s="2005"/>
      <c r="Q108" s="1982"/>
      <c r="R108" s="1814"/>
      <c r="S108" s="1825"/>
      <c r="T108" s="1814"/>
      <c r="U108" s="1825"/>
      <c r="V108" s="2003"/>
      <c r="W108" s="983"/>
    </row>
    <row r="109" spans="1:27" ht="17.25" customHeight="1" x14ac:dyDescent="0.25">
      <c r="A109" s="1370"/>
      <c r="B109" s="1371"/>
      <c r="C109" s="479"/>
      <c r="D109" s="494" t="s">
        <v>376</v>
      </c>
      <c r="E109" s="783"/>
      <c r="F109" s="1819"/>
      <c r="G109" s="1813"/>
      <c r="H109" s="1813"/>
      <c r="I109" s="1814"/>
      <c r="J109" s="1825"/>
      <c r="K109" s="1813"/>
      <c r="L109" s="1814"/>
      <c r="M109" s="1825"/>
      <c r="N109" s="1813"/>
      <c r="O109" s="2003"/>
      <c r="P109" s="2005"/>
      <c r="Q109" s="1982"/>
      <c r="R109" s="1814"/>
      <c r="S109" s="1825"/>
      <c r="T109" s="1814"/>
      <c r="U109" s="1825"/>
      <c r="V109" s="2003"/>
      <c r="W109" s="983"/>
    </row>
    <row r="110" spans="1:27" ht="17.25" customHeight="1" x14ac:dyDescent="0.25">
      <c r="A110" s="1370"/>
      <c r="B110" s="1371"/>
      <c r="C110" s="455"/>
      <c r="D110" s="99" t="s">
        <v>377</v>
      </c>
      <c r="E110" s="783"/>
      <c r="F110" s="1820"/>
      <c r="G110" s="1821"/>
      <c r="H110" s="1821"/>
      <c r="I110" s="1815"/>
      <c r="J110" s="1826"/>
      <c r="K110" s="1821"/>
      <c r="L110" s="1815"/>
      <c r="M110" s="1826"/>
      <c r="N110" s="1821"/>
      <c r="O110" s="2004"/>
      <c r="P110" s="2006"/>
      <c r="Q110" s="1983"/>
      <c r="R110" s="1815"/>
      <c r="S110" s="1825"/>
      <c r="T110" s="1814"/>
      <c r="U110" s="1826"/>
      <c r="V110" s="2004"/>
      <c r="W110" s="1207"/>
    </row>
    <row r="111" spans="1:27" ht="17.25" customHeight="1" x14ac:dyDescent="0.25">
      <c r="A111" s="1370"/>
      <c r="B111" s="1371"/>
      <c r="C111" s="455"/>
      <c r="D111" s="778" t="s">
        <v>302</v>
      </c>
      <c r="E111" s="865"/>
      <c r="F111" s="1155" t="s">
        <v>386</v>
      </c>
      <c r="G111" s="1149"/>
      <c r="H111" s="1149"/>
      <c r="I111" s="1150"/>
      <c r="J111" s="1175"/>
      <c r="K111" s="1149"/>
      <c r="L111" s="1150"/>
      <c r="M111" s="1175">
        <v>100</v>
      </c>
      <c r="N111" s="1149"/>
      <c r="O111" s="1176"/>
      <c r="P111" s="1398" t="s">
        <v>353</v>
      </c>
      <c r="Q111" s="275"/>
      <c r="R111" s="476"/>
      <c r="S111" s="391"/>
      <c r="T111" s="476"/>
      <c r="U111" s="391">
        <v>5</v>
      </c>
      <c r="V111" s="568"/>
      <c r="W111" s="445"/>
    </row>
    <row r="112" spans="1:27" ht="27.65" customHeight="1" x14ac:dyDescent="0.25">
      <c r="A112" s="932"/>
      <c r="B112" s="933"/>
      <c r="C112" s="934"/>
      <c r="D112" s="1766" t="s">
        <v>70</v>
      </c>
      <c r="E112" s="1390" t="s">
        <v>418</v>
      </c>
      <c r="F112" s="1208" t="s">
        <v>386</v>
      </c>
      <c r="G112" s="1209">
        <f>516.5-25.6</f>
        <v>490.9</v>
      </c>
      <c r="H112" s="1210">
        <f>490.9+46</f>
        <v>536.9</v>
      </c>
      <c r="I112" s="1211">
        <f>+H112-G112</f>
        <v>46</v>
      </c>
      <c r="J112" s="224">
        <v>516.5</v>
      </c>
      <c r="K112" s="213"/>
      <c r="L112" s="522"/>
      <c r="M112" s="224">
        <v>516.5</v>
      </c>
      <c r="N112" s="213"/>
      <c r="O112" s="215"/>
      <c r="P112" s="1364" t="s">
        <v>137</v>
      </c>
      <c r="Q112" s="618" t="s">
        <v>303</v>
      </c>
      <c r="R112" s="619"/>
      <c r="S112" s="1430" t="s">
        <v>303</v>
      </c>
      <c r="T112" s="1394"/>
      <c r="U112" s="496" t="s">
        <v>303</v>
      </c>
      <c r="V112" s="147"/>
      <c r="W112" s="1971" t="s">
        <v>470</v>
      </c>
    </row>
    <row r="113" spans="1:23" ht="26.25" customHeight="1" x14ac:dyDescent="0.25">
      <c r="A113" s="1432"/>
      <c r="B113" s="1371"/>
      <c r="C113" s="72"/>
      <c r="D113" s="1767"/>
      <c r="E113" s="783"/>
      <c r="F113" s="1116" t="s">
        <v>381</v>
      </c>
      <c r="G113" s="1139">
        <v>665.3</v>
      </c>
      <c r="H113" s="1114"/>
      <c r="I113" s="1115"/>
      <c r="J113" s="1117">
        <v>665.3</v>
      </c>
      <c r="K113" s="1114"/>
      <c r="L113" s="1115"/>
      <c r="M113" s="1117">
        <v>665.3</v>
      </c>
      <c r="N113" s="1400"/>
      <c r="O113" s="1426"/>
      <c r="P113" s="1212" t="s">
        <v>35</v>
      </c>
      <c r="Q113" s="1213" t="s">
        <v>433</v>
      </c>
      <c r="R113" s="1214" t="s">
        <v>438</v>
      </c>
      <c r="S113" s="507" t="s">
        <v>203</v>
      </c>
      <c r="T113" s="978"/>
      <c r="U113" s="497" t="s">
        <v>203</v>
      </c>
      <c r="V113" s="136"/>
      <c r="W113" s="1972"/>
    </row>
    <row r="114" spans="1:23" ht="28.5" customHeight="1" x14ac:dyDescent="0.25">
      <c r="A114" s="1432"/>
      <c r="B114" s="1371"/>
      <c r="C114" s="72"/>
      <c r="D114" s="1767"/>
      <c r="E114" s="849"/>
      <c r="F114" s="124"/>
      <c r="G114" s="1435"/>
      <c r="H114" s="1400"/>
      <c r="I114" s="1402"/>
      <c r="J114" s="1433"/>
      <c r="K114" s="1400"/>
      <c r="L114" s="1402"/>
      <c r="M114" s="1433"/>
      <c r="N114" s="1400"/>
      <c r="O114" s="1426"/>
      <c r="P114" s="406" t="s">
        <v>54</v>
      </c>
      <c r="Q114" s="498" t="s">
        <v>132</v>
      </c>
      <c r="R114" s="703"/>
      <c r="S114" s="507" t="s">
        <v>132</v>
      </c>
      <c r="T114" s="978"/>
      <c r="U114" s="497" t="s">
        <v>132</v>
      </c>
      <c r="V114" s="136"/>
      <c r="W114" s="1973"/>
    </row>
    <row r="115" spans="1:23" ht="23.15" customHeight="1" x14ac:dyDescent="0.25">
      <c r="A115" s="1998"/>
      <c r="B115" s="1790"/>
      <c r="C115" s="1755"/>
      <c r="D115" s="1714" t="s">
        <v>44</v>
      </c>
      <c r="E115" s="1391" t="s">
        <v>418</v>
      </c>
      <c r="F115" s="1201" t="s">
        <v>381</v>
      </c>
      <c r="G115" s="1209">
        <v>400</v>
      </c>
      <c r="H115" s="1210">
        <f>400-13.7</f>
        <v>386.3</v>
      </c>
      <c r="I115" s="1211">
        <f>+H115-G115</f>
        <v>-13.7</v>
      </c>
      <c r="J115" s="224">
        <v>400</v>
      </c>
      <c r="K115" s="213"/>
      <c r="L115" s="522"/>
      <c r="M115" s="224">
        <v>700</v>
      </c>
      <c r="N115" s="213"/>
      <c r="O115" s="215"/>
      <c r="P115" s="2103" t="s">
        <v>134</v>
      </c>
      <c r="Q115" s="1215" t="s">
        <v>344</v>
      </c>
      <c r="R115" s="1216" t="s">
        <v>439</v>
      </c>
      <c r="S115" s="496" t="s">
        <v>344</v>
      </c>
      <c r="T115" s="619"/>
      <c r="U115" s="496" t="s">
        <v>202</v>
      </c>
      <c r="V115" s="147"/>
      <c r="W115" s="1971" t="s">
        <v>471</v>
      </c>
    </row>
    <row r="116" spans="1:23" ht="23.15" customHeight="1" x14ac:dyDescent="0.25">
      <c r="A116" s="1998"/>
      <c r="B116" s="1790"/>
      <c r="C116" s="1755"/>
      <c r="D116" s="1715"/>
      <c r="E116" s="784"/>
      <c r="F116" s="85"/>
      <c r="G116" s="355"/>
      <c r="H116" s="243"/>
      <c r="I116" s="1063"/>
      <c r="J116" s="1064"/>
      <c r="K116" s="243"/>
      <c r="L116" s="1063"/>
      <c r="M116" s="1064"/>
      <c r="N116" s="243"/>
      <c r="O116" s="223"/>
      <c r="P116" s="2104"/>
      <c r="Q116" s="1217"/>
      <c r="R116" s="1218"/>
      <c r="S116" s="202"/>
      <c r="T116" s="456"/>
      <c r="U116" s="202"/>
      <c r="V116" s="44"/>
      <c r="W116" s="1973"/>
    </row>
    <row r="117" spans="1:23" ht="46.5" customHeight="1" x14ac:dyDescent="0.25">
      <c r="A117" s="1998"/>
      <c r="B117" s="1790"/>
      <c r="C117" s="1755"/>
      <c r="D117" s="1823" t="s">
        <v>127</v>
      </c>
      <c r="E117" s="1391" t="s">
        <v>418</v>
      </c>
      <c r="F117" s="1219" t="s">
        <v>386</v>
      </c>
      <c r="G117" s="1209">
        <v>404</v>
      </c>
      <c r="H117" s="1210">
        <f>404+170</f>
        <v>574</v>
      </c>
      <c r="I117" s="1211">
        <f>+H117-G117</f>
        <v>170</v>
      </c>
      <c r="J117" s="224">
        <v>404</v>
      </c>
      <c r="K117" s="213"/>
      <c r="L117" s="522"/>
      <c r="M117" s="224">
        <v>404</v>
      </c>
      <c r="N117" s="213"/>
      <c r="O117" s="215"/>
      <c r="P117" s="1374" t="s">
        <v>138</v>
      </c>
      <c r="Q117" s="901" t="s">
        <v>346</v>
      </c>
      <c r="R117" s="970"/>
      <c r="S117" s="497" t="s">
        <v>345</v>
      </c>
      <c r="T117" s="703"/>
      <c r="U117" s="496" t="s">
        <v>345</v>
      </c>
      <c r="V117" s="147"/>
      <c r="W117" s="1971" t="s">
        <v>472</v>
      </c>
    </row>
    <row r="118" spans="1:23" ht="46.5" customHeight="1" x14ac:dyDescent="0.25">
      <c r="A118" s="1998"/>
      <c r="B118" s="1790"/>
      <c r="C118" s="1755"/>
      <c r="D118" s="1824"/>
      <c r="E118" s="882"/>
      <c r="F118" s="1133" t="s">
        <v>381</v>
      </c>
      <c r="G118" s="1139">
        <f>190-80+64.1+26</f>
        <v>200.1</v>
      </c>
      <c r="H118" s="1114"/>
      <c r="I118" s="1115"/>
      <c r="J118" s="1117">
        <v>190</v>
      </c>
      <c r="K118" s="1114"/>
      <c r="L118" s="1115"/>
      <c r="M118" s="1117">
        <v>190</v>
      </c>
      <c r="N118" s="1400"/>
      <c r="O118" s="1426"/>
      <c r="P118" s="1212" t="s">
        <v>135</v>
      </c>
      <c r="Q118" s="1220" t="s">
        <v>234</v>
      </c>
      <c r="R118" s="1221" t="s">
        <v>440</v>
      </c>
      <c r="S118" s="510" t="s">
        <v>46</v>
      </c>
      <c r="T118" s="970"/>
      <c r="U118" s="560" t="s">
        <v>46</v>
      </c>
      <c r="V118" s="610"/>
      <c r="W118" s="1973"/>
    </row>
    <row r="119" spans="1:23" ht="15.75" customHeight="1" x14ac:dyDescent="0.25">
      <c r="A119" s="1432"/>
      <c r="B119" s="1371"/>
      <c r="C119" s="1395"/>
      <c r="D119" s="1822" t="s">
        <v>406</v>
      </c>
      <c r="E119" s="783"/>
      <c r="F119" s="1119" t="s">
        <v>381</v>
      </c>
      <c r="G119" s="1135">
        <v>40</v>
      </c>
      <c r="H119" s="1110"/>
      <c r="I119" s="1137"/>
      <c r="J119" s="1131">
        <v>396</v>
      </c>
      <c r="K119" s="1110"/>
      <c r="L119" s="1137"/>
      <c r="M119" s="1131">
        <v>543</v>
      </c>
      <c r="N119" s="213"/>
      <c r="O119" s="215"/>
      <c r="P119" s="1957" t="s">
        <v>89</v>
      </c>
      <c r="Q119" s="527">
        <v>1</v>
      </c>
      <c r="R119" s="563"/>
      <c r="S119" s="359">
        <v>6</v>
      </c>
      <c r="T119" s="563"/>
      <c r="U119" s="359">
        <v>4</v>
      </c>
      <c r="V119" s="140"/>
      <c r="W119" s="140"/>
    </row>
    <row r="120" spans="1:23" ht="16.5" customHeight="1" x14ac:dyDescent="0.25">
      <c r="A120" s="1432"/>
      <c r="B120" s="1371"/>
      <c r="C120" s="1395"/>
      <c r="D120" s="1822"/>
      <c r="E120" s="783"/>
      <c r="F120" s="1124"/>
      <c r="G120" s="1157"/>
      <c r="H120" s="1126"/>
      <c r="I120" s="1129"/>
      <c r="J120" s="1128"/>
      <c r="K120" s="1126"/>
      <c r="L120" s="1129"/>
      <c r="M120" s="1128"/>
      <c r="N120" s="214"/>
      <c r="O120" s="44"/>
      <c r="P120" s="2001"/>
      <c r="Q120" s="681"/>
      <c r="R120" s="545"/>
      <c r="S120" s="350"/>
      <c r="T120" s="545"/>
      <c r="U120" s="350"/>
      <c r="V120" s="142"/>
      <c r="W120" s="142"/>
    </row>
    <row r="121" spans="1:23" ht="15" customHeight="1" x14ac:dyDescent="0.25">
      <c r="A121" s="935"/>
      <c r="B121" s="1371"/>
      <c r="C121" s="75"/>
      <c r="D121" s="1714" t="s">
        <v>34</v>
      </c>
      <c r="E121" s="782"/>
      <c r="F121" s="1156" t="s">
        <v>386</v>
      </c>
      <c r="G121" s="1139">
        <v>110</v>
      </c>
      <c r="H121" s="1114"/>
      <c r="I121" s="1115"/>
      <c r="J121" s="1117">
        <v>110</v>
      </c>
      <c r="K121" s="1114"/>
      <c r="L121" s="1115"/>
      <c r="M121" s="1117">
        <v>110</v>
      </c>
      <c r="N121" s="1114"/>
      <c r="O121" s="1426"/>
      <c r="P121" s="1957" t="s">
        <v>126</v>
      </c>
      <c r="Q121" s="527">
        <v>15</v>
      </c>
      <c r="R121" s="563"/>
      <c r="S121" s="359">
        <v>15</v>
      </c>
      <c r="T121" s="563"/>
      <c r="U121" s="359">
        <v>15</v>
      </c>
      <c r="V121" s="140"/>
      <c r="W121" s="140"/>
    </row>
    <row r="122" spans="1:23" ht="16.5" customHeight="1" x14ac:dyDescent="0.25">
      <c r="A122" s="935"/>
      <c r="B122" s="1371"/>
      <c r="C122" s="75"/>
      <c r="D122" s="1756"/>
      <c r="E122" s="783"/>
      <c r="F122" s="1116" t="s">
        <v>381</v>
      </c>
      <c r="G122" s="1157">
        <v>83.4</v>
      </c>
      <c r="H122" s="1126"/>
      <c r="I122" s="1129"/>
      <c r="J122" s="1117">
        <v>83.4</v>
      </c>
      <c r="K122" s="1114"/>
      <c r="L122" s="1115"/>
      <c r="M122" s="1117">
        <v>83.4</v>
      </c>
      <c r="N122" s="1114"/>
      <c r="O122" s="1426"/>
      <c r="P122" s="2001"/>
      <c r="Q122" s="681"/>
      <c r="R122" s="545"/>
      <c r="S122" s="350"/>
      <c r="T122" s="545"/>
      <c r="U122" s="350"/>
      <c r="V122" s="142"/>
      <c r="W122" s="142"/>
    </row>
    <row r="123" spans="1:23" ht="28.5" customHeight="1" x14ac:dyDescent="0.25">
      <c r="A123" s="935"/>
      <c r="B123" s="1371"/>
      <c r="C123" s="1395"/>
      <c r="D123" s="1714" t="s">
        <v>434</v>
      </c>
      <c r="E123" s="92" t="s">
        <v>41</v>
      </c>
      <c r="F123" s="1222" t="s">
        <v>386</v>
      </c>
      <c r="G123" s="1223">
        <v>22.1</v>
      </c>
      <c r="H123" s="1203">
        <f>22.1+11.5</f>
        <v>33.6</v>
      </c>
      <c r="I123" s="1204">
        <f>+H123-G123</f>
        <v>11.5</v>
      </c>
      <c r="J123" s="224"/>
      <c r="K123" s="213"/>
      <c r="L123" s="522"/>
      <c r="M123" s="224"/>
      <c r="N123" s="213"/>
      <c r="O123" s="215"/>
      <c r="P123" s="1381" t="s">
        <v>123</v>
      </c>
      <c r="Q123" s="501">
        <v>100</v>
      </c>
      <c r="R123" s="465"/>
      <c r="S123" s="349"/>
      <c r="T123" s="465"/>
      <c r="U123" s="501"/>
      <c r="V123" s="465"/>
      <c r="W123" s="1954" t="s">
        <v>482</v>
      </c>
    </row>
    <row r="124" spans="1:23" ht="91" customHeight="1" x14ac:dyDescent="0.25">
      <c r="A124" s="935"/>
      <c r="B124" s="1396"/>
      <c r="C124" s="1395"/>
      <c r="D124" s="1715"/>
      <c r="E124" s="847"/>
      <c r="F124" s="1124" t="s">
        <v>381</v>
      </c>
      <c r="G124" s="1139">
        <v>13.7</v>
      </c>
      <c r="H124" s="1114"/>
      <c r="I124" s="1115"/>
      <c r="J124" s="1157"/>
      <c r="K124" s="1400"/>
      <c r="L124" s="1402"/>
      <c r="M124" s="38"/>
      <c r="N124" s="1400"/>
      <c r="O124" s="456"/>
      <c r="P124" s="1451" t="s">
        <v>40</v>
      </c>
      <c r="Q124" s="1313"/>
      <c r="R124" s="1314">
        <v>1</v>
      </c>
      <c r="S124" s="444"/>
      <c r="T124" s="589"/>
      <c r="U124" s="833"/>
      <c r="V124" s="589"/>
      <c r="W124" s="1956"/>
    </row>
    <row r="125" spans="1:23" ht="13.5" customHeight="1" x14ac:dyDescent="0.25">
      <c r="A125" s="935"/>
      <c r="B125" s="1396"/>
      <c r="C125" s="71"/>
      <c r="D125" s="1714" t="s">
        <v>229</v>
      </c>
      <c r="E125" s="92" t="s">
        <v>41</v>
      </c>
      <c r="F125" s="1136" t="s">
        <v>381</v>
      </c>
      <c r="G125" s="1135">
        <f>300-150</f>
        <v>150</v>
      </c>
      <c r="H125" s="1110"/>
      <c r="I125" s="1137"/>
      <c r="J125" s="1131">
        <f>128+150</f>
        <v>278</v>
      </c>
      <c r="K125" s="213"/>
      <c r="L125" s="522"/>
      <c r="M125" s="224"/>
      <c r="N125" s="213"/>
      <c r="O125" s="215"/>
      <c r="P125" s="1979" t="s">
        <v>163</v>
      </c>
      <c r="Q125" s="527">
        <v>35</v>
      </c>
      <c r="R125" s="563"/>
      <c r="S125" s="527">
        <v>100</v>
      </c>
      <c r="T125" s="563"/>
      <c r="U125" s="527"/>
      <c r="V125" s="563"/>
      <c r="W125" s="141"/>
    </row>
    <row r="126" spans="1:23" ht="15" customHeight="1" x14ac:dyDescent="0.25">
      <c r="A126" s="935"/>
      <c r="B126" s="1396"/>
      <c r="C126" s="71"/>
      <c r="D126" s="1715"/>
      <c r="E126" s="168"/>
      <c r="F126" s="1130"/>
      <c r="G126" s="1157"/>
      <c r="H126" s="1126"/>
      <c r="I126" s="1129"/>
      <c r="J126" s="1128"/>
      <c r="K126" s="214"/>
      <c r="L126" s="456"/>
      <c r="M126" s="202"/>
      <c r="N126" s="214"/>
      <c r="O126" s="44"/>
      <c r="P126" s="1981"/>
      <c r="Q126" s="681"/>
      <c r="R126" s="545"/>
      <c r="S126" s="350"/>
      <c r="T126" s="545"/>
      <c r="U126" s="350"/>
      <c r="V126" s="142"/>
      <c r="W126" s="545"/>
    </row>
    <row r="127" spans="1:23" ht="15.75" customHeight="1" x14ac:dyDescent="0.25">
      <c r="A127" s="935"/>
      <c r="B127" s="1371"/>
      <c r="C127" s="1395"/>
      <c r="D127" s="1376" t="s">
        <v>147</v>
      </c>
      <c r="E127" s="92" t="s">
        <v>41</v>
      </c>
      <c r="F127" s="1158"/>
      <c r="G127" s="1340"/>
      <c r="H127" s="1341"/>
      <c r="I127" s="1342"/>
      <c r="J127" s="1175"/>
      <c r="K127" s="236"/>
      <c r="L127" s="433"/>
      <c r="M127" s="224"/>
      <c r="N127" s="213"/>
      <c r="O127" s="90"/>
      <c r="P127" s="401"/>
      <c r="Q127" s="525"/>
      <c r="R127" s="476"/>
      <c r="S127" s="391"/>
      <c r="T127" s="476"/>
      <c r="U127" s="391"/>
      <c r="V127" s="198"/>
      <c r="W127" s="198"/>
    </row>
    <row r="128" spans="1:23" ht="15.75" customHeight="1" x14ac:dyDescent="0.25">
      <c r="A128" s="935"/>
      <c r="B128" s="1371"/>
      <c r="C128" s="1395"/>
      <c r="D128" s="77" t="s">
        <v>436</v>
      </c>
      <c r="E128" s="554"/>
      <c r="F128" s="1161" t="s">
        <v>386</v>
      </c>
      <c r="G128" s="1139">
        <v>1.7</v>
      </c>
      <c r="H128" s="1122"/>
      <c r="I128" s="1162"/>
      <c r="J128" s="1175"/>
      <c r="K128" s="236"/>
      <c r="L128" s="433"/>
      <c r="M128" s="340"/>
      <c r="N128" s="237"/>
      <c r="O128" s="90"/>
      <c r="P128" s="401" t="s">
        <v>40</v>
      </c>
      <c r="Q128" s="395">
        <v>3</v>
      </c>
      <c r="R128" s="476"/>
      <c r="S128" s="391"/>
      <c r="T128" s="476"/>
      <c r="U128" s="391"/>
      <c r="V128" s="198"/>
      <c r="W128" s="198"/>
    </row>
    <row r="129" spans="1:29" ht="79.5" customHeight="1" x14ac:dyDescent="0.25">
      <c r="A129" s="935"/>
      <c r="B129" s="1371"/>
      <c r="C129" s="1395"/>
      <c r="D129" s="1229" t="s">
        <v>441</v>
      </c>
      <c r="E129" s="554"/>
      <c r="F129" s="1230" t="s">
        <v>386</v>
      </c>
      <c r="G129" s="1236"/>
      <c r="H129" s="1234">
        <v>10</v>
      </c>
      <c r="I129" s="1204">
        <f>+H129-G129</f>
        <v>10</v>
      </c>
      <c r="J129" s="1232"/>
      <c r="K129" s="1225"/>
      <c r="L129" s="1206"/>
      <c r="M129" s="1233"/>
      <c r="N129" s="1234"/>
      <c r="O129" s="1235"/>
      <c r="P129" s="1237" t="s">
        <v>442</v>
      </c>
      <c r="Q129" s="395"/>
      <c r="R129" s="1238">
        <v>100</v>
      </c>
      <c r="S129" s="391"/>
      <c r="T129" s="476"/>
      <c r="U129" s="391"/>
      <c r="V129" s="198"/>
      <c r="W129" s="1445" t="s">
        <v>443</v>
      </c>
      <c r="X129" s="2085" t="s">
        <v>473</v>
      </c>
      <c r="Y129" s="2105"/>
      <c r="Z129" s="2105"/>
      <c r="AA129" s="2105"/>
      <c r="AB129" s="2105"/>
      <c r="AC129" s="2105"/>
    </row>
    <row r="130" spans="1:29" ht="26.25" customHeight="1" x14ac:dyDescent="0.25">
      <c r="A130" s="1437"/>
      <c r="B130" s="1380"/>
      <c r="C130" s="1372"/>
      <c r="D130" s="91" t="s">
        <v>305</v>
      </c>
      <c r="E130" s="1829"/>
      <c r="F130" s="1161" t="s">
        <v>386</v>
      </c>
      <c r="G130" s="1200"/>
      <c r="H130" s="1117"/>
      <c r="I130" s="1162"/>
      <c r="J130" s="1175">
        <v>96.8</v>
      </c>
      <c r="K130" s="1149"/>
      <c r="L130" s="1150"/>
      <c r="M130" s="1343"/>
      <c r="N130" s="1122"/>
      <c r="O130" s="218"/>
      <c r="P130" s="401" t="s">
        <v>350</v>
      </c>
      <c r="Q130" s="713"/>
      <c r="R130" s="714"/>
      <c r="S130" s="979">
        <v>100</v>
      </c>
      <c r="T130" s="714"/>
      <c r="U130" s="539"/>
      <c r="V130" s="139"/>
      <c r="W130" s="561"/>
    </row>
    <row r="131" spans="1:29" ht="27.5" customHeight="1" x14ac:dyDescent="0.25">
      <c r="A131" s="1437"/>
      <c r="B131" s="1380"/>
      <c r="C131" s="1372"/>
      <c r="D131" s="91" t="s">
        <v>306</v>
      </c>
      <c r="E131" s="1829"/>
      <c r="F131" s="1158" t="s">
        <v>386</v>
      </c>
      <c r="G131" s="1163"/>
      <c r="H131" s="1344"/>
      <c r="I131" s="1345"/>
      <c r="J131" s="1346"/>
      <c r="K131" s="1164"/>
      <c r="L131" s="1347"/>
      <c r="M131" s="1117">
        <v>151.30000000000001</v>
      </c>
      <c r="N131" s="1114"/>
      <c r="O131" s="32"/>
      <c r="P131" s="401" t="s">
        <v>351</v>
      </c>
      <c r="Q131" s="328"/>
      <c r="R131" s="967"/>
      <c r="S131" s="976"/>
      <c r="T131" s="462"/>
      <c r="U131" s="976">
        <v>100</v>
      </c>
      <c r="V131" s="909"/>
      <c r="W131" s="462"/>
    </row>
    <row r="132" spans="1:29" ht="30" customHeight="1" x14ac:dyDescent="0.25">
      <c r="A132" s="935"/>
      <c r="B132" s="1396"/>
      <c r="C132" s="71"/>
      <c r="D132" s="1714" t="s">
        <v>164</v>
      </c>
      <c r="E132" s="1412" t="s">
        <v>41</v>
      </c>
      <c r="F132" s="1136" t="s">
        <v>386</v>
      </c>
      <c r="G132" s="1139">
        <v>3.5</v>
      </c>
      <c r="H132" s="1117"/>
      <c r="I132" s="1115"/>
      <c r="J132" s="1135"/>
      <c r="K132" s="1110"/>
      <c r="L132" s="1137"/>
      <c r="M132" s="1131">
        <v>100</v>
      </c>
      <c r="N132" s="1110"/>
      <c r="O132" s="215"/>
      <c r="P132" s="1381" t="s">
        <v>262</v>
      </c>
      <c r="Q132" s="527"/>
      <c r="R132" s="563"/>
      <c r="S132" s="501"/>
      <c r="T132" s="589"/>
      <c r="U132" s="501">
        <v>5</v>
      </c>
      <c r="V132" s="465"/>
      <c r="W132" s="141"/>
    </row>
    <row r="133" spans="1:29" ht="30" customHeight="1" x14ac:dyDescent="0.25">
      <c r="A133" s="935"/>
      <c r="B133" s="1396"/>
      <c r="C133" s="71"/>
      <c r="D133" s="1715"/>
      <c r="E133" s="554"/>
      <c r="F133" s="1130"/>
      <c r="G133" s="1157"/>
      <c r="H133" s="1126"/>
      <c r="I133" s="1129"/>
      <c r="J133" s="1117"/>
      <c r="K133" s="1126"/>
      <c r="L133" s="1129"/>
      <c r="M133" s="1157"/>
      <c r="N133" s="1114"/>
      <c r="O133" s="456"/>
      <c r="P133" s="461" t="s">
        <v>63</v>
      </c>
      <c r="Q133" s="444">
        <v>1</v>
      </c>
      <c r="R133" s="445"/>
      <c r="S133" s="349"/>
      <c r="T133" s="445"/>
      <c r="U133" s="349"/>
      <c r="V133" s="141"/>
      <c r="W133" s="1099"/>
    </row>
    <row r="134" spans="1:29" ht="14.25" customHeight="1" x14ac:dyDescent="0.25">
      <c r="A134" s="935"/>
      <c r="B134" s="1396"/>
      <c r="C134" s="71"/>
      <c r="D134" s="1714" t="s">
        <v>165</v>
      </c>
      <c r="E134" s="92"/>
      <c r="F134" s="1136" t="s">
        <v>386</v>
      </c>
      <c r="G134" s="1135">
        <v>5.3</v>
      </c>
      <c r="H134" s="1131"/>
      <c r="I134" s="1137"/>
      <c r="J134" s="1131">
        <v>5.3</v>
      </c>
      <c r="K134" s="1110"/>
      <c r="L134" s="1137"/>
      <c r="M134" s="1131">
        <v>5.3</v>
      </c>
      <c r="N134" s="1110"/>
      <c r="O134" s="215"/>
      <c r="P134" s="1381" t="s">
        <v>166</v>
      </c>
      <c r="Q134" s="911">
        <v>10</v>
      </c>
      <c r="R134" s="980"/>
      <c r="S134" s="503">
        <v>10</v>
      </c>
      <c r="T134" s="980"/>
      <c r="U134" s="503">
        <v>10</v>
      </c>
      <c r="V134" s="323"/>
      <c r="W134" s="323"/>
    </row>
    <row r="135" spans="1:29" ht="15" customHeight="1" x14ac:dyDescent="0.25">
      <c r="A135" s="935"/>
      <c r="B135" s="1396"/>
      <c r="C135" s="71"/>
      <c r="D135" s="1715"/>
      <c r="E135" s="168"/>
      <c r="F135" s="1130"/>
      <c r="G135" s="1157"/>
      <c r="H135" s="1128"/>
      <c r="I135" s="1129"/>
      <c r="J135" s="1128"/>
      <c r="K135" s="1126"/>
      <c r="L135" s="1129"/>
      <c r="M135" s="1128"/>
      <c r="N135" s="1126"/>
      <c r="O135" s="44"/>
      <c r="P135" s="399"/>
      <c r="Q135" s="681"/>
      <c r="R135" s="545"/>
      <c r="S135" s="350"/>
      <c r="T135" s="545"/>
      <c r="U135" s="350"/>
      <c r="V135" s="142"/>
      <c r="W135" s="142"/>
    </row>
    <row r="136" spans="1:29" ht="15" customHeight="1" x14ac:dyDescent="0.25">
      <c r="A136" s="935"/>
      <c r="B136" s="1396"/>
      <c r="C136" s="71"/>
      <c r="D136" s="1714" t="s">
        <v>323</v>
      </c>
      <c r="E136" s="92" t="s">
        <v>41</v>
      </c>
      <c r="F136" s="1165" t="s">
        <v>381</v>
      </c>
      <c r="G136" s="1139"/>
      <c r="H136" s="1117"/>
      <c r="I136" s="1115"/>
      <c r="J136" s="1117">
        <v>100</v>
      </c>
      <c r="K136" s="1114"/>
      <c r="L136" s="1115"/>
      <c r="M136" s="1117">
        <v>200</v>
      </c>
      <c r="N136" s="1114"/>
      <c r="O136" s="1426"/>
      <c r="P136" s="402" t="s">
        <v>324</v>
      </c>
      <c r="Q136" s="833"/>
      <c r="R136" s="589"/>
      <c r="S136" s="349">
        <v>10</v>
      </c>
      <c r="T136" s="589"/>
      <c r="U136" s="349">
        <v>40</v>
      </c>
      <c r="V136" s="141"/>
      <c r="W136" s="141"/>
    </row>
    <row r="137" spans="1:29" ht="15" customHeight="1" x14ac:dyDescent="0.25">
      <c r="A137" s="935"/>
      <c r="B137" s="1396"/>
      <c r="C137" s="71"/>
      <c r="D137" s="1756"/>
      <c r="E137" s="554"/>
      <c r="F137" s="1112" t="s">
        <v>386</v>
      </c>
      <c r="G137" s="1139"/>
      <c r="H137" s="1117"/>
      <c r="I137" s="1115"/>
      <c r="J137" s="1117">
        <v>100</v>
      </c>
      <c r="K137" s="1114"/>
      <c r="L137" s="1115"/>
      <c r="M137" s="1117">
        <v>300</v>
      </c>
      <c r="N137" s="1114"/>
      <c r="O137" s="1426"/>
      <c r="P137" s="408"/>
      <c r="Q137" s="833"/>
      <c r="R137" s="589"/>
      <c r="S137" s="349"/>
      <c r="T137" s="589"/>
      <c r="U137" s="349"/>
      <c r="V137" s="141"/>
      <c r="W137" s="141"/>
    </row>
    <row r="138" spans="1:29" ht="15" customHeight="1" x14ac:dyDescent="0.25">
      <c r="A138" s="935"/>
      <c r="B138" s="1396"/>
      <c r="C138" s="71"/>
      <c r="D138" s="1715"/>
      <c r="E138" s="1397"/>
      <c r="F138" s="1132"/>
      <c r="G138" s="1157"/>
      <c r="H138" s="1128"/>
      <c r="I138" s="1129"/>
      <c r="J138" s="1128"/>
      <c r="K138" s="1126"/>
      <c r="L138" s="1129"/>
      <c r="M138" s="1117"/>
      <c r="N138" s="1114"/>
      <c r="O138" s="1426"/>
      <c r="P138" s="399"/>
      <c r="Q138" s="681"/>
      <c r="R138" s="545"/>
      <c r="S138" s="350"/>
      <c r="T138" s="545"/>
      <c r="U138" s="350"/>
      <c r="V138" s="142"/>
      <c r="W138" s="545"/>
    </row>
    <row r="139" spans="1:29" ht="15" customHeight="1" x14ac:dyDescent="0.25">
      <c r="A139" s="935"/>
      <c r="B139" s="1396"/>
      <c r="C139" s="71"/>
      <c r="D139" s="1714" t="s">
        <v>325</v>
      </c>
      <c r="E139" s="92" t="s">
        <v>41</v>
      </c>
      <c r="F139" s="1136" t="s">
        <v>381</v>
      </c>
      <c r="G139" s="1139"/>
      <c r="H139" s="1117"/>
      <c r="I139" s="1115"/>
      <c r="J139" s="1117">
        <f>50-20</f>
        <v>30</v>
      </c>
      <c r="K139" s="1114"/>
      <c r="L139" s="1115"/>
      <c r="M139" s="1131">
        <v>50</v>
      </c>
      <c r="N139" s="1110"/>
      <c r="O139" s="215"/>
      <c r="P139" s="593" t="s">
        <v>63</v>
      </c>
      <c r="Q139" s="501"/>
      <c r="R139" s="465"/>
      <c r="S139" s="349"/>
      <c r="T139" s="589"/>
      <c r="U139" s="349">
        <v>1</v>
      </c>
      <c r="V139" s="141"/>
      <c r="W139" s="141"/>
    </row>
    <row r="140" spans="1:29" ht="15" customHeight="1" x14ac:dyDescent="0.25">
      <c r="A140" s="935"/>
      <c r="B140" s="1396"/>
      <c r="C140" s="71"/>
      <c r="D140" s="1756"/>
      <c r="E140" s="554"/>
      <c r="F140" s="1112"/>
      <c r="G140" s="1139"/>
      <c r="H140" s="1117"/>
      <c r="I140" s="1115"/>
      <c r="J140" s="1117"/>
      <c r="K140" s="1114"/>
      <c r="L140" s="1115"/>
      <c r="M140" s="1117"/>
      <c r="N140" s="1114"/>
      <c r="O140" s="1426"/>
      <c r="P140" s="398" t="s">
        <v>324</v>
      </c>
      <c r="Q140" s="833"/>
      <c r="R140" s="589"/>
      <c r="S140" s="391"/>
      <c r="T140" s="476"/>
      <c r="U140" s="391">
        <v>100</v>
      </c>
      <c r="V140" s="198"/>
      <c r="W140" s="476"/>
    </row>
    <row r="141" spans="1:29" ht="15" customHeight="1" x14ac:dyDescent="0.25">
      <c r="A141" s="935"/>
      <c r="B141" s="1396"/>
      <c r="C141" s="71"/>
      <c r="D141" s="1715"/>
      <c r="E141" s="554"/>
      <c r="F141" s="1132"/>
      <c r="G141" s="1157"/>
      <c r="H141" s="1128"/>
      <c r="I141" s="1129"/>
      <c r="J141" s="1128"/>
      <c r="K141" s="1126"/>
      <c r="L141" s="1129"/>
      <c r="M141" s="1128"/>
      <c r="N141" s="1126"/>
      <c r="O141" s="44"/>
      <c r="P141" s="399"/>
      <c r="Q141" s="681"/>
      <c r="R141" s="545"/>
      <c r="S141" s="350"/>
      <c r="T141" s="545"/>
      <c r="U141" s="350"/>
      <c r="V141" s="142"/>
      <c r="W141" s="142"/>
    </row>
    <row r="142" spans="1:29" ht="15" customHeight="1" x14ac:dyDescent="0.25">
      <c r="A142" s="935"/>
      <c r="B142" s="1396"/>
      <c r="C142" s="71"/>
      <c r="D142" s="1714" t="s">
        <v>358</v>
      </c>
      <c r="E142" s="92" t="s">
        <v>41</v>
      </c>
      <c r="F142" s="1165" t="s">
        <v>381</v>
      </c>
      <c r="G142" s="1139">
        <v>5</v>
      </c>
      <c r="H142" s="1117"/>
      <c r="I142" s="1137"/>
      <c r="J142" s="1117">
        <v>37.799999999999997</v>
      </c>
      <c r="K142" s="1114"/>
      <c r="L142" s="1137"/>
      <c r="M142" s="1131">
        <v>357.2</v>
      </c>
      <c r="N142" s="1110"/>
      <c r="O142" s="215"/>
      <c r="P142" s="398" t="s">
        <v>63</v>
      </c>
      <c r="Q142" s="833"/>
      <c r="R142" s="563"/>
      <c r="S142" s="375">
        <v>1</v>
      </c>
      <c r="T142" s="465"/>
      <c r="U142" s="375"/>
      <c r="V142" s="143"/>
      <c r="W142" s="465"/>
    </row>
    <row r="143" spans="1:29" ht="15.75" customHeight="1" x14ac:dyDescent="0.25">
      <c r="A143" s="935"/>
      <c r="B143" s="1396"/>
      <c r="C143" s="71"/>
      <c r="D143" s="1756"/>
      <c r="E143" s="554"/>
      <c r="F143" s="1112"/>
      <c r="G143" s="1139"/>
      <c r="H143" s="1117"/>
      <c r="I143" s="1115"/>
      <c r="J143" s="1117"/>
      <c r="K143" s="1114"/>
      <c r="L143" s="1115"/>
      <c r="M143" s="1117"/>
      <c r="N143" s="1114"/>
      <c r="O143" s="1426"/>
      <c r="P143" s="555" t="s">
        <v>324</v>
      </c>
      <c r="Q143" s="837"/>
      <c r="R143" s="476"/>
      <c r="S143" s="349"/>
      <c r="T143" s="589"/>
      <c r="U143" s="349">
        <v>100</v>
      </c>
      <c r="V143" s="141"/>
      <c r="W143" s="141"/>
    </row>
    <row r="144" spans="1:29" ht="14.25" customHeight="1" x14ac:dyDescent="0.25">
      <c r="A144" s="935"/>
      <c r="B144" s="1396"/>
      <c r="C144" s="71"/>
      <c r="D144" s="1715"/>
      <c r="E144" s="554"/>
      <c r="F144" s="1132"/>
      <c r="G144" s="1157"/>
      <c r="H144" s="1128"/>
      <c r="I144" s="1129"/>
      <c r="J144" s="1128"/>
      <c r="K144" s="1126"/>
      <c r="L144" s="1129"/>
      <c r="M144" s="1128"/>
      <c r="N144" s="1126"/>
      <c r="O144" s="44"/>
      <c r="P144" s="399"/>
      <c r="Q144" s="681"/>
      <c r="R144" s="545"/>
      <c r="S144" s="350"/>
      <c r="T144" s="545"/>
      <c r="U144" s="350"/>
      <c r="V144" s="142"/>
      <c r="W144" s="142"/>
    </row>
    <row r="145" spans="1:27" ht="17" customHeight="1" x14ac:dyDescent="0.25">
      <c r="A145" s="935"/>
      <c r="B145" s="1396"/>
      <c r="C145" s="71"/>
      <c r="D145" s="1376" t="s">
        <v>328</v>
      </c>
      <c r="E145" s="92" t="s">
        <v>41</v>
      </c>
      <c r="F145" s="1165" t="s">
        <v>381</v>
      </c>
      <c r="G145" s="1139">
        <v>5</v>
      </c>
      <c r="H145" s="1117"/>
      <c r="I145" s="1115"/>
      <c r="J145" s="1117">
        <v>35</v>
      </c>
      <c r="K145" s="1114"/>
      <c r="L145" s="1115"/>
      <c r="M145" s="1117"/>
      <c r="N145" s="1114"/>
      <c r="O145" s="1426"/>
      <c r="P145" s="572" t="s">
        <v>63</v>
      </c>
      <c r="Q145" s="764"/>
      <c r="R145" s="765"/>
      <c r="S145" s="349">
        <v>1</v>
      </c>
      <c r="T145" s="589"/>
      <c r="U145" s="351"/>
      <c r="V145" s="164"/>
      <c r="W145" s="765"/>
    </row>
    <row r="146" spans="1:27" ht="39" customHeight="1" x14ac:dyDescent="0.25">
      <c r="A146" s="935"/>
      <c r="B146" s="1396"/>
      <c r="C146" s="71"/>
      <c r="D146" s="779" t="s">
        <v>370</v>
      </c>
      <c r="E146" s="1412" t="s">
        <v>41</v>
      </c>
      <c r="F146" s="97"/>
      <c r="G146" s="529"/>
      <c r="H146" s="995"/>
      <c r="I146" s="530"/>
      <c r="J146" s="995"/>
      <c r="K146" s="502"/>
      <c r="L146" s="530"/>
      <c r="M146" s="224"/>
      <c r="N146" s="213"/>
      <c r="O146" s="215"/>
      <c r="P146" s="398"/>
      <c r="Q146" s="833"/>
      <c r="R146" s="589"/>
      <c r="S146" s="359"/>
      <c r="T146" s="563"/>
      <c r="U146" s="375"/>
      <c r="V146" s="143"/>
      <c r="W146" s="465"/>
    </row>
    <row r="147" spans="1:27" ht="21" customHeight="1" x14ac:dyDescent="0.25">
      <c r="A147" s="935"/>
      <c r="B147" s="1396"/>
      <c r="C147" s="71"/>
      <c r="D147" s="1827" t="s">
        <v>371</v>
      </c>
      <c r="E147" s="1391"/>
      <c r="F147" s="1166" t="s">
        <v>382</v>
      </c>
      <c r="G147" s="1139">
        <v>35</v>
      </c>
      <c r="H147" s="1433"/>
      <c r="I147" s="1402"/>
      <c r="J147" s="1433"/>
      <c r="K147" s="1400"/>
      <c r="L147" s="1402"/>
      <c r="M147" s="505"/>
      <c r="N147" s="236"/>
      <c r="O147" s="217"/>
      <c r="P147" s="555" t="s">
        <v>324</v>
      </c>
      <c r="Q147" s="837">
        <v>100</v>
      </c>
      <c r="R147" s="476"/>
      <c r="S147" s="391"/>
      <c r="T147" s="476"/>
      <c r="U147" s="391"/>
      <c r="V147" s="198"/>
      <c r="W147" s="476"/>
    </row>
    <row r="148" spans="1:27" ht="21" customHeight="1" x14ac:dyDescent="0.25">
      <c r="A148" s="935"/>
      <c r="B148" s="1396"/>
      <c r="C148" s="71"/>
      <c r="D148" s="1828"/>
      <c r="E148" s="1391"/>
      <c r="F148" s="1167" t="s">
        <v>386</v>
      </c>
      <c r="G148" s="1331">
        <v>265</v>
      </c>
      <c r="H148" s="1433"/>
      <c r="I148" s="1402"/>
      <c r="J148" s="1434"/>
      <c r="K148" s="1401"/>
      <c r="L148" s="1403"/>
      <c r="M148" s="1433"/>
      <c r="N148" s="1400"/>
      <c r="O148" s="1426"/>
      <c r="P148" s="835"/>
      <c r="Q148" s="526"/>
      <c r="R148" s="836"/>
      <c r="S148" s="349"/>
      <c r="T148" s="589"/>
      <c r="U148" s="349"/>
      <c r="V148" s="141"/>
      <c r="W148" s="589"/>
    </row>
    <row r="149" spans="1:27" ht="15.75" customHeight="1" x14ac:dyDescent="0.25">
      <c r="A149" s="935"/>
      <c r="B149" s="1396"/>
      <c r="C149" s="71"/>
      <c r="D149" s="1827" t="s">
        <v>435</v>
      </c>
      <c r="E149" s="1413"/>
      <c r="F149" s="1224" t="s">
        <v>386</v>
      </c>
      <c r="G149" s="1225">
        <v>24.2</v>
      </c>
      <c r="H149" s="1225">
        <f>24.2+24.2</f>
        <v>48.4</v>
      </c>
      <c r="I149" s="1206">
        <f>+H149-G149</f>
        <v>24.2</v>
      </c>
      <c r="J149" s="1433"/>
      <c r="K149" s="1400"/>
      <c r="L149" s="1402"/>
      <c r="M149" s="505"/>
      <c r="N149" s="236"/>
      <c r="O149" s="217"/>
      <c r="P149" s="555" t="s">
        <v>378</v>
      </c>
      <c r="Q149" s="833">
        <v>100</v>
      </c>
      <c r="R149" s="589"/>
      <c r="S149" s="391"/>
      <c r="T149" s="476"/>
      <c r="U149" s="391"/>
      <c r="V149" s="198"/>
      <c r="W149" s="2109" t="s">
        <v>474</v>
      </c>
    </row>
    <row r="150" spans="1:27" ht="15.75" customHeight="1" x14ac:dyDescent="0.25">
      <c r="A150" s="935"/>
      <c r="B150" s="1396"/>
      <c r="C150" s="71"/>
      <c r="D150" s="1756"/>
      <c r="E150" s="1391"/>
      <c r="F150" s="1226" t="s">
        <v>382</v>
      </c>
      <c r="G150" s="1227">
        <v>69.599999999999994</v>
      </c>
      <c r="H150" s="1227">
        <f>69.6-24.2</f>
        <v>45.4</v>
      </c>
      <c r="I150" s="1228">
        <f>+H150-G150</f>
        <v>-24.2</v>
      </c>
      <c r="J150" s="1433"/>
      <c r="K150" s="1400"/>
      <c r="L150" s="1402"/>
      <c r="M150" s="1433"/>
      <c r="N150" s="1400"/>
      <c r="O150" s="1426"/>
      <c r="P150" s="835"/>
      <c r="Q150" s="526"/>
      <c r="R150" s="589"/>
      <c r="S150" s="394"/>
      <c r="T150" s="836"/>
      <c r="U150" s="394"/>
      <c r="V150" s="290"/>
      <c r="W150" s="1955"/>
    </row>
    <row r="151" spans="1:27" ht="16.5" customHeight="1" x14ac:dyDescent="0.25">
      <c r="A151" s="935"/>
      <c r="B151" s="1396"/>
      <c r="C151" s="71"/>
      <c r="D151" s="1756"/>
      <c r="E151" s="1391"/>
      <c r="F151" s="1224" t="s">
        <v>382</v>
      </c>
      <c r="G151" s="1225">
        <v>8</v>
      </c>
      <c r="H151" s="236"/>
      <c r="I151" s="433"/>
      <c r="J151" s="505"/>
      <c r="K151" s="236"/>
      <c r="L151" s="433"/>
      <c r="M151" s="505"/>
      <c r="N151" s="236"/>
      <c r="O151" s="217"/>
      <c r="P151" s="555" t="s">
        <v>379</v>
      </c>
      <c r="Q151" s="275">
        <v>100</v>
      </c>
      <c r="R151" s="476"/>
      <c r="S151" s="391"/>
      <c r="T151" s="476"/>
      <c r="U151" s="349"/>
      <c r="V151" s="141"/>
      <c r="W151" s="1955"/>
    </row>
    <row r="152" spans="1:27" ht="18" customHeight="1" x14ac:dyDescent="0.25">
      <c r="A152" s="935"/>
      <c r="B152" s="1396"/>
      <c r="C152" s="71"/>
      <c r="D152" s="1715"/>
      <c r="E152" s="1397"/>
      <c r="F152" s="534"/>
      <c r="G152" s="214"/>
      <c r="H152" s="214"/>
      <c r="I152" s="456"/>
      <c r="J152" s="202"/>
      <c r="K152" s="214"/>
      <c r="L152" s="456"/>
      <c r="M152" s="202"/>
      <c r="N152" s="214"/>
      <c r="O152" s="44"/>
      <c r="P152" s="780"/>
      <c r="Q152" s="207"/>
      <c r="R152" s="545"/>
      <c r="S152" s="350"/>
      <c r="T152" s="545"/>
      <c r="U152" s="350"/>
      <c r="V152" s="142"/>
      <c r="W152" s="1956"/>
    </row>
    <row r="153" spans="1:27" ht="15" customHeight="1" x14ac:dyDescent="0.25">
      <c r="A153" s="935"/>
      <c r="B153" s="1371"/>
      <c r="C153" s="71"/>
      <c r="D153" s="1376" t="s">
        <v>337</v>
      </c>
      <c r="E153" s="92" t="s">
        <v>41</v>
      </c>
      <c r="F153" s="1136" t="s">
        <v>381</v>
      </c>
      <c r="G153" s="213"/>
      <c r="H153" s="213"/>
      <c r="I153" s="522"/>
      <c r="J153" s="224"/>
      <c r="K153" s="213"/>
      <c r="L153" s="522"/>
      <c r="M153" s="224"/>
      <c r="N153" s="213"/>
      <c r="O153" s="215"/>
      <c r="P153" s="398" t="s">
        <v>324</v>
      </c>
      <c r="Q153" s="564"/>
      <c r="R153" s="563"/>
      <c r="S153" s="359"/>
      <c r="T153" s="563"/>
      <c r="U153" s="359"/>
      <c r="V153" s="140"/>
      <c r="W153" s="563"/>
    </row>
    <row r="154" spans="1:27" ht="15" customHeight="1" x14ac:dyDescent="0.25">
      <c r="A154" s="935"/>
      <c r="B154" s="1371"/>
      <c r="C154" s="71"/>
      <c r="D154" s="1378"/>
      <c r="E154" s="554"/>
      <c r="F154" s="1165" t="s">
        <v>384</v>
      </c>
      <c r="G154" s="38"/>
      <c r="H154" s="202"/>
      <c r="I154" s="1402"/>
      <c r="J154" s="1433"/>
      <c r="K154" s="1400"/>
      <c r="L154" s="1402"/>
      <c r="M154" s="1433"/>
      <c r="N154" s="1400"/>
      <c r="O154" s="1426"/>
      <c r="P154" s="398"/>
      <c r="Q154" s="207"/>
      <c r="R154" s="545"/>
      <c r="S154" s="349"/>
      <c r="T154" s="545"/>
      <c r="U154" s="350"/>
      <c r="V154" s="142"/>
      <c r="W154" s="545"/>
    </row>
    <row r="155" spans="1:27" ht="15" customHeight="1" thickBot="1" x14ac:dyDescent="0.3">
      <c r="A155" s="936"/>
      <c r="B155" s="104"/>
      <c r="C155" s="45"/>
      <c r="D155" s="68"/>
      <c r="E155" s="514"/>
      <c r="F155" s="518" t="s">
        <v>5</v>
      </c>
      <c r="G155" s="337">
        <f>+G15+G16+G17+G18+G19+G20+G21+G22+G23+G24+G25+G26+G27+G28</f>
        <v>22324.6</v>
      </c>
      <c r="H155" s="337">
        <f t="shared" ref="H155:I155" si="5">+H15+H16+H17+H18+H19+H20+H21+H22+H23+H24+H25+H26+H27+H28</f>
        <v>22872.7</v>
      </c>
      <c r="I155" s="337">
        <f t="shared" si="5"/>
        <v>548.1</v>
      </c>
      <c r="J155" s="790">
        <f t="shared" ref="J155:O155" si="6">+J15+J16+J17+J18+J19+J20+J21+J22+J23+J24+J25+J26+J28</f>
        <v>33614.6</v>
      </c>
      <c r="K155" s="337">
        <f t="shared" si="6"/>
        <v>36801.300000000003</v>
      </c>
      <c r="L155" s="523">
        <f t="shared" si="6"/>
        <v>3186.7</v>
      </c>
      <c r="M155" s="790">
        <f t="shared" si="6"/>
        <v>24278.3</v>
      </c>
      <c r="N155" s="337">
        <f t="shared" si="6"/>
        <v>26032.3</v>
      </c>
      <c r="O155" s="790">
        <f t="shared" si="6"/>
        <v>1754</v>
      </c>
      <c r="P155" s="963"/>
      <c r="Q155" s="288"/>
      <c r="R155" s="288"/>
      <c r="S155" s="288"/>
      <c r="T155" s="288"/>
      <c r="U155" s="288"/>
      <c r="V155" s="288"/>
      <c r="W155" s="70"/>
    </row>
    <row r="156" spans="1:27" ht="15" customHeight="1" thickBot="1" x14ac:dyDescent="0.3">
      <c r="A156" s="937" t="s">
        <v>4</v>
      </c>
      <c r="B156" s="56" t="s">
        <v>4</v>
      </c>
      <c r="C156" s="1839" t="s">
        <v>7</v>
      </c>
      <c r="D156" s="1840"/>
      <c r="E156" s="1840"/>
      <c r="F156" s="1841"/>
      <c r="G156" s="25">
        <f>G155</f>
        <v>22324.6</v>
      </c>
      <c r="H156" s="25">
        <f>H155</f>
        <v>22872.7</v>
      </c>
      <c r="I156" s="950">
        <f>I155</f>
        <v>548.1</v>
      </c>
      <c r="J156" s="951">
        <f t="shared" ref="J156:O156" si="7">J155</f>
        <v>33614.6</v>
      </c>
      <c r="K156" s="25">
        <f t="shared" si="7"/>
        <v>36801.300000000003</v>
      </c>
      <c r="L156" s="950">
        <f t="shared" si="7"/>
        <v>3186.7</v>
      </c>
      <c r="M156" s="951">
        <f t="shared" si="7"/>
        <v>24278.3</v>
      </c>
      <c r="N156" s="25">
        <f t="shared" si="7"/>
        <v>26032.3</v>
      </c>
      <c r="O156" s="225">
        <f t="shared" si="7"/>
        <v>1754</v>
      </c>
      <c r="P156" s="1366"/>
      <c r="Q156" s="1367"/>
      <c r="R156" s="1367"/>
      <c r="S156" s="320"/>
      <c r="T156" s="1367"/>
      <c r="U156" s="320"/>
      <c r="V156" s="1367"/>
      <c r="W156" s="1368"/>
    </row>
    <row r="157" spans="1:27" ht="15" customHeight="1" thickBot="1" x14ac:dyDescent="0.3">
      <c r="A157" s="937" t="s">
        <v>4</v>
      </c>
      <c r="B157" s="56" t="s">
        <v>6</v>
      </c>
      <c r="C157" s="1842" t="s">
        <v>28</v>
      </c>
      <c r="D157" s="1842"/>
      <c r="E157" s="1842"/>
      <c r="F157" s="1842"/>
      <c r="G157" s="1843"/>
      <c r="H157" s="1843"/>
      <c r="I157" s="1843"/>
      <c r="J157" s="1843"/>
      <c r="K157" s="1843"/>
      <c r="L157" s="1843"/>
      <c r="M157" s="1843"/>
      <c r="N157" s="1843"/>
      <c r="O157" s="1843"/>
      <c r="P157" s="1842"/>
      <c r="Q157" s="1844"/>
      <c r="R157" s="1844"/>
      <c r="S157" s="1844"/>
      <c r="T157" s="1844"/>
      <c r="U157" s="1844"/>
      <c r="V157" s="1392"/>
      <c r="W157" s="892"/>
      <c r="X157" s="434"/>
      <c r="Y157" s="1297" t="s">
        <v>431</v>
      </c>
    </row>
    <row r="158" spans="1:27" ht="15.65" customHeight="1" x14ac:dyDescent="0.25">
      <c r="A158" s="938" t="s">
        <v>4</v>
      </c>
      <c r="B158" s="55" t="s">
        <v>6</v>
      </c>
      <c r="C158" s="69" t="s">
        <v>4</v>
      </c>
      <c r="D158" s="1387" t="s">
        <v>47</v>
      </c>
      <c r="E158" s="1847" t="s">
        <v>205</v>
      </c>
      <c r="F158" s="1201" t="s">
        <v>22</v>
      </c>
      <c r="G158" s="1292">
        <v>5385.8</v>
      </c>
      <c r="H158" s="1362">
        <f>5385.8+1052.6-20-292.4-760.2</f>
        <v>5365.8</v>
      </c>
      <c r="I158" s="1293">
        <f>+H158-G158</f>
        <v>-20</v>
      </c>
      <c r="J158" s="427">
        <v>5395.3</v>
      </c>
      <c r="K158" s="427">
        <v>5395.3</v>
      </c>
      <c r="L158" s="814">
        <f>+K158-J158</f>
        <v>0</v>
      </c>
      <c r="M158" s="838">
        <v>5475.1</v>
      </c>
      <c r="N158" s="282">
        <v>5475.1</v>
      </c>
      <c r="O158" s="814">
        <f>+N158-M158</f>
        <v>0</v>
      </c>
      <c r="P158" s="809"/>
      <c r="Q158" s="810"/>
      <c r="R158" s="812"/>
      <c r="S158" s="887"/>
      <c r="T158" s="812"/>
      <c r="U158" s="887"/>
      <c r="V158" s="915"/>
      <c r="W158" s="812"/>
      <c r="Y158" s="1105">
        <f>+G164+G172+G175+G177+G179+G181+G193</f>
        <v>5385.8</v>
      </c>
      <c r="Z158" s="1105">
        <f>+J164+J172+J175+J177+J179+J181+J193</f>
        <v>5395.3</v>
      </c>
      <c r="AA158" s="1105">
        <f t="shared" ref="AA158" si="8">+M164+M172+M175+M177+M179+M181+M193</f>
        <v>5475.1</v>
      </c>
    </row>
    <row r="159" spans="1:27" ht="15.65" customHeight="1" x14ac:dyDescent="0.25">
      <c r="A159" s="1432"/>
      <c r="B159" s="1396"/>
      <c r="C159" s="1395"/>
      <c r="D159" s="801"/>
      <c r="E159" s="1848"/>
      <c r="F159" s="20" t="s">
        <v>57</v>
      </c>
      <c r="G159" s="1435">
        <v>105.4</v>
      </c>
      <c r="H159" s="1433">
        <v>105.4</v>
      </c>
      <c r="I159" s="1402">
        <f>+H159-G159</f>
        <v>0</v>
      </c>
      <c r="J159" s="1433">
        <v>1555.4</v>
      </c>
      <c r="K159" s="1433">
        <v>1555.4</v>
      </c>
      <c r="L159" s="1402">
        <f>+K159-J159</f>
        <v>0</v>
      </c>
      <c r="M159" s="1433">
        <v>1235.4000000000001</v>
      </c>
      <c r="N159" s="1433">
        <v>1235.4000000000001</v>
      </c>
      <c r="O159" s="1426">
        <f>+N159-M159</f>
        <v>0</v>
      </c>
      <c r="P159" s="20"/>
      <c r="Q159" s="913"/>
      <c r="R159" s="983"/>
      <c r="S159" s="981"/>
      <c r="T159" s="983"/>
      <c r="U159" s="981"/>
      <c r="V159" s="805"/>
      <c r="W159" s="805"/>
      <c r="Y159" s="1105">
        <f>+G166+G187+G189+G190+G195+G197</f>
        <v>105.4</v>
      </c>
      <c r="Z159" s="1105">
        <f>+J166+J187+J189+J190+J195+J197</f>
        <v>1555.4</v>
      </c>
      <c r="AA159" s="1105">
        <f t="shared" ref="AA159" si="9">+M166+M187+M189+M190+M195+M197</f>
        <v>1235.4000000000001</v>
      </c>
    </row>
    <row r="160" spans="1:27" ht="15.65" customHeight="1" x14ac:dyDescent="0.25">
      <c r="A160" s="1432"/>
      <c r="B160" s="1396"/>
      <c r="C160" s="1395"/>
      <c r="D160" s="801"/>
      <c r="E160" s="1848"/>
      <c r="F160" s="1201" t="s">
        <v>50</v>
      </c>
      <c r="G160" s="1223">
        <v>422.9</v>
      </c>
      <c r="H160" s="1231">
        <f>422.9+24.2+3.7+292.4</f>
        <v>743.2</v>
      </c>
      <c r="I160" s="1204">
        <f t="shared" ref="I160:I161" si="10">+H160-G160</f>
        <v>320.3</v>
      </c>
      <c r="J160" s="1433"/>
      <c r="K160" s="1433"/>
      <c r="L160" s="1402"/>
      <c r="M160" s="1433"/>
      <c r="N160" s="1433"/>
      <c r="O160" s="1426"/>
      <c r="P160" s="20"/>
      <c r="Q160" s="913"/>
      <c r="R160" s="983"/>
      <c r="S160" s="981"/>
      <c r="T160" s="983"/>
      <c r="U160" s="981"/>
      <c r="V160" s="805"/>
      <c r="W160" s="805"/>
      <c r="Y160" s="1105">
        <f>+G165+G173</f>
        <v>422.9</v>
      </c>
      <c r="Z160" s="1105">
        <f>+J165</f>
        <v>0</v>
      </c>
      <c r="AA160" s="1105">
        <f t="shared" ref="AA160" si="11">+M165</f>
        <v>0</v>
      </c>
    </row>
    <row r="161" spans="1:29" ht="15.65" customHeight="1" x14ac:dyDescent="0.25">
      <c r="A161" s="1432"/>
      <c r="B161" s="1396"/>
      <c r="C161" s="1395"/>
      <c r="D161" s="801"/>
      <c r="E161" s="802"/>
      <c r="F161" s="20" t="s">
        <v>59</v>
      </c>
      <c r="G161" s="1435">
        <v>48.4</v>
      </c>
      <c r="H161" s="1433">
        <v>48.4</v>
      </c>
      <c r="I161" s="1402">
        <f t="shared" si="10"/>
        <v>0</v>
      </c>
      <c r="J161" s="1433"/>
      <c r="K161" s="1433"/>
      <c r="L161" s="1402"/>
      <c r="M161" s="1433"/>
      <c r="N161" s="1433"/>
      <c r="O161" s="1426"/>
      <c r="P161" s="20"/>
      <c r="Q161" s="913"/>
      <c r="R161" s="983"/>
      <c r="S161" s="981"/>
      <c r="T161" s="983"/>
      <c r="U161" s="981"/>
      <c r="V161" s="805"/>
      <c r="W161" s="805"/>
      <c r="Y161" s="1105">
        <f>+G186+G188+G192</f>
        <v>48.4</v>
      </c>
      <c r="Z161" s="1105">
        <f>+J186+J188+J191</f>
        <v>0</v>
      </c>
      <c r="AA161" s="1105">
        <f t="shared" ref="AA161" si="12">+M186+M188+M191</f>
        <v>0</v>
      </c>
    </row>
    <row r="162" spans="1:29" ht="15.65" customHeight="1" x14ac:dyDescent="0.25">
      <c r="A162" s="1432"/>
      <c r="B162" s="1396"/>
      <c r="C162" s="1395"/>
      <c r="D162" s="801"/>
      <c r="E162" s="808"/>
      <c r="F162" s="20" t="s">
        <v>38</v>
      </c>
      <c r="G162" s="38"/>
      <c r="H162" s="1433"/>
      <c r="I162" s="1402"/>
      <c r="J162" s="1433">
        <v>1375</v>
      </c>
      <c r="K162" s="1433">
        <v>1375</v>
      </c>
      <c r="L162" s="1402">
        <f>+K162-J162</f>
        <v>0</v>
      </c>
      <c r="M162" s="1433">
        <v>1375</v>
      </c>
      <c r="N162" s="1433">
        <v>1375</v>
      </c>
      <c r="O162" s="1426">
        <f>+N162-M162</f>
        <v>0</v>
      </c>
      <c r="P162" s="124"/>
      <c r="Q162" s="913"/>
      <c r="R162" s="983"/>
      <c r="S162" s="981"/>
      <c r="T162" s="983"/>
      <c r="U162" s="981"/>
      <c r="V162" s="805"/>
      <c r="W162" s="805"/>
      <c r="Y162" s="1105">
        <f>+G198</f>
        <v>0</v>
      </c>
      <c r="Z162" s="1105">
        <f>+J198</f>
        <v>1375</v>
      </c>
      <c r="AA162" s="1105">
        <f t="shared" ref="AA162" si="13">+M198</f>
        <v>1375</v>
      </c>
    </row>
    <row r="163" spans="1:29" ht="18" customHeight="1" x14ac:dyDescent="0.25">
      <c r="A163" s="1432"/>
      <c r="B163" s="1396"/>
      <c r="C163" s="1395"/>
      <c r="D163" s="806" t="s">
        <v>43</v>
      </c>
      <c r="E163" s="1439"/>
      <c r="F163" s="528"/>
      <c r="G163" s="368"/>
      <c r="H163" s="949"/>
      <c r="I163" s="509"/>
      <c r="J163" s="949"/>
      <c r="K163" s="250"/>
      <c r="L163" s="509"/>
      <c r="M163" s="949"/>
      <c r="N163" s="949"/>
      <c r="O163" s="151"/>
      <c r="P163" s="464"/>
      <c r="Q163" s="914"/>
      <c r="R163" s="984"/>
      <c r="S163" s="912"/>
      <c r="T163" s="984"/>
      <c r="U163" s="949"/>
      <c r="V163" s="151"/>
      <c r="W163" s="509"/>
      <c r="Y163" s="1105">
        <f>+Y158+Y159+Y160+Y161+Y162</f>
        <v>5962.5</v>
      </c>
      <c r="Z163" s="1105">
        <f t="shared" ref="Z163:AA163" si="14">+Z158+Z159+Z160+Z161+Z162</f>
        <v>8325.7000000000007</v>
      </c>
      <c r="AA163" s="1105">
        <f t="shared" si="14"/>
        <v>8085.5</v>
      </c>
    </row>
    <row r="164" spans="1:29" ht="16.5" customHeight="1" x14ac:dyDescent="0.25">
      <c r="A164" s="1432"/>
      <c r="B164" s="1396"/>
      <c r="C164" s="1395"/>
      <c r="D164" s="1846" t="s">
        <v>407</v>
      </c>
      <c r="E164" s="118" t="s">
        <v>178</v>
      </c>
      <c r="F164" s="20" t="s">
        <v>381</v>
      </c>
      <c r="G164" s="1360">
        <f>4900+62.4-434.6-17.9-405-445-80</f>
        <v>3579.9</v>
      </c>
      <c r="H164" s="1361">
        <f>3579.9-760.2</f>
        <v>2819.7</v>
      </c>
      <c r="I164" s="1358">
        <f>+H164-G164</f>
        <v>-760.2</v>
      </c>
      <c r="J164" s="1433">
        <f>5048.4+62.4-60.9</f>
        <v>5049.8999999999996</v>
      </c>
      <c r="K164" s="1400"/>
      <c r="L164" s="1402"/>
      <c r="M164" s="1433">
        <f>5333.4+62.4-279.1</f>
        <v>5116.7</v>
      </c>
      <c r="N164" s="1433"/>
      <c r="O164" s="1426"/>
      <c r="P164" s="406" t="s">
        <v>36</v>
      </c>
      <c r="Q164" s="1452">
        <v>4</v>
      </c>
      <c r="R164" s="1453">
        <v>3</v>
      </c>
      <c r="S164" s="504">
        <v>4.8</v>
      </c>
      <c r="T164" s="524"/>
      <c r="U164" s="504">
        <v>5</v>
      </c>
      <c r="V164" s="218"/>
      <c r="W164" s="218"/>
      <c r="Y164" s="1105">
        <f>+Y163-G200</f>
        <v>0</v>
      </c>
      <c r="Z164" s="1105">
        <f>+Z163-J200</f>
        <v>0</v>
      </c>
      <c r="AA164" s="1105">
        <f t="shared" ref="AA164" si="15">+AA163-M200</f>
        <v>0</v>
      </c>
    </row>
    <row r="165" spans="1:29" ht="16.5" customHeight="1" x14ac:dyDescent="0.25">
      <c r="A165" s="1432"/>
      <c r="B165" s="1396"/>
      <c r="C165" s="1395"/>
      <c r="D165" s="1846"/>
      <c r="E165" s="1391"/>
      <c r="F165" s="20" t="s">
        <v>382</v>
      </c>
      <c r="G165" s="1435">
        <f>422.9-405</f>
        <v>17.899999999999999</v>
      </c>
      <c r="H165" s="1433"/>
      <c r="I165" s="1402"/>
      <c r="J165" s="1433"/>
      <c r="K165" s="1400"/>
      <c r="L165" s="1402"/>
      <c r="M165" s="1433"/>
      <c r="N165" s="1433"/>
      <c r="O165" s="1426"/>
      <c r="P165" s="1414" t="s">
        <v>85</v>
      </c>
      <c r="Q165" s="1094">
        <v>3</v>
      </c>
      <c r="R165" s="1304">
        <v>1.5</v>
      </c>
      <c r="S165" s="942">
        <v>3</v>
      </c>
      <c r="T165" s="988"/>
      <c r="U165" s="504">
        <v>3</v>
      </c>
      <c r="V165" s="217"/>
      <c r="W165" s="217"/>
    </row>
    <row r="166" spans="1:29" ht="25" customHeight="1" x14ac:dyDescent="0.25">
      <c r="A166" s="1432"/>
      <c r="B166" s="1396"/>
      <c r="C166" s="1395"/>
      <c r="D166" s="170" t="s">
        <v>280</v>
      </c>
      <c r="E166" s="1391"/>
      <c r="F166" s="20" t="s">
        <v>394</v>
      </c>
      <c r="G166" s="1435">
        <f>165.6-102.4-33.3</f>
        <v>29.9</v>
      </c>
      <c r="H166" s="1433"/>
      <c r="I166" s="1402"/>
      <c r="J166" s="1433">
        <f t="shared" ref="J166:M166" si="16">160-100</f>
        <v>60</v>
      </c>
      <c r="K166" s="1400"/>
      <c r="L166" s="1402"/>
      <c r="M166" s="1433">
        <f t="shared" si="16"/>
        <v>60</v>
      </c>
      <c r="N166" s="1433"/>
      <c r="O166" s="1426"/>
      <c r="P166" s="406" t="s">
        <v>148</v>
      </c>
      <c r="Q166" s="340">
        <v>2</v>
      </c>
      <c r="R166" s="1453"/>
      <c r="S166" s="504">
        <v>2</v>
      </c>
      <c r="T166" s="524"/>
      <c r="U166" s="987">
        <v>2</v>
      </c>
      <c r="V166" s="917"/>
      <c r="W166" s="682"/>
    </row>
    <row r="167" spans="1:29" ht="26.25" customHeight="1" x14ac:dyDescent="0.25">
      <c r="A167" s="1432"/>
      <c r="B167" s="1396"/>
      <c r="C167" s="1395"/>
      <c r="D167" s="60" t="s">
        <v>281</v>
      </c>
      <c r="E167" s="1391"/>
      <c r="F167" s="20"/>
      <c r="G167" s="1435"/>
      <c r="H167" s="1433"/>
      <c r="I167" s="1402"/>
      <c r="J167" s="1433"/>
      <c r="K167" s="1400"/>
      <c r="L167" s="1402"/>
      <c r="M167" s="1433"/>
      <c r="N167" s="1433"/>
      <c r="O167" s="1426"/>
      <c r="P167" s="1414" t="s">
        <v>86</v>
      </c>
      <c r="Q167" s="1452">
        <v>23</v>
      </c>
      <c r="R167" s="1454">
        <v>13</v>
      </c>
      <c r="S167" s="982">
        <v>23</v>
      </c>
      <c r="T167" s="989"/>
      <c r="U167" s="504">
        <v>23</v>
      </c>
      <c r="V167" s="218"/>
      <c r="W167" s="524"/>
    </row>
    <row r="168" spans="1:29" ht="26.25" customHeight="1" x14ac:dyDescent="0.25">
      <c r="A168" s="1432"/>
      <c r="B168" s="1396"/>
      <c r="C168" s="1395"/>
      <c r="D168" s="1404" t="s">
        <v>282</v>
      </c>
      <c r="E168" s="1391"/>
      <c r="F168" s="20"/>
      <c r="G168" s="1435"/>
      <c r="H168" s="1433"/>
      <c r="I168" s="1402"/>
      <c r="J168" s="1433"/>
      <c r="K168" s="1400"/>
      <c r="L168" s="1402"/>
      <c r="M168" s="1433"/>
      <c r="N168" s="1433"/>
      <c r="O168" s="1426"/>
      <c r="P168" s="1374" t="s">
        <v>145</v>
      </c>
      <c r="Q168" s="837">
        <v>2</v>
      </c>
      <c r="R168" s="476"/>
      <c r="S168" s="391">
        <v>4</v>
      </c>
      <c r="T168" s="476"/>
      <c r="U168" s="349">
        <v>4</v>
      </c>
      <c r="V168" s="141"/>
      <c r="W168" s="141"/>
    </row>
    <row r="169" spans="1:29" ht="15.75" customHeight="1" x14ac:dyDescent="0.25">
      <c r="A169" s="1432"/>
      <c r="B169" s="1396"/>
      <c r="C169" s="1395"/>
      <c r="D169" s="1830" t="s">
        <v>283</v>
      </c>
      <c r="E169" s="1391"/>
      <c r="F169" s="20"/>
      <c r="G169" s="1435"/>
      <c r="H169" s="1433"/>
      <c r="I169" s="1402"/>
      <c r="J169" s="1433"/>
      <c r="K169" s="1400"/>
      <c r="L169" s="1402"/>
      <c r="M169" s="1433"/>
      <c r="N169" s="1433"/>
      <c r="O169" s="1426"/>
      <c r="P169" s="1958"/>
      <c r="Q169" s="833"/>
      <c r="R169" s="589"/>
      <c r="S169" s="349"/>
      <c r="T169" s="589"/>
      <c r="U169" s="349"/>
      <c r="V169" s="141"/>
      <c r="W169" s="141"/>
    </row>
    <row r="170" spans="1:29" ht="26.25" customHeight="1" x14ac:dyDescent="0.25">
      <c r="A170" s="1432"/>
      <c r="B170" s="1396"/>
      <c r="C170" s="1395"/>
      <c r="D170" s="1808"/>
      <c r="E170" s="1397"/>
      <c r="F170" s="20"/>
      <c r="G170" s="369"/>
      <c r="H170" s="1065"/>
      <c r="I170" s="1066"/>
      <c r="J170" s="1065"/>
      <c r="K170" s="251"/>
      <c r="L170" s="1066"/>
      <c r="M170" s="1065"/>
      <c r="N170" s="1065"/>
      <c r="O170" s="246"/>
      <c r="P170" s="2063"/>
      <c r="Q170" s="833"/>
      <c r="R170" s="589"/>
      <c r="S170" s="349"/>
      <c r="T170" s="589"/>
      <c r="U170" s="349"/>
      <c r="V170" s="141"/>
      <c r="W170" s="141"/>
    </row>
    <row r="171" spans="1:29" ht="14.25" customHeight="1" x14ac:dyDescent="0.25">
      <c r="A171" s="1432"/>
      <c r="B171" s="1396"/>
      <c r="C171" s="1395"/>
      <c r="D171" s="188" t="s">
        <v>92</v>
      </c>
      <c r="E171" s="851"/>
      <c r="F171" s="123"/>
      <c r="G171" s="370"/>
      <c r="H171" s="1067"/>
      <c r="I171" s="1068"/>
      <c r="J171" s="1067"/>
      <c r="K171" s="252"/>
      <c r="L171" s="1068"/>
      <c r="M171" s="1067"/>
      <c r="N171" s="1067"/>
      <c r="O171" s="247"/>
      <c r="P171" s="1364"/>
      <c r="Q171" s="447"/>
      <c r="R171" s="985"/>
      <c r="S171" s="416"/>
      <c r="T171" s="985"/>
      <c r="U171" s="416"/>
      <c r="V171" s="289"/>
      <c r="W171" s="289"/>
    </row>
    <row r="172" spans="1:29" ht="16.5" customHeight="1" x14ac:dyDescent="0.25">
      <c r="A172" s="1432"/>
      <c r="B172" s="1396"/>
      <c r="C172" s="1395"/>
      <c r="D172" s="1835" t="s">
        <v>243</v>
      </c>
      <c r="E172" s="1439"/>
      <c r="F172" s="1219" t="s">
        <v>381</v>
      </c>
      <c r="G172" s="1205">
        <f>938+445+80</f>
        <v>1463</v>
      </c>
      <c r="H172" s="1356">
        <f>1463+1052.6-292.4</f>
        <v>2223.1999999999998</v>
      </c>
      <c r="I172" s="1359">
        <f>+H172-G172</f>
        <v>760.2</v>
      </c>
      <c r="J172" s="505"/>
      <c r="K172" s="236"/>
      <c r="L172" s="433"/>
      <c r="M172" s="505"/>
      <c r="N172" s="505"/>
      <c r="O172" s="217"/>
      <c r="P172" s="1382" t="s">
        <v>91</v>
      </c>
      <c r="Q172" s="837">
        <v>58</v>
      </c>
      <c r="R172" s="476"/>
      <c r="S172" s="391"/>
      <c r="T172" s="476"/>
      <c r="U172" s="391"/>
      <c r="V172" s="198"/>
      <c r="W172" s="2106" t="s">
        <v>475</v>
      </c>
      <c r="X172" s="2110" t="s">
        <v>476</v>
      </c>
      <c r="Y172" s="2111"/>
      <c r="Z172" s="2111"/>
      <c r="AA172" s="2111"/>
      <c r="AB172" s="2111"/>
      <c r="AC172" s="2111"/>
    </row>
    <row r="173" spans="1:29" ht="16.5" customHeight="1" x14ac:dyDescent="0.25">
      <c r="A173" s="1432"/>
      <c r="B173" s="1396"/>
      <c r="C173" s="1395"/>
      <c r="D173" s="2064"/>
      <c r="E173" s="1439"/>
      <c r="F173" s="1201" t="s">
        <v>382</v>
      </c>
      <c r="G173" s="1223">
        <v>405</v>
      </c>
      <c r="H173" s="1357">
        <f>405+24.2+292.4</f>
        <v>721.6</v>
      </c>
      <c r="I173" s="1358">
        <f>+H173-G173</f>
        <v>316.60000000000002</v>
      </c>
      <c r="J173" s="1433"/>
      <c r="K173" s="1400"/>
      <c r="L173" s="1402"/>
      <c r="M173" s="1433"/>
      <c r="N173" s="1433"/>
      <c r="O173" s="1426"/>
      <c r="P173" s="1407"/>
      <c r="Q173" s="833"/>
      <c r="R173" s="589"/>
      <c r="S173" s="349"/>
      <c r="T173" s="589"/>
      <c r="U173" s="349"/>
      <c r="V173" s="141"/>
      <c r="W173" s="2107"/>
      <c r="X173" s="2110"/>
      <c r="Y173" s="2111"/>
      <c r="Z173" s="2111"/>
      <c r="AA173" s="2111"/>
      <c r="AB173" s="2111"/>
      <c r="AC173" s="2111"/>
    </row>
    <row r="174" spans="1:29" ht="117.65" customHeight="1" x14ac:dyDescent="0.25">
      <c r="A174" s="1432"/>
      <c r="B174" s="1396"/>
      <c r="C174" s="1395"/>
      <c r="D174" s="1836"/>
      <c r="E174" s="852"/>
      <c r="F174" s="548"/>
      <c r="G174" s="1436"/>
      <c r="H174" s="1434"/>
      <c r="I174" s="1403"/>
      <c r="J174" s="1434"/>
      <c r="K174" s="1401"/>
      <c r="L174" s="1403"/>
      <c r="M174" s="1434"/>
      <c r="N174" s="1434"/>
      <c r="O174" s="1427"/>
      <c r="P174" s="419"/>
      <c r="Q174" s="526"/>
      <c r="R174" s="836"/>
      <c r="S174" s="394"/>
      <c r="T174" s="836"/>
      <c r="U174" s="394"/>
      <c r="V174" s="290"/>
      <c r="W174" s="2108"/>
      <c r="X174" s="2110"/>
      <c r="Y174" s="2111"/>
      <c r="Z174" s="2111"/>
      <c r="AA174" s="2111"/>
      <c r="AB174" s="2111"/>
      <c r="AC174" s="2111"/>
    </row>
    <row r="175" spans="1:29" ht="27" customHeight="1" x14ac:dyDescent="0.25">
      <c r="A175" s="1432"/>
      <c r="B175" s="1396"/>
      <c r="C175" s="1395"/>
      <c r="D175" s="1835" t="s">
        <v>93</v>
      </c>
      <c r="E175" s="1439"/>
      <c r="F175" s="1116" t="s">
        <v>381</v>
      </c>
      <c r="G175" s="1139">
        <v>93.4</v>
      </c>
      <c r="H175" s="1117"/>
      <c r="I175" s="1115"/>
      <c r="J175" s="1117">
        <v>93.4</v>
      </c>
      <c r="K175" s="1114"/>
      <c r="L175" s="1115"/>
      <c r="M175" s="1117">
        <v>93.4</v>
      </c>
      <c r="N175" s="1433"/>
      <c r="O175" s="1426"/>
      <c r="P175" s="1407" t="s">
        <v>112</v>
      </c>
      <c r="Q175" s="916">
        <v>18</v>
      </c>
      <c r="R175" s="986"/>
      <c r="S175" s="511">
        <v>18</v>
      </c>
      <c r="T175" s="986"/>
      <c r="U175" s="511">
        <v>18</v>
      </c>
      <c r="V175" s="291"/>
      <c r="W175" s="291"/>
    </row>
    <row r="176" spans="1:29" ht="14.25" customHeight="1" x14ac:dyDescent="0.25">
      <c r="A176" s="1432"/>
      <c r="B176" s="1396"/>
      <c r="C176" s="1395"/>
      <c r="D176" s="1836"/>
      <c r="E176" s="1439"/>
      <c r="F176" s="1177"/>
      <c r="G176" s="1331"/>
      <c r="H176" s="1348"/>
      <c r="I176" s="1188"/>
      <c r="J176" s="1348"/>
      <c r="K176" s="1168"/>
      <c r="L176" s="1188"/>
      <c r="M176" s="1348"/>
      <c r="N176" s="1434"/>
      <c r="O176" s="1427"/>
      <c r="P176" s="1408"/>
      <c r="Q176" s="526"/>
      <c r="R176" s="836"/>
      <c r="S176" s="394"/>
      <c r="T176" s="836"/>
      <c r="U176" s="394"/>
      <c r="V176" s="290"/>
      <c r="W176" s="290"/>
    </row>
    <row r="177" spans="1:23" ht="16.5" customHeight="1" x14ac:dyDescent="0.25">
      <c r="A177" s="1432"/>
      <c r="B177" s="1396"/>
      <c r="C177" s="1395"/>
      <c r="D177" s="1837" t="s">
        <v>244</v>
      </c>
      <c r="E177" s="850" t="s">
        <v>178</v>
      </c>
      <c r="F177" s="1116" t="s">
        <v>381</v>
      </c>
      <c r="G177" s="1139">
        <v>70</v>
      </c>
      <c r="H177" s="1117"/>
      <c r="I177" s="1115"/>
      <c r="J177" s="1117">
        <v>70</v>
      </c>
      <c r="K177" s="1114"/>
      <c r="L177" s="1115"/>
      <c r="M177" s="1117">
        <v>70</v>
      </c>
      <c r="N177" s="1433"/>
      <c r="O177" s="1426"/>
      <c r="P177" s="1958" t="s">
        <v>359</v>
      </c>
      <c r="Q177" s="833">
        <v>2</v>
      </c>
      <c r="R177" s="589"/>
      <c r="S177" s="349">
        <v>2</v>
      </c>
      <c r="T177" s="589"/>
      <c r="U177" s="349">
        <v>2</v>
      </c>
      <c r="V177" s="141"/>
      <c r="W177" s="141"/>
    </row>
    <row r="178" spans="1:23" ht="26.25" customHeight="1" x14ac:dyDescent="0.25">
      <c r="A178" s="1432"/>
      <c r="B178" s="1396"/>
      <c r="C178" s="1395"/>
      <c r="D178" s="1838"/>
      <c r="E178" s="1439"/>
      <c r="F178" s="1124"/>
      <c r="G178" s="1157"/>
      <c r="H178" s="1128"/>
      <c r="I178" s="1129"/>
      <c r="J178" s="1128"/>
      <c r="K178" s="1126"/>
      <c r="L178" s="1129"/>
      <c r="M178" s="1128"/>
      <c r="N178" s="202"/>
      <c r="O178" s="44"/>
      <c r="P178" s="2001"/>
      <c r="Q178" s="681"/>
      <c r="R178" s="545"/>
      <c r="S178" s="350"/>
      <c r="T178" s="545"/>
      <c r="U178" s="350"/>
      <c r="V178" s="142"/>
      <c r="W178" s="142"/>
    </row>
    <row r="179" spans="1:23" ht="18" customHeight="1" x14ac:dyDescent="0.25">
      <c r="A179" s="1998"/>
      <c r="B179" s="1790"/>
      <c r="C179" s="1755"/>
      <c r="D179" s="1775" t="s">
        <v>37</v>
      </c>
      <c r="E179" s="1856"/>
      <c r="F179" s="1116" t="s">
        <v>381</v>
      </c>
      <c r="G179" s="1139">
        <v>59.5</v>
      </c>
      <c r="H179" s="1117"/>
      <c r="I179" s="1115"/>
      <c r="J179" s="1117">
        <v>62</v>
      </c>
      <c r="K179" s="1114"/>
      <c r="L179" s="1115"/>
      <c r="M179" s="1117">
        <v>65</v>
      </c>
      <c r="N179" s="1433"/>
      <c r="O179" s="1426"/>
      <c r="P179" s="2009" t="s">
        <v>45</v>
      </c>
      <c r="Q179" s="2058" t="s">
        <v>204</v>
      </c>
      <c r="R179" s="2050"/>
      <c r="S179" s="2060" t="s">
        <v>204</v>
      </c>
      <c r="T179" s="2052"/>
      <c r="U179" s="2062"/>
      <c r="V179" s="2056"/>
      <c r="W179" s="1853"/>
    </row>
    <row r="180" spans="1:23" ht="18" customHeight="1" x14ac:dyDescent="0.25">
      <c r="A180" s="1998"/>
      <c r="B180" s="1790"/>
      <c r="C180" s="1755"/>
      <c r="D180" s="1855"/>
      <c r="E180" s="1857"/>
      <c r="F180" s="1124"/>
      <c r="G180" s="1157"/>
      <c r="H180" s="1128"/>
      <c r="I180" s="1129"/>
      <c r="J180" s="1128"/>
      <c r="K180" s="1126"/>
      <c r="L180" s="1129"/>
      <c r="M180" s="1128"/>
      <c r="N180" s="202"/>
      <c r="O180" s="44"/>
      <c r="P180" s="2010"/>
      <c r="Q180" s="2059"/>
      <c r="R180" s="2051"/>
      <c r="S180" s="2061"/>
      <c r="T180" s="1854"/>
      <c r="U180" s="2061"/>
      <c r="V180" s="2057"/>
      <c r="W180" s="1854"/>
    </row>
    <row r="181" spans="1:23" ht="22" customHeight="1" x14ac:dyDescent="0.25">
      <c r="A181" s="1998"/>
      <c r="B181" s="1754"/>
      <c r="C181" s="1755"/>
      <c r="D181" s="1858" t="s">
        <v>140</v>
      </c>
      <c r="E181" s="1856"/>
      <c r="F181" s="1208" t="s">
        <v>381</v>
      </c>
      <c r="G181" s="1209">
        <v>120</v>
      </c>
      <c r="H181" s="1239">
        <f>120-20</f>
        <v>100</v>
      </c>
      <c r="I181" s="1211">
        <f>+H181-G181</f>
        <v>-20</v>
      </c>
      <c r="J181" s="224">
        <v>120</v>
      </c>
      <c r="K181" s="213"/>
      <c r="L181" s="522"/>
      <c r="M181" s="224">
        <v>130</v>
      </c>
      <c r="N181" s="224"/>
      <c r="O181" s="215"/>
      <c r="P181" s="1364" t="s">
        <v>97</v>
      </c>
      <c r="Q181" s="527">
        <v>3</v>
      </c>
      <c r="R181" s="563"/>
      <c r="S181" s="359">
        <v>3</v>
      </c>
      <c r="T181" s="563"/>
      <c r="U181" s="375">
        <v>3</v>
      </c>
      <c r="V181" s="143"/>
      <c r="W181" s="2094" t="s">
        <v>444</v>
      </c>
    </row>
    <row r="182" spans="1:23" ht="27" customHeight="1" x14ac:dyDescent="0.25">
      <c r="A182" s="1998"/>
      <c r="B182" s="1754"/>
      <c r="C182" s="1755"/>
      <c r="D182" s="1822"/>
      <c r="E182" s="1857"/>
      <c r="F182" s="20"/>
      <c r="G182" s="1435"/>
      <c r="H182" s="1433"/>
      <c r="I182" s="1402"/>
      <c r="J182" s="1433"/>
      <c r="K182" s="1400"/>
      <c r="L182" s="1402"/>
      <c r="M182" s="1433"/>
      <c r="N182" s="1433"/>
      <c r="O182" s="1426"/>
      <c r="P182" s="406" t="s">
        <v>409</v>
      </c>
      <c r="Q182" s="525">
        <v>1</v>
      </c>
      <c r="R182" s="469"/>
      <c r="S182" s="395">
        <v>1</v>
      </c>
      <c r="T182" s="469"/>
      <c r="U182" s="349">
        <v>1</v>
      </c>
      <c r="V182" s="141"/>
      <c r="W182" s="2079"/>
    </row>
    <row r="183" spans="1:23" ht="32" customHeight="1" x14ac:dyDescent="0.25">
      <c r="A183" s="1432"/>
      <c r="B183" s="1396"/>
      <c r="C183" s="1395"/>
      <c r="D183" s="1384"/>
      <c r="E183" s="1857"/>
      <c r="F183" s="20"/>
      <c r="G183" s="1435"/>
      <c r="H183" s="1433"/>
      <c r="I183" s="1402"/>
      <c r="J183" s="1433"/>
      <c r="K183" s="1400"/>
      <c r="L183" s="1402"/>
      <c r="M183" s="1433"/>
      <c r="N183" s="1433"/>
      <c r="O183" s="1426"/>
      <c r="P183" s="1374" t="s">
        <v>408</v>
      </c>
      <c r="Q183" s="837">
        <v>1</v>
      </c>
      <c r="R183" s="476"/>
      <c r="S183" s="395">
        <v>1</v>
      </c>
      <c r="T183" s="469"/>
      <c r="U183" s="391">
        <v>1</v>
      </c>
      <c r="V183" s="198"/>
      <c r="W183" s="2079"/>
    </row>
    <row r="184" spans="1:23" ht="15.65" customHeight="1" x14ac:dyDescent="0.25">
      <c r="A184" s="1432"/>
      <c r="B184" s="1396"/>
      <c r="C184" s="1395"/>
      <c r="D184" s="1384"/>
      <c r="E184" s="1859"/>
      <c r="F184" s="124"/>
      <c r="G184" s="38"/>
      <c r="H184" s="202"/>
      <c r="I184" s="456"/>
      <c r="J184" s="202"/>
      <c r="K184" s="214"/>
      <c r="L184" s="456"/>
      <c r="M184" s="202"/>
      <c r="N184" s="202"/>
      <c r="O184" s="44"/>
      <c r="P184" s="418" t="s">
        <v>265</v>
      </c>
      <c r="Q184" s="444">
        <v>1</v>
      </c>
      <c r="R184" s="445"/>
      <c r="S184" s="566">
        <v>1</v>
      </c>
      <c r="T184" s="445"/>
      <c r="U184" s="566">
        <v>1</v>
      </c>
      <c r="V184" s="568"/>
      <c r="W184" s="2102"/>
    </row>
    <row r="185" spans="1:23" ht="20.149999999999999" customHeight="1" x14ac:dyDescent="0.25">
      <c r="A185" s="935"/>
      <c r="B185" s="1396"/>
      <c r="C185" s="72"/>
      <c r="D185" s="1775" t="s">
        <v>230</v>
      </c>
      <c r="E185" s="176"/>
      <c r="F185" s="20"/>
      <c r="G185" s="1435"/>
      <c r="H185" s="1433"/>
      <c r="I185" s="1402"/>
      <c r="J185" s="1433"/>
      <c r="K185" s="1400"/>
      <c r="L185" s="1402"/>
      <c r="M185" s="1433"/>
      <c r="N185" s="1433"/>
      <c r="O185" s="1426"/>
      <c r="P185" s="1957" t="s">
        <v>158</v>
      </c>
      <c r="Q185" s="527">
        <v>100</v>
      </c>
      <c r="R185" s="563"/>
      <c r="S185" s="359"/>
      <c r="T185" s="563"/>
      <c r="U185" s="359"/>
      <c r="V185" s="140"/>
      <c r="W185" s="140"/>
    </row>
    <row r="186" spans="1:23" ht="20.149999999999999" customHeight="1" x14ac:dyDescent="0.25">
      <c r="A186" s="935"/>
      <c r="B186" s="1396"/>
      <c r="C186" s="72"/>
      <c r="D186" s="1855"/>
      <c r="E186" s="176"/>
      <c r="F186" s="1116" t="s">
        <v>395</v>
      </c>
      <c r="G186" s="1157">
        <v>34.9</v>
      </c>
      <c r="H186" s="1128"/>
      <c r="I186" s="1129"/>
      <c r="J186" s="1128"/>
      <c r="K186" s="1126"/>
      <c r="L186" s="1129"/>
      <c r="M186" s="1128"/>
      <c r="N186" s="1128"/>
      <c r="O186" s="44"/>
      <c r="P186" s="2001"/>
      <c r="Q186" s="681"/>
      <c r="R186" s="545"/>
      <c r="S186" s="350"/>
      <c r="T186" s="545"/>
      <c r="U186" s="350"/>
      <c r="V186" s="142"/>
      <c r="W186" s="142"/>
    </row>
    <row r="187" spans="1:23" ht="14.25" customHeight="1" x14ac:dyDescent="0.25">
      <c r="A187" s="1437"/>
      <c r="B187" s="127"/>
      <c r="C187" s="1372"/>
      <c r="D187" s="1775" t="s">
        <v>78</v>
      </c>
      <c r="E187" s="1856" t="s">
        <v>118</v>
      </c>
      <c r="F187" s="1119" t="s">
        <v>394</v>
      </c>
      <c r="G187" s="1139">
        <v>15.5</v>
      </c>
      <c r="H187" s="1117"/>
      <c r="I187" s="1115"/>
      <c r="J187" s="1117"/>
      <c r="K187" s="1114"/>
      <c r="L187" s="1115"/>
      <c r="M187" s="1117"/>
      <c r="N187" s="1117"/>
      <c r="O187" s="1426"/>
      <c r="P187" s="417" t="s">
        <v>125</v>
      </c>
      <c r="Q187" s="501"/>
      <c r="R187" s="465"/>
      <c r="S187" s="375"/>
      <c r="T187" s="465"/>
      <c r="U187" s="375"/>
      <c r="V187" s="143"/>
      <c r="W187" s="143"/>
    </row>
    <row r="188" spans="1:23" ht="15.75" customHeight="1" x14ac:dyDescent="0.25">
      <c r="A188" s="935"/>
      <c r="B188" s="1396"/>
      <c r="C188" s="72"/>
      <c r="D188" s="1776"/>
      <c r="E188" s="1857"/>
      <c r="F188" s="1116" t="s">
        <v>395</v>
      </c>
      <c r="G188" s="1139">
        <v>8.1999999999999993</v>
      </c>
      <c r="H188" s="1117"/>
      <c r="I188" s="1115"/>
      <c r="J188" s="1117"/>
      <c r="K188" s="1114"/>
      <c r="L188" s="1115"/>
      <c r="M188" s="1117"/>
      <c r="N188" s="1117"/>
      <c r="O188" s="1426"/>
      <c r="P188" s="1398" t="s">
        <v>106</v>
      </c>
      <c r="Q188" s="833">
        <v>4</v>
      </c>
      <c r="R188" s="589"/>
      <c r="S188" s="513"/>
      <c r="T188" s="994"/>
      <c r="U188" s="513"/>
      <c r="V188" s="294"/>
      <c r="W188" s="294"/>
    </row>
    <row r="189" spans="1:23" ht="19.5" customHeight="1" x14ac:dyDescent="0.25">
      <c r="A189" s="935"/>
      <c r="B189" s="1396"/>
      <c r="C189" s="72"/>
      <c r="D189" s="1373"/>
      <c r="E189" s="847" t="s">
        <v>402</v>
      </c>
      <c r="F189" s="1124" t="s">
        <v>394</v>
      </c>
      <c r="G189" s="1157"/>
      <c r="H189" s="1128"/>
      <c r="I189" s="1129"/>
      <c r="J189" s="1128">
        <v>50.4</v>
      </c>
      <c r="K189" s="1126"/>
      <c r="L189" s="1129"/>
      <c r="M189" s="1128">
        <v>50.4</v>
      </c>
      <c r="N189" s="1128"/>
      <c r="O189" s="44"/>
      <c r="P189" s="410" t="s">
        <v>79</v>
      </c>
      <c r="Q189" s="686"/>
      <c r="R189" s="556"/>
      <c r="S189" s="422">
        <v>7</v>
      </c>
      <c r="T189" s="556"/>
      <c r="U189" s="422">
        <v>7</v>
      </c>
      <c r="V189" s="152"/>
      <c r="W189" s="152"/>
    </row>
    <row r="190" spans="1:23" ht="27" customHeight="1" x14ac:dyDescent="0.25">
      <c r="A190" s="1437"/>
      <c r="B190" s="127"/>
      <c r="C190" s="468"/>
      <c r="D190" s="1775" t="s">
        <v>128</v>
      </c>
      <c r="E190" s="1388"/>
      <c r="F190" s="1180" t="s">
        <v>394</v>
      </c>
      <c r="G190" s="1135"/>
      <c r="H190" s="1110"/>
      <c r="I190" s="1137"/>
      <c r="J190" s="1131">
        <v>20</v>
      </c>
      <c r="K190" s="213"/>
      <c r="L190" s="522"/>
      <c r="M190" s="224"/>
      <c r="N190" s="224"/>
      <c r="O190" s="215"/>
      <c r="P190" s="412" t="s">
        <v>40</v>
      </c>
      <c r="Q190" s="618"/>
      <c r="R190" s="619"/>
      <c r="S190" s="496" t="s">
        <v>203</v>
      </c>
      <c r="T190" s="619"/>
      <c r="U190" s="496"/>
      <c r="V190" s="147"/>
      <c r="W190" s="2112" t="s">
        <v>477</v>
      </c>
    </row>
    <row r="191" spans="1:23" ht="140.5" customHeight="1" x14ac:dyDescent="0.25">
      <c r="A191" s="939"/>
      <c r="B191" s="127"/>
      <c r="C191" s="106"/>
      <c r="D191" s="1765"/>
      <c r="E191" s="1413"/>
      <c r="F191" s="1326" t="s">
        <v>382</v>
      </c>
      <c r="G191" s="1327"/>
      <c r="H191" s="1303">
        <v>3.7</v>
      </c>
      <c r="I191" s="1355">
        <f>+H191-G191</f>
        <v>3.7</v>
      </c>
      <c r="J191" s="1433"/>
      <c r="K191" s="1400"/>
      <c r="L191" s="1402"/>
      <c r="M191" s="1433"/>
      <c r="N191" s="1433"/>
      <c r="O191" s="1426"/>
      <c r="P191" s="1407"/>
      <c r="Q191" s="1428"/>
      <c r="R191" s="1424"/>
      <c r="S191" s="392"/>
      <c r="T191" s="1424"/>
      <c r="U191" s="392"/>
      <c r="V191" s="195"/>
      <c r="W191" s="2113"/>
    </row>
    <row r="192" spans="1:23" ht="29.25" customHeight="1" x14ac:dyDescent="0.25">
      <c r="A192" s="939"/>
      <c r="B192" s="127"/>
      <c r="C192" s="106"/>
      <c r="D192" s="101" t="s">
        <v>285</v>
      </c>
      <c r="E192" s="1397"/>
      <c r="F192" s="1116" t="s">
        <v>395</v>
      </c>
      <c r="G192" s="1157">
        <v>5.3</v>
      </c>
      <c r="H192" s="1126"/>
      <c r="I192" s="1129"/>
      <c r="J192" s="1128"/>
      <c r="K192" s="1126"/>
      <c r="L192" s="1129"/>
      <c r="M192" s="1128"/>
      <c r="N192" s="202"/>
      <c r="O192" s="44"/>
      <c r="P192" s="418" t="s">
        <v>129</v>
      </c>
      <c r="Q192" s="918" t="s">
        <v>46</v>
      </c>
      <c r="R192" s="992"/>
      <c r="S192" s="540"/>
      <c r="T192" s="992"/>
      <c r="U192" s="540"/>
      <c r="V192" s="295"/>
      <c r="W192" s="295"/>
    </row>
    <row r="193" spans="1:29" ht="28.25" customHeight="1" x14ac:dyDescent="0.25">
      <c r="A193" s="1432"/>
      <c r="B193" s="1396"/>
      <c r="C193" s="1395"/>
      <c r="D193" s="1756" t="s">
        <v>186</v>
      </c>
      <c r="E193" s="853" t="s">
        <v>403</v>
      </c>
      <c r="F193" s="1119" t="s">
        <v>381</v>
      </c>
      <c r="G193" s="1139"/>
      <c r="H193" s="1114"/>
      <c r="I193" s="1115"/>
      <c r="J193" s="1117"/>
      <c r="K193" s="1114"/>
      <c r="L193" s="1115"/>
      <c r="M193" s="1117"/>
      <c r="N193" s="1433"/>
      <c r="O193" s="1426"/>
      <c r="P193" s="1364" t="s">
        <v>266</v>
      </c>
      <c r="Q193" s="618">
        <v>4</v>
      </c>
      <c r="R193" s="619"/>
      <c r="S193" s="496">
        <v>4</v>
      </c>
      <c r="T193" s="619"/>
      <c r="U193" s="359"/>
      <c r="V193" s="140"/>
      <c r="W193" s="563"/>
    </row>
    <row r="194" spans="1:29" ht="17.25" customHeight="1" x14ac:dyDescent="0.25">
      <c r="A194" s="1432"/>
      <c r="B194" s="1396"/>
      <c r="C194" s="1395"/>
      <c r="D194" s="1715"/>
      <c r="E194" s="1397" t="s">
        <v>153</v>
      </c>
      <c r="F194" s="1124"/>
      <c r="G194" s="1157"/>
      <c r="H194" s="1126"/>
      <c r="I194" s="1129"/>
      <c r="J194" s="1128"/>
      <c r="K194" s="1126"/>
      <c r="L194" s="1129"/>
      <c r="M194" s="1128"/>
      <c r="N194" s="202"/>
      <c r="O194" s="44"/>
      <c r="P194" s="1365"/>
      <c r="Q194" s="1429"/>
      <c r="R194" s="1425"/>
      <c r="S194" s="347"/>
      <c r="T194" s="1425"/>
      <c r="U194" s="350"/>
      <c r="V194" s="142"/>
      <c r="W194" s="545"/>
    </row>
    <row r="195" spans="1:29" ht="17.75" customHeight="1" x14ac:dyDescent="0.25">
      <c r="A195" s="1432"/>
      <c r="B195" s="1396"/>
      <c r="C195" s="75"/>
      <c r="D195" s="1714" t="s">
        <v>307</v>
      </c>
      <c r="E195" s="890" t="s">
        <v>417</v>
      </c>
      <c r="F195" s="1116" t="s">
        <v>394</v>
      </c>
      <c r="G195" s="1135">
        <v>60</v>
      </c>
      <c r="H195" s="1110"/>
      <c r="I195" s="1137"/>
      <c r="J195" s="1117">
        <v>300</v>
      </c>
      <c r="K195" s="1114"/>
      <c r="L195" s="1115"/>
      <c r="M195" s="1131"/>
      <c r="N195" s="224"/>
      <c r="O195" s="215"/>
      <c r="P195" s="412" t="s">
        <v>331</v>
      </c>
      <c r="Q195" s="519">
        <v>1</v>
      </c>
      <c r="R195" s="521"/>
      <c r="S195" s="990"/>
      <c r="T195" s="521"/>
      <c r="U195" s="990"/>
      <c r="V195" s="919"/>
      <c r="W195" s="521"/>
    </row>
    <row r="196" spans="1:29" ht="17.75" customHeight="1" x14ac:dyDescent="0.25">
      <c r="A196" s="1432"/>
      <c r="B196" s="1396"/>
      <c r="C196" s="75"/>
      <c r="D196" s="1715"/>
      <c r="E196" s="1397" t="s">
        <v>41</v>
      </c>
      <c r="F196" s="1124"/>
      <c r="G196" s="1157"/>
      <c r="H196" s="1126"/>
      <c r="I196" s="1129"/>
      <c r="J196" s="1128"/>
      <c r="K196" s="1126"/>
      <c r="L196" s="1129"/>
      <c r="M196" s="1128"/>
      <c r="N196" s="202"/>
      <c r="O196" s="44"/>
      <c r="P196" s="410" t="s">
        <v>308</v>
      </c>
      <c r="Q196" s="306"/>
      <c r="R196" s="556"/>
      <c r="S196" s="422">
        <v>100</v>
      </c>
      <c r="T196" s="556"/>
      <c r="U196" s="422"/>
      <c r="V196" s="152"/>
      <c r="W196" s="556"/>
    </row>
    <row r="197" spans="1:29" ht="17.75" customHeight="1" x14ac:dyDescent="0.25">
      <c r="A197" s="1432"/>
      <c r="B197" s="1396"/>
      <c r="C197" s="1395"/>
      <c r="D197" s="1440" t="s">
        <v>330</v>
      </c>
      <c r="E197" s="890" t="s">
        <v>417</v>
      </c>
      <c r="F197" s="1116" t="s">
        <v>394</v>
      </c>
      <c r="G197" s="1139"/>
      <c r="H197" s="1114"/>
      <c r="I197" s="1115"/>
      <c r="J197" s="1117">
        <f>2250-1125</f>
        <v>1125</v>
      </c>
      <c r="K197" s="1114"/>
      <c r="L197" s="1115"/>
      <c r="M197" s="1117">
        <v>1125</v>
      </c>
      <c r="N197" s="1433"/>
      <c r="O197" s="1426"/>
      <c r="P197" s="1385" t="s">
        <v>332</v>
      </c>
      <c r="Q197" s="558"/>
      <c r="R197" s="993"/>
      <c r="S197" s="991">
        <v>10</v>
      </c>
      <c r="T197" s="993"/>
      <c r="U197" s="513"/>
      <c r="V197" s="294"/>
      <c r="W197" s="294"/>
    </row>
    <row r="198" spans="1:29" ht="17.75" customHeight="1" x14ac:dyDescent="0.25">
      <c r="A198" s="1432"/>
      <c r="B198" s="1396"/>
      <c r="C198" s="1395"/>
      <c r="D198" s="557"/>
      <c r="E198" s="1391" t="s">
        <v>41</v>
      </c>
      <c r="F198" s="1116" t="s">
        <v>390</v>
      </c>
      <c r="G198" s="1139"/>
      <c r="H198" s="1114"/>
      <c r="I198" s="1115"/>
      <c r="J198" s="1117">
        <f>2750-1375</f>
        <v>1375</v>
      </c>
      <c r="K198" s="1114"/>
      <c r="L198" s="1115"/>
      <c r="M198" s="1117">
        <v>1375</v>
      </c>
      <c r="N198" s="1433"/>
      <c r="O198" s="1426"/>
      <c r="P198" s="1385"/>
      <c r="Q198" s="305"/>
      <c r="R198" s="994"/>
      <c r="S198" s="513"/>
      <c r="T198" s="994"/>
      <c r="U198" s="513"/>
      <c r="V198" s="294"/>
      <c r="W198" s="294"/>
    </row>
    <row r="199" spans="1:29" ht="17.75" customHeight="1" x14ac:dyDescent="0.25">
      <c r="A199" s="1432"/>
      <c r="B199" s="1396"/>
      <c r="C199" s="1395"/>
      <c r="D199" s="1441"/>
      <c r="E199" s="847" t="s">
        <v>418</v>
      </c>
      <c r="F199" s="20"/>
      <c r="G199" s="38"/>
      <c r="H199" s="214"/>
      <c r="I199" s="456"/>
      <c r="J199" s="1433"/>
      <c r="K199" s="1400"/>
      <c r="L199" s="456"/>
      <c r="M199" s="1433"/>
      <c r="N199" s="1433"/>
      <c r="O199" s="1426"/>
      <c r="P199" s="1385"/>
      <c r="Q199" s="516"/>
      <c r="R199" s="517"/>
      <c r="S199" s="684"/>
      <c r="T199" s="517"/>
      <c r="U199" s="513"/>
      <c r="V199" s="294"/>
      <c r="W199" s="294"/>
    </row>
    <row r="200" spans="1:29" ht="15" customHeight="1" thickBot="1" x14ac:dyDescent="0.3">
      <c r="A200" s="265"/>
      <c r="B200" s="54"/>
      <c r="C200" s="67"/>
      <c r="D200" s="68"/>
      <c r="E200" s="514"/>
      <c r="F200" s="518" t="s">
        <v>5</v>
      </c>
      <c r="G200" s="790">
        <f>+G158+G159+G160+G161+G162</f>
        <v>5962.5</v>
      </c>
      <c r="H200" s="790">
        <f>+H158+H159+H160+H161+H162</f>
        <v>6262.8</v>
      </c>
      <c r="I200" s="535">
        <f>+I158+I159+I160+I161+I162</f>
        <v>300.3</v>
      </c>
      <c r="J200" s="790">
        <f t="shared" ref="J200:O200" si="17">+J158+J159+J160+J161+J162</f>
        <v>8325.7000000000007</v>
      </c>
      <c r="K200" s="790">
        <f t="shared" si="17"/>
        <v>8325.7000000000007</v>
      </c>
      <c r="L200" s="523">
        <f t="shared" si="17"/>
        <v>0</v>
      </c>
      <c r="M200" s="955">
        <f t="shared" si="17"/>
        <v>8085.5</v>
      </c>
      <c r="N200" s="955">
        <f t="shared" si="17"/>
        <v>8085.5</v>
      </c>
      <c r="O200" s="790">
        <f t="shared" si="17"/>
        <v>0</v>
      </c>
      <c r="P200" s="963"/>
      <c r="Q200" s="288"/>
      <c r="R200" s="288"/>
      <c r="S200" s="288"/>
      <c r="T200" s="288"/>
      <c r="U200" s="288"/>
      <c r="V200" s="288"/>
      <c r="W200" s="70"/>
    </row>
    <row r="201" spans="1:29" ht="15" customHeight="1" thickBot="1" x14ac:dyDescent="0.3">
      <c r="A201" s="940" t="s">
        <v>4</v>
      </c>
      <c r="B201" s="56" t="s">
        <v>6</v>
      </c>
      <c r="C201" s="1839" t="s">
        <v>7</v>
      </c>
      <c r="D201" s="1840"/>
      <c r="E201" s="1840"/>
      <c r="F201" s="1840"/>
      <c r="G201" s="362">
        <f t="shared" ref="G201:O201" si="18">G200</f>
        <v>5962.5</v>
      </c>
      <c r="H201" s="56">
        <f t="shared" si="18"/>
        <v>6262.8</v>
      </c>
      <c r="I201" s="950">
        <f t="shared" si="18"/>
        <v>300.3</v>
      </c>
      <c r="J201" s="951">
        <f t="shared" si="18"/>
        <v>8325.7000000000007</v>
      </c>
      <c r="K201" s="25">
        <f t="shared" si="18"/>
        <v>8325.7000000000007</v>
      </c>
      <c r="L201" s="950">
        <f t="shared" si="18"/>
        <v>0</v>
      </c>
      <c r="M201" s="951">
        <f t="shared" si="18"/>
        <v>8085.5</v>
      </c>
      <c r="N201" s="25">
        <f t="shared" si="18"/>
        <v>8085.5</v>
      </c>
      <c r="O201" s="950">
        <f t="shared" si="18"/>
        <v>0</v>
      </c>
      <c r="P201" s="1862"/>
      <c r="Q201" s="1863"/>
      <c r="R201" s="1863"/>
      <c r="S201" s="1863"/>
      <c r="T201" s="1863"/>
      <c r="U201" s="1863"/>
      <c r="V201" s="1367"/>
      <c r="W201" s="961"/>
    </row>
    <row r="202" spans="1:29" ht="15" customHeight="1" thickBot="1" x14ac:dyDescent="0.3">
      <c r="A202" s="937" t="s">
        <v>4</v>
      </c>
      <c r="B202" s="56" t="s">
        <v>25</v>
      </c>
      <c r="C202" s="1844" t="s">
        <v>75</v>
      </c>
      <c r="D202" s="1865"/>
      <c r="E202" s="1865"/>
      <c r="F202" s="1865"/>
      <c r="G202" s="1865"/>
      <c r="H202" s="1865"/>
      <c r="I202" s="1865"/>
      <c r="J202" s="1865"/>
      <c r="K202" s="1865"/>
      <c r="L202" s="1865"/>
      <c r="M202" s="1865"/>
      <c r="N202" s="1865"/>
      <c r="O202" s="1865"/>
      <c r="P202" s="1865"/>
      <c r="Q202" s="1865"/>
      <c r="R202" s="1865"/>
      <c r="S202" s="1865"/>
      <c r="T202" s="1865"/>
      <c r="U202" s="1865"/>
      <c r="V202" s="962"/>
      <c r="W202" s="1393"/>
      <c r="Y202" s="1297" t="s">
        <v>431</v>
      </c>
    </row>
    <row r="203" spans="1:29" ht="14.25" customHeight="1" x14ac:dyDescent="0.25">
      <c r="A203" s="938" t="s">
        <v>4</v>
      </c>
      <c r="B203" s="55" t="s">
        <v>25</v>
      </c>
      <c r="C203" s="69" t="s">
        <v>4</v>
      </c>
      <c r="D203" s="1883" t="s">
        <v>73</v>
      </c>
      <c r="E203" s="129" t="s">
        <v>118</v>
      </c>
      <c r="F203" s="1201" t="s">
        <v>22</v>
      </c>
      <c r="G203" s="1292">
        <v>391.7</v>
      </c>
      <c r="H203" s="1295">
        <f>391.7+46.3</f>
        <v>438</v>
      </c>
      <c r="I203" s="1294">
        <f>+H203-G203</f>
        <v>46.3</v>
      </c>
      <c r="J203" s="948">
        <v>315.2</v>
      </c>
      <c r="K203" s="283">
        <v>315.2</v>
      </c>
      <c r="L203" s="814">
        <f>+K203-J203</f>
        <v>0</v>
      </c>
      <c r="M203" s="427">
        <v>315.2</v>
      </c>
      <c r="N203" s="427">
        <v>315.2</v>
      </c>
      <c r="O203" s="427">
        <f>+N203-M203</f>
        <v>0</v>
      </c>
      <c r="P203" s="813"/>
      <c r="Q203" s="838"/>
      <c r="R203" s="814"/>
      <c r="S203" s="427"/>
      <c r="T203" s="814"/>
      <c r="U203" s="427"/>
      <c r="V203" s="155"/>
      <c r="W203" s="155"/>
      <c r="Y203" s="1105">
        <f>+G208+G217+G221+G222</f>
        <v>391.7</v>
      </c>
      <c r="Z203" s="1105">
        <f>+J208+J217+J221+J222</f>
        <v>315.2</v>
      </c>
      <c r="AA203" s="1105">
        <f t="shared" ref="AA203" si="19">+M208+M217+M221+M222</f>
        <v>315.2</v>
      </c>
    </row>
    <row r="204" spans="1:29" ht="14.25" customHeight="1" x14ac:dyDescent="0.25">
      <c r="A204" s="1432"/>
      <c r="B204" s="1396"/>
      <c r="C204" s="1395"/>
      <c r="D204" s="1884"/>
      <c r="E204" s="129"/>
      <c r="F204" s="1201" t="s">
        <v>57</v>
      </c>
      <c r="G204" s="1223">
        <v>998.1</v>
      </c>
      <c r="H204" s="1231">
        <f>998.1</f>
        <v>998.1</v>
      </c>
      <c r="I204" s="1204">
        <f>+H204-G204</f>
        <v>0</v>
      </c>
      <c r="J204" s="1231">
        <v>1155.7</v>
      </c>
      <c r="K204" s="1231">
        <f>1155.7+93.9</f>
        <v>1249.5999999999999</v>
      </c>
      <c r="L204" s="1204">
        <f>+K204-J204</f>
        <v>93.9</v>
      </c>
      <c r="M204" s="1231">
        <v>1159.7</v>
      </c>
      <c r="N204" s="1231">
        <f>1159.7+93.9</f>
        <v>1253.5999999999999</v>
      </c>
      <c r="O204" s="1202">
        <f>+N204-M204</f>
        <v>93.9</v>
      </c>
      <c r="P204" s="1398"/>
      <c r="Q204" s="1435"/>
      <c r="R204" s="1402"/>
      <c r="S204" s="1433"/>
      <c r="T204" s="1402"/>
      <c r="U204" s="1433"/>
      <c r="V204" s="1426"/>
      <c r="W204" s="1426"/>
      <c r="Y204" s="1105">
        <f>+G207+G214+G219+G224+G225+G226+G215</f>
        <v>998.1</v>
      </c>
      <c r="Z204" s="1105">
        <f>+J207+J214+J219+J224+J225+J226+J215</f>
        <v>1155.7</v>
      </c>
      <c r="AA204" s="1105">
        <f t="shared" ref="AA204" si="20">+M207+M214+M219+M224+M225+M226+M215</f>
        <v>1159.7</v>
      </c>
    </row>
    <row r="205" spans="1:29" ht="14.25" customHeight="1" x14ac:dyDescent="0.25">
      <c r="A205" s="1432"/>
      <c r="B205" s="1396"/>
      <c r="C205" s="1395"/>
      <c r="D205" s="1884"/>
      <c r="E205" s="129"/>
      <c r="F205" s="20" t="s">
        <v>68</v>
      </c>
      <c r="G205" s="1435">
        <v>318.39999999999998</v>
      </c>
      <c r="H205" s="1433">
        <v>318.39999999999998</v>
      </c>
      <c r="I205" s="1402">
        <f t="shared" ref="I205:I206" si="21">+H205-G205</f>
        <v>0</v>
      </c>
      <c r="J205" s="1433">
        <v>210</v>
      </c>
      <c r="K205" s="1433">
        <v>210</v>
      </c>
      <c r="L205" s="1402">
        <f t="shared" ref="L205:L206" si="22">+K205-J205</f>
        <v>0</v>
      </c>
      <c r="M205" s="1433">
        <v>210</v>
      </c>
      <c r="N205" s="1433">
        <v>210</v>
      </c>
      <c r="O205" s="32">
        <f t="shared" ref="O205:O206" si="23">+N205-M205</f>
        <v>0</v>
      </c>
      <c r="P205" s="1398"/>
      <c r="Q205" s="1435"/>
      <c r="R205" s="1402"/>
      <c r="S205" s="1433"/>
      <c r="T205" s="1402"/>
      <c r="U205" s="1433"/>
      <c r="V205" s="1426"/>
      <c r="W205" s="1426"/>
      <c r="Y205" s="1105">
        <f>+G209+G213</f>
        <v>318.39999999999998</v>
      </c>
      <c r="Z205" s="1105">
        <f>+J209+J213</f>
        <v>210</v>
      </c>
      <c r="AA205" s="1105">
        <f t="shared" ref="AA205" si="24">+M209+M213</f>
        <v>210</v>
      </c>
    </row>
    <row r="206" spans="1:29" ht="14.25" customHeight="1" x14ac:dyDescent="0.25">
      <c r="A206" s="1432"/>
      <c r="B206" s="1396"/>
      <c r="C206" s="1395"/>
      <c r="D206" s="1885"/>
      <c r="E206" s="129"/>
      <c r="F206" s="124" t="s">
        <v>59</v>
      </c>
      <c r="G206" s="38">
        <v>15.7</v>
      </c>
      <c r="H206" s="202">
        <v>15.7</v>
      </c>
      <c r="I206" s="1402">
        <f t="shared" si="21"/>
        <v>0</v>
      </c>
      <c r="J206" s="1433">
        <v>20</v>
      </c>
      <c r="K206" s="1433">
        <v>20</v>
      </c>
      <c r="L206" s="1402">
        <f t="shared" si="22"/>
        <v>0</v>
      </c>
      <c r="M206" s="202">
        <v>26</v>
      </c>
      <c r="N206" s="202">
        <v>26</v>
      </c>
      <c r="O206" s="32">
        <f t="shared" si="23"/>
        <v>0</v>
      </c>
      <c r="P206" s="1365"/>
      <c r="Q206" s="38"/>
      <c r="R206" s="456"/>
      <c r="S206" s="202"/>
      <c r="T206" s="456"/>
      <c r="U206" s="202"/>
      <c r="V206" s="44"/>
      <c r="W206" s="456"/>
      <c r="Y206" s="1105">
        <f>+G220</f>
        <v>15.7</v>
      </c>
      <c r="Z206" s="1105">
        <f>+J220</f>
        <v>20</v>
      </c>
      <c r="AA206" s="1105">
        <f t="shared" ref="AA206" si="25">+M220</f>
        <v>26</v>
      </c>
    </row>
    <row r="207" spans="1:29" ht="15" customHeight="1" x14ac:dyDescent="0.25">
      <c r="A207" s="1432"/>
      <c r="B207" s="1396"/>
      <c r="C207" s="1395"/>
      <c r="D207" s="1714" t="s">
        <v>71</v>
      </c>
      <c r="E207" s="1390" t="s">
        <v>205</v>
      </c>
      <c r="F207" s="1116" t="s">
        <v>394</v>
      </c>
      <c r="G207" s="1135">
        <v>349.1</v>
      </c>
      <c r="H207" s="1110"/>
      <c r="I207" s="1137"/>
      <c r="J207" s="1131">
        <v>430</v>
      </c>
      <c r="K207" s="1110"/>
      <c r="L207" s="1137"/>
      <c r="M207" s="1131">
        <v>450</v>
      </c>
      <c r="N207" s="213"/>
      <c r="O207" s="215"/>
      <c r="P207" s="1385" t="s">
        <v>76</v>
      </c>
      <c r="Q207" s="1436">
        <v>15.3</v>
      </c>
      <c r="R207" s="1403"/>
      <c r="S207" s="995">
        <v>15.3</v>
      </c>
      <c r="T207" s="530"/>
      <c r="U207" s="995">
        <v>15.3</v>
      </c>
      <c r="V207" s="922"/>
      <c r="W207" s="2114" t="s">
        <v>445</v>
      </c>
      <c r="X207" s="2117" t="s">
        <v>478</v>
      </c>
      <c r="Y207" s="2118"/>
      <c r="Z207" s="2118"/>
      <c r="AA207" s="2118"/>
      <c r="AB207" s="2118"/>
      <c r="AC207" s="2118"/>
    </row>
    <row r="208" spans="1:29" ht="15" customHeight="1" x14ac:dyDescent="0.25">
      <c r="A208" s="1432"/>
      <c r="B208" s="1396"/>
      <c r="C208" s="1395"/>
      <c r="D208" s="1756"/>
      <c r="E208" s="1388"/>
      <c r="F208" s="1201" t="s">
        <v>381</v>
      </c>
      <c r="G208" s="1223">
        <v>207.6</v>
      </c>
      <c r="H208" s="1203">
        <f>207.6+46.3</f>
        <v>253.9</v>
      </c>
      <c r="I208" s="1204">
        <f>+H208-G208</f>
        <v>46.3</v>
      </c>
      <c r="J208" s="1433">
        <f t="shared" ref="J208:M208" si="26">55.9+75.2</f>
        <v>131.1</v>
      </c>
      <c r="K208" s="1400"/>
      <c r="L208" s="1402"/>
      <c r="M208" s="1433">
        <f t="shared" si="26"/>
        <v>131.1</v>
      </c>
      <c r="N208" s="1400"/>
      <c r="O208" s="1426"/>
      <c r="P208" s="424" t="s">
        <v>139</v>
      </c>
      <c r="Q208" s="340">
        <v>20</v>
      </c>
      <c r="R208" s="524"/>
      <c r="S208" s="1433">
        <v>20</v>
      </c>
      <c r="T208" s="1402"/>
      <c r="U208" s="504">
        <v>20</v>
      </c>
      <c r="V208" s="218"/>
      <c r="W208" s="2115"/>
      <c r="X208" s="2119"/>
      <c r="Y208" s="2118"/>
      <c r="Z208" s="2118"/>
      <c r="AA208" s="2118"/>
      <c r="AB208" s="2118"/>
      <c r="AC208" s="2118"/>
    </row>
    <row r="209" spans="1:29" ht="49.5" customHeight="1" x14ac:dyDescent="0.25">
      <c r="A209" s="1432"/>
      <c r="B209" s="1396"/>
      <c r="C209" s="1395"/>
      <c r="D209" s="1756"/>
      <c r="E209" s="1388"/>
      <c r="F209" s="1116" t="s">
        <v>386</v>
      </c>
      <c r="G209" s="1139">
        <v>218.4</v>
      </c>
      <c r="H209" s="1114"/>
      <c r="I209" s="1115"/>
      <c r="J209" s="1117">
        <v>100</v>
      </c>
      <c r="K209" s="1114"/>
      <c r="L209" s="1115"/>
      <c r="M209" s="1117">
        <v>100</v>
      </c>
      <c r="N209" s="1400"/>
      <c r="O209" s="1426"/>
      <c r="P209" s="424" t="s">
        <v>33</v>
      </c>
      <c r="Q209" s="833">
        <v>89</v>
      </c>
      <c r="R209" s="589"/>
      <c r="S209" s="395">
        <v>92</v>
      </c>
      <c r="T209" s="469"/>
      <c r="U209" s="395">
        <v>95</v>
      </c>
      <c r="V209" s="144"/>
      <c r="W209" s="2116"/>
      <c r="X209" s="2119"/>
      <c r="Y209" s="2118"/>
      <c r="Z209" s="2118"/>
      <c r="AA209" s="2118"/>
      <c r="AB209" s="2118"/>
      <c r="AC209" s="2118"/>
    </row>
    <row r="210" spans="1:29" ht="26.15" customHeight="1" x14ac:dyDescent="0.25">
      <c r="A210" s="1432"/>
      <c r="B210" s="1396"/>
      <c r="C210" s="1395"/>
      <c r="D210" s="1756"/>
      <c r="E210" s="854"/>
      <c r="F210" s="1069"/>
      <c r="G210" s="493"/>
      <c r="H210" s="1070"/>
      <c r="I210" s="532"/>
      <c r="J210" s="1"/>
      <c r="K210" s="531"/>
      <c r="L210" s="532"/>
      <c r="M210" s="1071"/>
      <c r="N210" s="1070"/>
      <c r="O210" s="1072"/>
      <c r="P210" s="424" t="s">
        <v>235</v>
      </c>
      <c r="Q210" s="525">
        <v>7</v>
      </c>
      <c r="R210" s="469"/>
      <c r="S210" s="395">
        <v>7</v>
      </c>
      <c r="T210" s="469"/>
      <c r="U210" s="395">
        <v>7</v>
      </c>
      <c r="V210" s="144"/>
      <c r="W210" s="144"/>
    </row>
    <row r="211" spans="1:29" ht="26.25" customHeight="1" x14ac:dyDescent="0.25">
      <c r="A211" s="1432"/>
      <c r="B211" s="1396"/>
      <c r="C211" s="1395"/>
      <c r="D211" s="1756"/>
      <c r="E211" s="855"/>
      <c r="F211" s="20"/>
      <c r="G211" s="1435"/>
      <c r="H211" s="1400"/>
      <c r="I211" s="1402"/>
      <c r="J211" s="1433"/>
      <c r="K211" s="1400"/>
      <c r="L211" s="1402"/>
      <c r="M211" s="1433"/>
      <c r="N211" s="1400"/>
      <c r="O211" s="1426"/>
      <c r="P211" s="424" t="s">
        <v>410</v>
      </c>
      <c r="Q211" s="837">
        <v>1</v>
      </c>
      <c r="R211" s="476"/>
      <c r="S211" s="391"/>
      <c r="T211" s="476"/>
      <c r="U211" s="391"/>
      <c r="V211" s="198"/>
      <c r="W211" s="198"/>
    </row>
    <row r="212" spans="1:29" ht="26.25" customHeight="1" x14ac:dyDescent="0.25">
      <c r="A212" s="1432"/>
      <c r="B212" s="1396"/>
      <c r="C212" s="1395"/>
      <c r="D212" s="1375"/>
      <c r="E212" s="176"/>
      <c r="F212" s="20"/>
      <c r="G212" s="38"/>
      <c r="H212" s="214"/>
      <c r="I212" s="456"/>
      <c r="J212" s="202"/>
      <c r="K212" s="214"/>
      <c r="L212" s="456"/>
      <c r="M212" s="202"/>
      <c r="N212" s="214"/>
      <c r="O212" s="44"/>
      <c r="P212" s="410" t="s">
        <v>160</v>
      </c>
      <c r="Q212" s="444">
        <v>6</v>
      </c>
      <c r="R212" s="445"/>
      <c r="S212" s="566"/>
      <c r="T212" s="445"/>
      <c r="U212" s="566"/>
      <c r="V212" s="568"/>
      <c r="W212" s="568"/>
    </row>
    <row r="213" spans="1:29" ht="15" customHeight="1" x14ac:dyDescent="0.25">
      <c r="A213" s="1432"/>
      <c r="B213" s="1396"/>
      <c r="C213" s="1395"/>
      <c r="D213" s="1376" t="s">
        <v>53</v>
      </c>
      <c r="E213" s="792"/>
      <c r="F213" s="1119" t="s">
        <v>386</v>
      </c>
      <c r="G213" s="1139">
        <v>100</v>
      </c>
      <c r="H213" s="1114"/>
      <c r="I213" s="1115"/>
      <c r="J213" s="1117">
        <v>110</v>
      </c>
      <c r="K213" s="1114"/>
      <c r="L213" s="1115"/>
      <c r="M213" s="1117">
        <v>110</v>
      </c>
      <c r="N213" s="1114"/>
      <c r="O213" s="1118"/>
      <c r="P213" s="1385" t="s">
        <v>60</v>
      </c>
      <c r="Q213" s="1428" t="s">
        <v>309</v>
      </c>
      <c r="R213" s="1424"/>
      <c r="S213" s="392" t="s">
        <v>309</v>
      </c>
      <c r="T213" s="1424"/>
      <c r="U213" s="392" t="s">
        <v>309</v>
      </c>
      <c r="V213" s="195"/>
      <c r="W213" s="195"/>
    </row>
    <row r="214" spans="1:29" ht="15" customHeight="1" x14ac:dyDescent="0.25">
      <c r="A214" s="1432"/>
      <c r="B214" s="1396"/>
      <c r="C214" s="1395"/>
      <c r="D214" s="1377"/>
      <c r="E214" s="178"/>
      <c r="F214" s="1116" t="s">
        <v>394</v>
      </c>
      <c r="G214" s="1139">
        <v>10.6</v>
      </c>
      <c r="H214" s="1114"/>
      <c r="I214" s="1115"/>
      <c r="J214" s="1117">
        <v>11.7</v>
      </c>
      <c r="K214" s="1114"/>
      <c r="L214" s="1115"/>
      <c r="M214" s="1117">
        <v>11.7</v>
      </c>
      <c r="N214" s="1114"/>
      <c r="O214" s="1113"/>
      <c r="P214" s="1385"/>
      <c r="Q214" s="833"/>
      <c r="R214" s="589"/>
      <c r="S214" s="349"/>
      <c r="T214" s="589"/>
      <c r="U214" s="349"/>
      <c r="V214" s="141"/>
      <c r="W214" s="141"/>
    </row>
    <row r="215" spans="1:29" ht="25.5" customHeight="1" x14ac:dyDescent="0.25">
      <c r="A215" s="1432"/>
      <c r="B215" s="1396"/>
      <c r="C215" s="1395"/>
      <c r="D215" s="1867" t="s">
        <v>77</v>
      </c>
      <c r="E215" s="179"/>
      <c r="F215" s="1119" t="s">
        <v>394</v>
      </c>
      <c r="G215" s="1135">
        <v>8</v>
      </c>
      <c r="H215" s="1110"/>
      <c r="I215" s="1137"/>
      <c r="J215" s="1131">
        <v>8</v>
      </c>
      <c r="K215" s="1110"/>
      <c r="L215" s="1137"/>
      <c r="M215" s="1131">
        <v>8</v>
      </c>
      <c r="N215" s="1110"/>
      <c r="O215" s="1131"/>
      <c r="P215" s="412" t="s">
        <v>292</v>
      </c>
      <c r="Q215" s="527">
        <v>14</v>
      </c>
      <c r="R215" s="563"/>
      <c r="S215" s="359">
        <v>14</v>
      </c>
      <c r="T215" s="563"/>
      <c r="U215" s="359">
        <v>14</v>
      </c>
      <c r="V215" s="140"/>
      <c r="W215" s="140"/>
    </row>
    <row r="216" spans="1:29" ht="15.75" customHeight="1" x14ac:dyDescent="0.25">
      <c r="A216" s="1432"/>
      <c r="B216" s="1396"/>
      <c r="C216" s="1395"/>
      <c r="D216" s="1838"/>
      <c r="E216" s="180"/>
      <c r="F216" s="1124"/>
      <c r="G216" s="1157"/>
      <c r="H216" s="1126"/>
      <c r="I216" s="1129"/>
      <c r="J216" s="1128"/>
      <c r="K216" s="1126"/>
      <c r="L216" s="1129"/>
      <c r="M216" s="1128"/>
      <c r="N216" s="1126"/>
      <c r="O216" s="1125"/>
      <c r="P216" s="407"/>
      <c r="Q216" s="681"/>
      <c r="R216" s="545"/>
      <c r="S216" s="350"/>
      <c r="T216" s="545"/>
      <c r="U216" s="350"/>
      <c r="V216" s="142"/>
      <c r="W216" s="142"/>
    </row>
    <row r="217" spans="1:29" ht="18.75" customHeight="1" x14ac:dyDescent="0.25">
      <c r="A217" s="935"/>
      <c r="B217" s="1396"/>
      <c r="C217" s="72"/>
      <c r="D217" s="1822" t="s">
        <v>90</v>
      </c>
      <c r="E217" s="1391" t="s">
        <v>41</v>
      </c>
      <c r="F217" s="1116" t="s">
        <v>381</v>
      </c>
      <c r="G217" s="1139">
        <v>45</v>
      </c>
      <c r="H217" s="1114"/>
      <c r="I217" s="1115"/>
      <c r="J217" s="1117">
        <v>45</v>
      </c>
      <c r="K217" s="1114"/>
      <c r="L217" s="1115"/>
      <c r="M217" s="1117">
        <v>45</v>
      </c>
      <c r="N217" s="1114"/>
      <c r="O217" s="1113"/>
      <c r="P217" s="2011" t="s">
        <v>293</v>
      </c>
      <c r="Q217" s="900">
        <v>10</v>
      </c>
      <c r="R217" s="967"/>
      <c r="S217" s="348">
        <v>10</v>
      </c>
      <c r="T217" s="967"/>
      <c r="U217" s="348">
        <v>10</v>
      </c>
      <c r="V217" s="138"/>
      <c r="W217" s="138"/>
    </row>
    <row r="218" spans="1:29" ht="13.5" customHeight="1" x14ac:dyDescent="0.25">
      <c r="A218" s="935"/>
      <c r="B218" s="1396"/>
      <c r="C218" s="71"/>
      <c r="D218" s="1871"/>
      <c r="E218" s="1397"/>
      <c r="F218" s="1124"/>
      <c r="G218" s="1157"/>
      <c r="H218" s="1126"/>
      <c r="I218" s="1129"/>
      <c r="J218" s="1128"/>
      <c r="K218" s="1126"/>
      <c r="L218" s="1129"/>
      <c r="M218" s="1128"/>
      <c r="N218" s="1126"/>
      <c r="O218" s="1128"/>
      <c r="P218" s="2012"/>
      <c r="Q218" s="920"/>
      <c r="R218" s="997"/>
      <c r="S218" s="690"/>
      <c r="T218" s="997"/>
      <c r="U218" s="690"/>
      <c r="V218" s="154"/>
      <c r="W218" s="154"/>
    </row>
    <row r="219" spans="1:29" ht="35.15" customHeight="1" x14ac:dyDescent="0.25">
      <c r="A219" s="1432"/>
      <c r="B219" s="1396"/>
      <c r="C219" s="1395"/>
      <c r="D219" s="1775" t="s">
        <v>72</v>
      </c>
      <c r="E219" s="1390"/>
      <c r="F219" s="1119" t="s">
        <v>394</v>
      </c>
      <c r="G219" s="1135">
        <v>610.4</v>
      </c>
      <c r="H219" s="1110">
        <f>610.4</f>
        <v>610.4</v>
      </c>
      <c r="I219" s="1137">
        <f>+H219-G219</f>
        <v>0</v>
      </c>
      <c r="J219" s="1131">
        <v>636</v>
      </c>
      <c r="K219" s="1110">
        <f>636</f>
        <v>636</v>
      </c>
      <c r="L219" s="1137">
        <f>+K219-J219</f>
        <v>0</v>
      </c>
      <c r="M219" s="1131">
        <v>660</v>
      </c>
      <c r="N219" s="1110">
        <f>660</f>
        <v>660</v>
      </c>
      <c r="O219" s="1109">
        <f>+N219-M219</f>
        <v>0</v>
      </c>
      <c r="P219" s="412" t="s">
        <v>84</v>
      </c>
      <c r="Q219" s="904">
        <v>173</v>
      </c>
      <c r="R219" s="969"/>
      <c r="S219" s="533">
        <v>173</v>
      </c>
      <c r="T219" s="969"/>
      <c r="U219" s="533">
        <v>173</v>
      </c>
      <c r="V219" s="137"/>
      <c r="W219" s="1954"/>
    </row>
    <row r="220" spans="1:29" ht="35.15" customHeight="1" x14ac:dyDescent="0.25">
      <c r="A220" s="935"/>
      <c r="B220" s="1396"/>
      <c r="C220" s="75"/>
      <c r="D220" s="1808"/>
      <c r="E220" s="1397"/>
      <c r="F220" s="1124" t="s">
        <v>395</v>
      </c>
      <c r="G220" s="1157">
        <v>15.7</v>
      </c>
      <c r="H220" s="1126"/>
      <c r="I220" s="1129"/>
      <c r="J220" s="1128">
        <v>20</v>
      </c>
      <c r="K220" s="1126"/>
      <c r="L220" s="1129"/>
      <c r="M220" s="1128">
        <v>26</v>
      </c>
      <c r="N220" s="1126"/>
      <c r="O220" s="43"/>
      <c r="P220" s="407"/>
      <c r="Q220" s="905"/>
      <c r="R220" s="972"/>
      <c r="S220" s="346"/>
      <c r="T220" s="972"/>
      <c r="U220" s="346"/>
      <c r="V220" s="135"/>
      <c r="W220" s="1956"/>
    </row>
    <row r="221" spans="1:29" ht="30" customHeight="1" x14ac:dyDescent="0.25">
      <c r="A221" s="935"/>
      <c r="B221" s="1396"/>
      <c r="C221" s="71"/>
      <c r="D221" s="472" t="s">
        <v>286</v>
      </c>
      <c r="E221" s="159"/>
      <c r="F221" s="1156" t="s">
        <v>381</v>
      </c>
      <c r="G221" s="1157"/>
      <c r="H221" s="1126"/>
      <c r="I221" s="1129"/>
      <c r="J221" s="1128"/>
      <c r="K221" s="1126"/>
      <c r="L221" s="1129"/>
      <c r="M221" s="1128"/>
      <c r="N221" s="1126"/>
      <c r="O221" s="202"/>
      <c r="P221" s="428" t="s">
        <v>267</v>
      </c>
      <c r="Q221" s="573"/>
      <c r="R221" s="998"/>
      <c r="S221" s="692">
        <v>10</v>
      </c>
      <c r="T221" s="998"/>
      <c r="U221" s="692"/>
      <c r="V221" s="571"/>
      <c r="W221" s="571"/>
    </row>
    <row r="222" spans="1:29" ht="17.25" customHeight="1" x14ac:dyDescent="0.25">
      <c r="A222" s="1998"/>
      <c r="B222" s="1790"/>
      <c r="C222" s="1870"/>
      <c r="D222" s="1858" t="s">
        <v>141</v>
      </c>
      <c r="E222" s="874" t="s">
        <v>118</v>
      </c>
      <c r="F222" s="1185" t="s">
        <v>381</v>
      </c>
      <c r="G222" s="1139">
        <v>139.1</v>
      </c>
      <c r="H222" s="1114"/>
      <c r="I222" s="1115"/>
      <c r="J222" s="1117">
        <v>139.1</v>
      </c>
      <c r="K222" s="1114"/>
      <c r="L222" s="1115"/>
      <c r="M222" s="1117">
        <v>139.1</v>
      </c>
      <c r="N222" s="1114"/>
      <c r="O222" s="1426"/>
      <c r="P222" s="1385" t="s">
        <v>56</v>
      </c>
      <c r="Q222" s="921">
        <v>18</v>
      </c>
      <c r="R222" s="999"/>
      <c r="S222" s="996">
        <v>18</v>
      </c>
      <c r="T222" s="1000"/>
      <c r="U222" s="996">
        <v>18</v>
      </c>
      <c r="V222" s="153"/>
      <c r="W222" s="153"/>
    </row>
    <row r="223" spans="1:29" ht="21.75" customHeight="1" x14ac:dyDescent="0.25">
      <c r="A223" s="1998"/>
      <c r="B223" s="1790"/>
      <c r="C223" s="1870"/>
      <c r="D223" s="1871"/>
      <c r="E223" s="1391" t="s">
        <v>418</v>
      </c>
      <c r="F223" s="1181"/>
      <c r="G223" s="1349"/>
      <c r="H223" s="1187"/>
      <c r="I223" s="1350"/>
      <c r="J223" s="1351"/>
      <c r="K223" s="1187"/>
      <c r="L223" s="1350"/>
      <c r="M223" s="1351"/>
      <c r="N223" s="1187"/>
      <c r="O223" s="255"/>
      <c r="P223" s="410" t="s">
        <v>61</v>
      </c>
      <c r="Q223" s="444">
        <v>7</v>
      </c>
      <c r="R223" s="445"/>
      <c r="S223" s="350">
        <v>7</v>
      </c>
      <c r="T223" s="545"/>
      <c r="U223" s="566">
        <v>7</v>
      </c>
      <c r="V223" s="568"/>
      <c r="W223" s="445"/>
    </row>
    <row r="224" spans="1:29" ht="30" customHeight="1" x14ac:dyDescent="0.25">
      <c r="A224" s="935"/>
      <c r="B224" s="1396"/>
      <c r="C224" s="71"/>
      <c r="D224" s="472" t="s">
        <v>310</v>
      </c>
      <c r="E224" s="159"/>
      <c r="F224" s="1124" t="s">
        <v>394</v>
      </c>
      <c r="G224" s="1157"/>
      <c r="H224" s="1126"/>
      <c r="I224" s="1129"/>
      <c r="J224" s="1128">
        <v>40</v>
      </c>
      <c r="K224" s="1126"/>
      <c r="L224" s="1129"/>
      <c r="M224" s="1128"/>
      <c r="N224" s="1126"/>
      <c r="O224" s="202"/>
      <c r="P224" s="428" t="s">
        <v>185</v>
      </c>
      <c r="Q224" s="573"/>
      <c r="R224" s="998"/>
      <c r="S224" s="692">
        <v>1</v>
      </c>
      <c r="T224" s="998"/>
      <c r="U224" s="692"/>
      <c r="V224" s="571"/>
      <c r="W224" s="571"/>
    </row>
    <row r="225" spans="1:28" ht="39.65" customHeight="1" x14ac:dyDescent="0.25">
      <c r="A225" s="935"/>
      <c r="B225" s="1396"/>
      <c r="C225" s="71"/>
      <c r="D225" s="472" t="s">
        <v>411</v>
      </c>
      <c r="E225" s="159"/>
      <c r="F225" s="1124" t="s">
        <v>394</v>
      </c>
      <c r="G225" s="1157"/>
      <c r="H225" s="1126"/>
      <c r="I225" s="1129"/>
      <c r="J225" s="1128">
        <v>20</v>
      </c>
      <c r="K225" s="1126"/>
      <c r="L225" s="1129"/>
      <c r="M225" s="1128">
        <v>20</v>
      </c>
      <c r="N225" s="1126"/>
      <c r="O225" s="202"/>
      <c r="P225" s="428" t="s">
        <v>312</v>
      </c>
      <c r="Q225" s="573"/>
      <c r="R225" s="998"/>
      <c r="S225" s="692">
        <v>50</v>
      </c>
      <c r="T225" s="998"/>
      <c r="U225" s="692">
        <v>100</v>
      </c>
      <c r="V225" s="571"/>
      <c r="W225" s="571"/>
    </row>
    <row r="226" spans="1:28" ht="30" customHeight="1" x14ac:dyDescent="0.25">
      <c r="A226" s="935"/>
      <c r="B226" s="1396"/>
      <c r="C226" s="71"/>
      <c r="D226" s="472" t="s">
        <v>313</v>
      </c>
      <c r="E226" s="159"/>
      <c r="F226" s="1124" t="s">
        <v>394</v>
      </c>
      <c r="G226" s="1157">
        <v>20</v>
      </c>
      <c r="H226" s="1126"/>
      <c r="I226" s="1129"/>
      <c r="J226" s="1352">
        <v>10</v>
      </c>
      <c r="K226" s="1126"/>
      <c r="L226" s="1129"/>
      <c r="M226" s="1128">
        <v>10</v>
      </c>
      <c r="N226" s="1126"/>
      <c r="O226" s="202"/>
      <c r="P226" s="428" t="s">
        <v>314</v>
      </c>
      <c r="Q226" s="573">
        <v>14</v>
      </c>
      <c r="R226" s="998"/>
      <c r="S226" s="692">
        <v>7</v>
      </c>
      <c r="T226" s="998"/>
      <c r="U226" s="692">
        <v>7</v>
      </c>
      <c r="V226" s="571"/>
      <c r="W226" s="571"/>
    </row>
    <row r="227" spans="1:28" ht="15" customHeight="1" thickBot="1" x14ac:dyDescent="0.3">
      <c r="A227" s="936"/>
      <c r="B227" s="104"/>
      <c r="C227" s="73"/>
      <c r="D227" s="694"/>
      <c r="E227" s="181"/>
      <c r="F227" s="41" t="s">
        <v>5</v>
      </c>
      <c r="G227" s="515">
        <f>+G203+G204+G205+G206</f>
        <v>1723.9</v>
      </c>
      <c r="H227" s="337">
        <f>+H203+H204+H205+H206</f>
        <v>1770.2</v>
      </c>
      <c r="I227" s="523">
        <f>+I203+I204+I205+I206</f>
        <v>46.3</v>
      </c>
      <c r="J227" s="45">
        <f t="shared" ref="J227:O227" si="27">+J203+J204+J205+J206</f>
        <v>1700.9</v>
      </c>
      <c r="K227" s="956">
        <f t="shared" si="27"/>
        <v>1794.8</v>
      </c>
      <c r="L227" s="523">
        <f t="shared" si="27"/>
        <v>93.9</v>
      </c>
      <c r="M227" s="790">
        <f t="shared" si="27"/>
        <v>1710.9</v>
      </c>
      <c r="N227" s="337">
        <f t="shared" si="27"/>
        <v>1804.8</v>
      </c>
      <c r="O227" s="535">
        <f t="shared" si="27"/>
        <v>93.9</v>
      </c>
      <c r="P227" s="74"/>
      <c r="Q227" s="284"/>
      <c r="R227" s="284"/>
      <c r="S227" s="281"/>
      <c r="T227" s="281"/>
      <c r="U227" s="284"/>
      <c r="V227" s="284"/>
      <c r="W227" s="285"/>
      <c r="Y227" s="1297" t="s">
        <v>431</v>
      </c>
    </row>
    <row r="228" spans="1:28" ht="13.5" customHeight="1" x14ac:dyDescent="0.25">
      <c r="A228" s="941" t="s">
        <v>4</v>
      </c>
      <c r="B228" s="120" t="s">
        <v>25</v>
      </c>
      <c r="C228" s="80" t="s">
        <v>6</v>
      </c>
      <c r="D228" s="1878" t="s">
        <v>184</v>
      </c>
      <c r="E228" s="1880"/>
      <c r="F228" s="1201" t="s">
        <v>22</v>
      </c>
      <c r="G228" s="1292">
        <v>20</v>
      </c>
      <c r="H228" s="1295">
        <f>20+118.3+40</f>
        <v>178.3</v>
      </c>
      <c r="I228" s="1293">
        <f t="shared" ref="I228:I235" si="28">+H228-G228</f>
        <v>158.30000000000001</v>
      </c>
      <c r="J228" s="1295">
        <v>1537.4</v>
      </c>
      <c r="K228" s="1295">
        <f>1537.4+349.1+270+31.9-79.6</f>
        <v>2108.8000000000002</v>
      </c>
      <c r="L228" s="1293">
        <f>+K228-J228</f>
        <v>571.4</v>
      </c>
      <c r="M228" s="1295">
        <f>136.5</f>
        <v>136.5</v>
      </c>
      <c r="N228" s="1295">
        <f>136.5-133.1</f>
        <v>3.4</v>
      </c>
      <c r="O228" s="1294">
        <f>+N228-M228</f>
        <v>-133.1</v>
      </c>
      <c r="P228" s="430"/>
      <c r="Q228" s="838"/>
      <c r="R228" s="814"/>
      <c r="S228" s="427"/>
      <c r="T228" s="814"/>
      <c r="U228" s="427"/>
      <c r="V228" s="155"/>
      <c r="W228" s="155"/>
      <c r="Y228" s="1105">
        <f>+G241+G245+G248+G254+G263</f>
        <v>20</v>
      </c>
      <c r="Z228" s="1105">
        <f>+J241+J245+J248+J254+J263</f>
        <v>1537.4</v>
      </c>
      <c r="AA228" s="1105">
        <f t="shared" ref="AA228" si="29">+M241+M245+M248+M254+M263</f>
        <v>136.5</v>
      </c>
    </row>
    <row r="229" spans="1:28" ht="13.5" customHeight="1" x14ac:dyDescent="0.25">
      <c r="A229" s="1437"/>
      <c r="B229" s="1380"/>
      <c r="C229" s="1372"/>
      <c r="D229" s="1879"/>
      <c r="E229" s="1881"/>
      <c r="F229" s="20" t="s">
        <v>207</v>
      </c>
      <c r="G229" s="1435">
        <v>28.6</v>
      </c>
      <c r="H229" s="1433">
        <v>28.6</v>
      </c>
      <c r="I229" s="1402">
        <f t="shared" si="28"/>
        <v>0</v>
      </c>
      <c r="J229" s="1433">
        <v>8.3000000000000007</v>
      </c>
      <c r="K229" s="1433">
        <v>8.3000000000000007</v>
      </c>
      <c r="L229" s="1402">
        <f>+K229-J229</f>
        <v>0</v>
      </c>
      <c r="M229" s="1433"/>
      <c r="N229" s="1433"/>
      <c r="O229" s="32"/>
      <c r="P229" s="815"/>
      <c r="Q229" s="1435"/>
      <c r="R229" s="1402"/>
      <c r="S229" s="1433"/>
      <c r="T229" s="1402"/>
      <c r="U229" s="1433"/>
      <c r="V229" s="1426"/>
      <c r="W229" s="1426"/>
      <c r="Y229" s="1105">
        <f>+G256</f>
        <v>28.6</v>
      </c>
      <c r="Z229" s="1105">
        <f>+J256</f>
        <v>8.3000000000000007</v>
      </c>
      <c r="AA229" s="1105">
        <f>+M256</f>
        <v>0</v>
      </c>
    </row>
    <row r="230" spans="1:28" ht="13.5" customHeight="1" x14ac:dyDescent="0.25">
      <c r="A230" s="1437"/>
      <c r="B230" s="1380"/>
      <c r="C230" s="1372"/>
      <c r="D230" s="1879"/>
      <c r="E230" s="1881"/>
      <c r="F230" s="1296" t="s">
        <v>57</v>
      </c>
      <c r="G230" s="1223">
        <v>846.5</v>
      </c>
      <c r="H230" s="1231">
        <f>846.5+274.5-150</f>
        <v>971</v>
      </c>
      <c r="I230" s="1204">
        <f t="shared" si="28"/>
        <v>124.5</v>
      </c>
      <c r="J230" s="1231">
        <v>57.2</v>
      </c>
      <c r="K230" s="1231">
        <f>57.2+206.1</f>
        <v>263.3</v>
      </c>
      <c r="L230" s="1204">
        <f>+K230-J230</f>
        <v>206.1</v>
      </c>
      <c r="M230" s="1231">
        <v>57.2</v>
      </c>
      <c r="N230" s="1231">
        <f>57.2+133.1+54.6</f>
        <v>244.9</v>
      </c>
      <c r="O230" s="1202">
        <f>+N230-M230</f>
        <v>187.7</v>
      </c>
      <c r="P230" s="815"/>
      <c r="Q230" s="1435"/>
      <c r="R230" s="1402"/>
      <c r="S230" s="1433"/>
      <c r="T230" s="1402"/>
      <c r="U230" s="1433"/>
      <c r="V230" s="1426"/>
      <c r="W230" s="1426"/>
      <c r="Y230" s="1105">
        <f>+G242+G247+G249+G260+G262</f>
        <v>846.5</v>
      </c>
      <c r="Z230" s="1105">
        <f>+J242+J247+J249+J260+J262</f>
        <v>57.2</v>
      </c>
      <c r="AA230" s="1105">
        <f t="shared" ref="AA230" si="30">+M242+M247+M249+M260+M262</f>
        <v>57.2</v>
      </c>
    </row>
    <row r="231" spans="1:28" ht="13.5" customHeight="1" x14ac:dyDescent="0.25">
      <c r="A231" s="1437"/>
      <c r="B231" s="1380"/>
      <c r="C231" s="1372"/>
      <c r="D231" s="1879"/>
      <c r="E231" s="1881"/>
      <c r="F231" s="20" t="s">
        <v>50</v>
      </c>
      <c r="G231" s="1435">
        <v>17.8</v>
      </c>
      <c r="H231" s="1433">
        <v>17.8</v>
      </c>
      <c r="I231" s="1402">
        <f t="shared" si="28"/>
        <v>0</v>
      </c>
      <c r="J231" s="1433"/>
      <c r="K231" s="1433"/>
      <c r="L231" s="1402"/>
      <c r="M231" s="1433"/>
      <c r="N231" s="1433"/>
      <c r="O231" s="32"/>
      <c r="P231" s="815"/>
      <c r="Q231" s="1435"/>
      <c r="R231" s="1402"/>
      <c r="S231" s="1433"/>
      <c r="T231" s="1402"/>
      <c r="U231" s="1433"/>
      <c r="V231" s="1426"/>
      <c r="W231" s="1426"/>
      <c r="Y231" s="1105">
        <f>+G236+G251+G255</f>
        <v>17.8</v>
      </c>
      <c r="Z231" s="1105">
        <f>+J236+J251+J255</f>
        <v>0</v>
      </c>
      <c r="AA231" s="1105">
        <f t="shared" ref="AA231" si="31">+M236+M251+M255</f>
        <v>0</v>
      </c>
    </row>
    <row r="232" spans="1:28" ht="13.5" customHeight="1" x14ac:dyDescent="0.25">
      <c r="A232" s="1437"/>
      <c r="B232" s="1380"/>
      <c r="C232" s="1372"/>
      <c r="D232" s="1879"/>
      <c r="E232" s="1881"/>
      <c r="F232" s="20" t="s">
        <v>59</v>
      </c>
      <c r="G232" s="1435">
        <v>363.6</v>
      </c>
      <c r="H232" s="1433">
        <v>363.6</v>
      </c>
      <c r="I232" s="1402">
        <f t="shared" si="28"/>
        <v>0</v>
      </c>
      <c r="J232" s="1433"/>
      <c r="K232" s="1433"/>
      <c r="L232" s="1402"/>
      <c r="M232" s="1433"/>
      <c r="N232" s="1433"/>
      <c r="O232" s="32"/>
      <c r="P232" s="815"/>
      <c r="Q232" s="1435"/>
      <c r="R232" s="1402"/>
      <c r="S232" s="1433"/>
      <c r="T232" s="1402"/>
      <c r="U232" s="1433"/>
      <c r="V232" s="1426"/>
      <c r="W232" s="1426"/>
      <c r="Y232" s="1105">
        <f>+G246</f>
        <v>363.6</v>
      </c>
      <c r="Z232" s="1105">
        <f>+J246</f>
        <v>0</v>
      </c>
      <c r="AA232" s="1105">
        <f t="shared" ref="AA232" si="32">+M246</f>
        <v>0</v>
      </c>
    </row>
    <row r="233" spans="1:28" ht="13.5" customHeight="1" x14ac:dyDescent="0.25">
      <c r="A233" s="1437"/>
      <c r="B233" s="1380"/>
      <c r="C233" s="1372"/>
      <c r="D233" s="1879"/>
      <c r="E233" s="1881"/>
      <c r="F233" s="534" t="s">
        <v>367</v>
      </c>
      <c r="G233" s="1435">
        <v>13.8</v>
      </c>
      <c r="H233" s="1433">
        <v>13.8</v>
      </c>
      <c r="I233" s="1402">
        <f t="shared" si="28"/>
        <v>0</v>
      </c>
      <c r="J233" s="1433"/>
      <c r="K233" s="1433"/>
      <c r="L233" s="1402"/>
      <c r="M233" s="1433"/>
      <c r="N233" s="1433"/>
      <c r="O233" s="32"/>
      <c r="P233" s="815"/>
      <c r="Q233" s="1435"/>
      <c r="R233" s="1402"/>
      <c r="S233" s="1433"/>
      <c r="T233" s="1402"/>
      <c r="U233" s="1433"/>
      <c r="V233" s="1426"/>
      <c r="W233" s="1426"/>
      <c r="Y233" s="1105">
        <f>+G243</f>
        <v>13.8</v>
      </c>
      <c r="Z233" s="1105"/>
      <c r="AA233" s="1105"/>
    </row>
    <row r="234" spans="1:28" ht="13.5" customHeight="1" x14ac:dyDescent="0.25">
      <c r="A234" s="1437"/>
      <c r="B234" s="1380"/>
      <c r="C234" s="1372"/>
      <c r="D234" s="1879"/>
      <c r="E234" s="1881"/>
      <c r="F234" s="1095" t="s">
        <v>68</v>
      </c>
      <c r="G234" s="1094">
        <v>158.69999999999999</v>
      </c>
      <c r="H234" s="1305">
        <f>158.7+230</f>
        <v>388.7</v>
      </c>
      <c r="I234" s="1304">
        <f t="shared" si="28"/>
        <v>230</v>
      </c>
      <c r="J234" s="1433"/>
      <c r="K234" s="1433"/>
      <c r="L234" s="1402"/>
      <c r="M234" s="1433"/>
      <c r="N234" s="1433"/>
      <c r="O234" s="32"/>
      <c r="P234" s="815"/>
      <c r="Q234" s="1435"/>
      <c r="R234" s="1402"/>
      <c r="S234" s="1433"/>
      <c r="T234" s="1402"/>
      <c r="U234" s="1433"/>
      <c r="V234" s="1426"/>
      <c r="W234" s="1426"/>
      <c r="Y234" s="1105">
        <f>+G250</f>
        <v>158.69999999999999</v>
      </c>
      <c r="Z234" s="1105"/>
      <c r="AA234" s="1105"/>
    </row>
    <row r="235" spans="1:28" ht="14.25" customHeight="1" x14ac:dyDescent="0.25">
      <c r="A235" s="1437"/>
      <c r="B235" s="1380"/>
      <c r="C235" s="1372"/>
      <c r="D235" s="1807"/>
      <c r="E235" s="1882"/>
      <c r="F235" s="1241" t="s">
        <v>38</v>
      </c>
      <c r="G235" s="1217">
        <v>599.29999999999995</v>
      </c>
      <c r="H235" s="1268">
        <f>599.3-484.5</f>
        <v>114.8</v>
      </c>
      <c r="I235" s="1204">
        <f t="shared" si="28"/>
        <v>-484.5</v>
      </c>
      <c r="J235" s="1268">
        <v>1173.0999999999999</v>
      </c>
      <c r="K235" s="1268">
        <f>1173.1-1130.5</f>
        <v>42.6</v>
      </c>
      <c r="L235" s="1218">
        <f>+K235-J235</f>
        <v>-1130.5</v>
      </c>
      <c r="M235" s="202"/>
      <c r="N235" s="202"/>
      <c r="O235" s="43"/>
      <c r="P235" s="1386"/>
      <c r="Q235" s="38"/>
      <c r="R235" s="456"/>
      <c r="S235" s="202"/>
      <c r="T235" s="456"/>
      <c r="U235" s="202"/>
      <c r="V235" s="44"/>
      <c r="W235" s="44"/>
      <c r="Y235" s="1105">
        <f>+G244+G252+G257</f>
        <v>599.29999999999995</v>
      </c>
      <c r="Z235" s="1105">
        <f>+J244+J252+J257</f>
        <v>1173.0999999999999</v>
      </c>
      <c r="AA235" s="1105">
        <f t="shared" ref="AA235" si="33">+M244+M252+M257</f>
        <v>0</v>
      </c>
    </row>
    <row r="236" spans="1:28" ht="15" customHeight="1" x14ac:dyDescent="0.25">
      <c r="A236" s="1993"/>
      <c r="B236" s="1869"/>
      <c r="C236" s="1870"/>
      <c r="D236" s="1775" t="s">
        <v>413</v>
      </c>
      <c r="E236" s="827" t="s">
        <v>197</v>
      </c>
      <c r="F236" s="1119" t="s">
        <v>382</v>
      </c>
      <c r="G236" s="1135">
        <v>1</v>
      </c>
      <c r="H236" s="213"/>
      <c r="I236" s="522"/>
      <c r="J236" s="224"/>
      <c r="K236" s="213"/>
      <c r="L236" s="522"/>
      <c r="M236" s="224"/>
      <c r="N236" s="224"/>
      <c r="O236" s="226"/>
      <c r="P236" s="1999" t="s">
        <v>412</v>
      </c>
      <c r="Q236" s="527"/>
      <c r="R236" s="563"/>
      <c r="S236" s="359"/>
      <c r="T236" s="563"/>
      <c r="U236" s="359"/>
      <c r="V236" s="140"/>
      <c r="W236" s="140"/>
      <c r="Y236" s="1105">
        <f>SUM(Y228:Y235)</f>
        <v>2048.3000000000002</v>
      </c>
      <c r="Z236" s="1105">
        <f t="shared" ref="Z236:AA236" si="34">SUM(Z228:Z235)</f>
        <v>2776</v>
      </c>
      <c r="AA236" s="1105">
        <f t="shared" si="34"/>
        <v>193.7</v>
      </c>
    </row>
    <row r="237" spans="1:28" ht="14.25" customHeight="1" x14ac:dyDescent="0.25">
      <c r="A237" s="1993"/>
      <c r="B237" s="1869"/>
      <c r="C237" s="1870"/>
      <c r="D237" s="1776"/>
      <c r="E237" s="828" t="s">
        <v>118</v>
      </c>
      <c r="F237" s="20"/>
      <c r="G237" s="1435"/>
      <c r="H237" s="1400"/>
      <c r="I237" s="1402"/>
      <c r="J237" s="1433"/>
      <c r="K237" s="1400"/>
      <c r="L237" s="1402"/>
      <c r="M237" s="1433"/>
      <c r="N237" s="1433"/>
      <c r="O237" s="32"/>
      <c r="P237" s="2000"/>
      <c r="Q237" s="547"/>
      <c r="R237" s="1003"/>
      <c r="S237" s="925"/>
      <c r="T237" s="1003"/>
      <c r="U237" s="925"/>
      <c r="V237" s="475"/>
      <c r="W237" s="475"/>
      <c r="Y237" s="1105">
        <f>+Y236-G272</f>
        <v>0</v>
      </c>
      <c r="Z237" s="1105">
        <f>+Z236-J272</f>
        <v>0</v>
      </c>
      <c r="AA237" s="1105">
        <f>+AA236-M272</f>
        <v>0</v>
      </c>
    </row>
    <row r="238" spans="1:28" ht="14.25" customHeight="1" x14ac:dyDescent="0.25">
      <c r="A238" s="1993"/>
      <c r="B238" s="1869"/>
      <c r="C238" s="1870"/>
      <c r="D238" s="1807"/>
      <c r="E238" s="1413" t="s">
        <v>205</v>
      </c>
      <c r="F238" s="20"/>
      <c r="G238" s="1435"/>
      <c r="H238" s="1400"/>
      <c r="I238" s="1402"/>
      <c r="J238" s="1433"/>
      <c r="K238" s="1400"/>
      <c r="L238" s="1402"/>
      <c r="M238" s="1433"/>
      <c r="N238" s="1433"/>
      <c r="O238" s="32"/>
      <c r="P238" s="1989" t="s">
        <v>174</v>
      </c>
      <c r="Q238" s="833"/>
      <c r="R238" s="589"/>
      <c r="S238" s="349"/>
      <c r="T238" s="589"/>
      <c r="U238" s="349"/>
      <c r="V238" s="141"/>
      <c r="W238" s="141"/>
    </row>
    <row r="239" spans="1:28" ht="17.25" customHeight="1" x14ac:dyDescent="0.25">
      <c r="A239" s="1993"/>
      <c r="B239" s="1869"/>
      <c r="C239" s="1870"/>
      <c r="D239" s="1808"/>
      <c r="E239" s="210"/>
      <c r="F239" s="124"/>
      <c r="G239" s="38"/>
      <c r="H239" s="214"/>
      <c r="I239" s="456"/>
      <c r="J239" s="1433"/>
      <c r="K239" s="1400"/>
      <c r="L239" s="1402"/>
      <c r="M239" s="1433"/>
      <c r="N239" s="1433"/>
      <c r="O239" s="32"/>
      <c r="P239" s="1981"/>
      <c r="Q239" s="833"/>
      <c r="R239" s="589"/>
      <c r="S239" s="349"/>
      <c r="T239" s="589"/>
      <c r="U239" s="350"/>
      <c r="V239" s="142"/>
      <c r="W239" s="545"/>
      <c r="Y239" s="1105">
        <f>+G228+G229+G230+G231+G232+G235+G233+G234</f>
        <v>2048.3000000000002</v>
      </c>
      <c r="Z239" s="1105">
        <f>+J228+J229+J230+J231+J232+J235</f>
        <v>2776</v>
      </c>
      <c r="AA239" s="1105">
        <f t="shared" ref="AA239" si="35">+M228+M229+M230+M231+M232+M235</f>
        <v>193.7</v>
      </c>
    </row>
    <row r="240" spans="1:28" ht="16.5" customHeight="1" x14ac:dyDescent="0.25">
      <c r="A240" s="1437"/>
      <c r="B240" s="1380"/>
      <c r="C240" s="1372"/>
      <c r="D240" s="794" t="s">
        <v>338</v>
      </c>
      <c r="E240" s="435" t="s">
        <v>197</v>
      </c>
      <c r="F240" s="123"/>
      <c r="G240" s="37"/>
      <c r="H240" s="213"/>
      <c r="I240" s="1402"/>
      <c r="J240" s="224"/>
      <c r="K240" s="213"/>
      <c r="L240" s="522"/>
      <c r="M240" s="224"/>
      <c r="N240" s="224"/>
      <c r="O240" s="215"/>
      <c r="P240" s="522"/>
      <c r="Q240" s="578"/>
      <c r="R240" s="583"/>
      <c r="S240" s="923"/>
      <c r="T240" s="583"/>
      <c r="U240" s="923"/>
      <c r="V240" s="924"/>
      <c r="W240" s="2120" t="s">
        <v>461</v>
      </c>
      <c r="X240" s="2085" t="s">
        <v>480</v>
      </c>
      <c r="Y240" s="2105"/>
      <c r="Z240" s="2105"/>
      <c r="AA240" s="2105"/>
      <c r="AB240" s="2105"/>
    </row>
    <row r="241" spans="1:28" ht="16.5" customHeight="1" x14ac:dyDescent="0.25">
      <c r="A241" s="1437"/>
      <c r="B241" s="1380"/>
      <c r="C241" s="1372"/>
      <c r="D241" s="1874" t="s">
        <v>339</v>
      </c>
      <c r="E241" s="436"/>
      <c r="F241" s="1201" t="s">
        <v>381</v>
      </c>
      <c r="G241" s="1223">
        <f>269.5-267.8</f>
        <v>1.7</v>
      </c>
      <c r="H241" s="1203">
        <f>1.7+118.3</f>
        <v>120</v>
      </c>
      <c r="I241" s="1204">
        <f>+H241-G241</f>
        <v>118.3</v>
      </c>
      <c r="J241" s="1231">
        <f>115.5+154</f>
        <v>269.5</v>
      </c>
      <c r="K241" s="1203">
        <f>269.5+349.1</f>
        <v>618.6</v>
      </c>
      <c r="L241" s="1204">
        <f>+K241-J241</f>
        <v>349.1</v>
      </c>
      <c r="M241" s="1231"/>
      <c r="N241" s="1231"/>
      <c r="O241" s="1240"/>
      <c r="P241" s="1997" t="s">
        <v>290</v>
      </c>
      <c r="Q241" s="1256">
        <v>30</v>
      </c>
      <c r="R241" s="1257">
        <v>40</v>
      </c>
      <c r="S241" s="888">
        <v>100</v>
      </c>
      <c r="T241" s="1004"/>
      <c r="U241" s="1002"/>
      <c r="V241" s="926"/>
      <c r="W241" s="2107"/>
      <c r="X241" s="2090"/>
      <c r="Y241" s="2105"/>
      <c r="Z241" s="2105"/>
      <c r="AA241" s="2105"/>
      <c r="AB241" s="2105"/>
    </row>
    <row r="242" spans="1:28" ht="16.5" customHeight="1" x14ac:dyDescent="0.25">
      <c r="A242" s="1437"/>
      <c r="B242" s="1380"/>
      <c r="C242" s="1372"/>
      <c r="D242" s="1874"/>
      <c r="E242" s="436"/>
      <c r="F242" s="1245" t="s">
        <v>394</v>
      </c>
      <c r="G242" s="1223">
        <f>113.8+158.7</f>
        <v>272.5</v>
      </c>
      <c r="H242" s="1203">
        <f>272.5+274.5</f>
        <v>547</v>
      </c>
      <c r="I242" s="1204">
        <f>+H242-G242</f>
        <v>274.5</v>
      </c>
      <c r="J242" s="1231"/>
      <c r="K242" s="1203">
        <v>206.1</v>
      </c>
      <c r="L242" s="1204">
        <f>+K242-J242</f>
        <v>206.1</v>
      </c>
      <c r="M242" s="1231"/>
      <c r="N242" s="1231"/>
      <c r="O242" s="1240"/>
      <c r="P242" s="1997"/>
      <c r="Q242" s="1258"/>
      <c r="R242" s="1257"/>
      <c r="S242" s="888"/>
      <c r="T242" s="1004"/>
      <c r="U242" s="1002"/>
      <c r="V242" s="926"/>
      <c r="W242" s="2107"/>
      <c r="X242" s="2090"/>
      <c r="Y242" s="2105"/>
      <c r="Z242" s="2105"/>
      <c r="AA242" s="2105"/>
      <c r="AB242" s="2105"/>
    </row>
    <row r="243" spans="1:28" ht="16.5" customHeight="1" x14ac:dyDescent="0.25">
      <c r="A243" s="1437"/>
      <c r="B243" s="1380"/>
      <c r="C243" s="1372"/>
      <c r="D243" s="1874"/>
      <c r="E243" s="436"/>
      <c r="F243" s="1165" t="s">
        <v>389</v>
      </c>
      <c r="G243" s="1139">
        <v>13.8</v>
      </c>
      <c r="H243" s="1400"/>
      <c r="I243" s="1402"/>
      <c r="J243" s="1433"/>
      <c r="K243" s="1400"/>
      <c r="L243" s="1402"/>
      <c r="M243" s="1433"/>
      <c r="N243" s="1433"/>
      <c r="O243" s="1426"/>
      <c r="P243" s="1383"/>
      <c r="Q243" s="700"/>
      <c r="R243" s="1004"/>
      <c r="S243" s="888"/>
      <c r="T243" s="1004"/>
      <c r="U243" s="1002"/>
      <c r="V243" s="926"/>
      <c r="W243" s="2107"/>
      <c r="X243" s="2090"/>
      <c r="Y243" s="2105"/>
      <c r="Z243" s="2105"/>
      <c r="AA243" s="2105"/>
      <c r="AB243" s="2105"/>
    </row>
    <row r="244" spans="1:28" ht="106" customHeight="1" x14ac:dyDescent="0.25">
      <c r="A244" s="1437"/>
      <c r="B244" s="1380"/>
      <c r="C244" s="1372"/>
      <c r="D244" s="1875"/>
      <c r="E244" s="436"/>
      <c r="F244" s="1241" t="s">
        <v>390</v>
      </c>
      <c r="G244" s="1242">
        <f>1130.5-646</f>
        <v>484.5</v>
      </c>
      <c r="H244" s="1227">
        <f>484.5-484.5</f>
        <v>0</v>
      </c>
      <c r="I244" s="1228">
        <f>+H244-G244</f>
        <v>-484.5</v>
      </c>
      <c r="J244" s="1243">
        <f>484.5+646</f>
        <v>1130.5</v>
      </c>
      <c r="K244" s="1227">
        <f>1130.5-1130.5</f>
        <v>0</v>
      </c>
      <c r="L244" s="1228">
        <f>+K244-J244</f>
        <v>-1130.5</v>
      </c>
      <c r="M244" s="1243"/>
      <c r="N244" s="1243"/>
      <c r="O244" s="1244"/>
      <c r="P244" s="413"/>
      <c r="Q244" s="582"/>
      <c r="R244" s="585"/>
      <c r="S244" s="1001"/>
      <c r="T244" s="585"/>
      <c r="U244" s="1001"/>
      <c r="V244" s="927"/>
      <c r="W244" s="2108"/>
      <c r="X244" s="2090"/>
      <c r="Y244" s="2105"/>
      <c r="Z244" s="2105"/>
      <c r="AA244" s="2105"/>
      <c r="AB244" s="2105"/>
    </row>
    <row r="245" spans="1:28" ht="19.25" customHeight="1" x14ac:dyDescent="0.25">
      <c r="A245" s="1437"/>
      <c r="B245" s="1380"/>
      <c r="C245" s="1372"/>
      <c r="D245" s="1889" t="s">
        <v>341</v>
      </c>
      <c r="E245" s="436"/>
      <c r="F245" s="1246" t="s">
        <v>381</v>
      </c>
      <c r="G245" s="1073"/>
      <c r="H245" s="702"/>
      <c r="I245" s="1074"/>
      <c r="J245" s="1075">
        <v>133.1</v>
      </c>
      <c r="K245" s="720"/>
      <c r="L245" s="721"/>
      <c r="M245" s="1247">
        <v>133.1</v>
      </c>
      <c r="N245" s="1247">
        <f>133.1-133.1</f>
        <v>0</v>
      </c>
      <c r="O245" s="1248">
        <f>+N245-M245</f>
        <v>-133.1</v>
      </c>
      <c r="P245" s="562" t="s">
        <v>342</v>
      </c>
      <c r="Q245" s="588">
        <v>100</v>
      </c>
      <c r="R245" s="589"/>
      <c r="S245" s="349"/>
      <c r="T245" s="589"/>
      <c r="U245" s="349"/>
      <c r="V245" s="141"/>
      <c r="W245" s="2106" t="s">
        <v>446</v>
      </c>
      <c r="X245" s="2090"/>
      <c r="Y245" s="2105"/>
      <c r="Z245" s="2105"/>
      <c r="AA245" s="2105"/>
      <c r="AB245" s="2105"/>
    </row>
    <row r="246" spans="1:28" ht="19.25" customHeight="1" x14ac:dyDescent="0.25">
      <c r="A246" s="1437"/>
      <c r="B246" s="1380"/>
      <c r="C246" s="1372"/>
      <c r="D246" s="1890"/>
      <c r="E246" s="436"/>
      <c r="F246" s="1116" t="s">
        <v>395</v>
      </c>
      <c r="G246" s="1353">
        <v>363.6</v>
      </c>
      <c r="H246" s="701"/>
      <c r="I246" s="1004"/>
      <c r="J246" s="1076"/>
      <c r="K246" s="735"/>
      <c r="L246" s="736"/>
      <c r="M246" s="1076"/>
      <c r="N246" s="1076"/>
      <c r="O246" s="1077"/>
      <c r="P246" s="408" t="s">
        <v>343</v>
      </c>
      <c r="Q246" s="275">
        <v>11</v>
      </c>
      <c r="R246" s="476"/>
      <c r="S246" s="391">
        <v>12</v>
      </c>
      <c r="T246" s="476"/>
      <c r="U246" s="391">
        <v>12</v>
      </c>
      <c r="V246" s="198"/>
      <c r="W246" s="2107"/>
      <c r="X246" s="2090"/>
      <c r="Y246" s="2105"/>
      <c r="Z246" s="2105"/>
      <c r="AA246" s="2105"/>
      <c r="AB246" s="2105"/>
    </row>
    <row r="247" spans="1:28" ht="19" customHeight="1" x14ac:dyDescent="0.25">
      <c r="A247" s="1437"/>
      <c r="B247" s="1380"/>
      <c r="C247" s="1372"/>
      <c r="D247" s="1891"/>
      <c r="E247" s="436"/>
      <c r="F247" s="1249" t="s">
        <v>394</v>
      </c>
      <c r="G247" s="1078">
        <v>179.5</v>
      </c>
      <c r="H247" s="1250"/>
      <c r="I247" s="1251"/>
      <c r="J247" s="1252"/>
      <c r="K247" s="1253"/>
      <c r="L247" s="1254"/>
      <c r="M247" s="1252"/>
      <c r="N247" s="1252">
        <v>133.1</v>
      </c>
      <c r="O247" s="1255">
        <f>+N247-M247</f>
        <v>133.1</v>
      </c>
      <c r="P247" s="408"/>
      <c r="Q247" s="209"/>
      <c r="R247" s="589"/>
      <c r="S247" s="349"/>
      <c r="T247" s="589"/>
      <c r="U247" s="350"/>
      <c r="V247" s="142"/>
      <c r="W247" s="2121"/>
      <c r="X247" s="2090"/>
      <c r="Y247" s="2105"/>
      <c r="Z247" s="2105"/>
      <c r="AA247" s="2105"/>
      <c r="AB247" s="2105"/>
    </row>
    <row r="248" spans="1:28" ht="41.75" customHeight="1" x14ac:dyDescent="0.25">
      <c r="A248" s="1437"/>
      <c r="B248" s="1380"/>
      <c r="C248" s="1372"/>
      <c r="D248" s="575" t="s">
        <v>414</v>
      </c>
      <c r="E248" s="842"/>
      <c r="F248" s="1095" t="s">
        <v>381</v>
      </c>
      <c r="G248" s="1435">
        <f>694.8-320-320-39.9</f>
        <v>14.9</v>
      </c>
      <c r="H248" s="1400"/>
      <c r="I248" s="1402"/>
      <c r="J248" s="1319">
        <v>1130</v>
      </c>
      <c r="K248" s="1309">
        <f>1130-79.6</f>
        <v>1050.4000000000001</v>
      </c>
      <c r="L248" s="1310">
        <f>+K248-J248</f>
        <v>-79.599999999999994</v>
      </c>
      <c r="M248" s="224"/>
      <c r="N248" s="224"/>
      <c r="O248" s="215"/>
      <c r="P248" s="1381" t="s">
        <v>290</v>
      </c>
      <c r="Q248" s="1328">
        <v>30</v>
      </c>
      <c r="R248" s="1312">
        <v>35</v>
      </c>
      <c r="S248" s="359">
        <v>100</v>
      </c>
      <c r="T248" s="563"/>
      <c r="U248" s="1002"/>
      <c r="V248" s="926"/>
      <c r="W248" s="2122" t="s">
        <v>479</v>
      </c>
    </row>
    <row r="249" spans="1:28" ht="28.5" customHeight="1" x14ac:dyDescent="0.25">
      <c r="A249" s="1437"/>
      <c r="B249" s="1380"/>
      <c r="C249" s="1372"/>
      <c r="D249" s="719"/>
      <c r="E249" s="436"/>
      <c r="F249" s="1095" t="s">
        <v>394</v>
      </c>
      <c r="G249" s="1094">
        <f>455.1-158.7</f>
        <v>296.39999999999998</v>
      </c>
      <c r="H249" s="1303">
        <f>296.4-150</f>
        <v>146.4</v>
      </c>
      <c r="I249" s="1304">
        <f>+H249-G249</f>
        <v>-150</v>
      </c>
      <c r="J249" s="1433"/>
      <c r="K249" s="1400"/>
      <c r="L249" s="1402"/>
      <c r="M249" s="1433"/>
      <c r="N249" s="1433"/>
      <c r="O249" s="1426"/>
      <c r="P249" s="408"/>
      <c r="Q249" s="209"/>
      <c r="R249" s="589"/>
      <c r="S249" s="349"/>
      <c r="T249" s="589"/>
      <c r="U249" s="1002"/>
      <c r="V249" s="926"/>
      <c r="W249" s="2123"/>
    </row>
    <row r="250" spans="1:28" ht="34.5" customHeight="1" x14ac:dyDescent="0.25">
      <c r="A250" s="1437"/>
      <c r="B250" s="1380"/>
      <c r="C250" s="1372"/>
      <c r="D250" s="550"/>
      <c r="E250" s="546"/>
      <c r="F250" s="1095" t="s">
        <v>386</v>
      </c>
      <c r="G250" s="1330">
        <v>158.69999999999999</v>
      </c>
      <c r="H250" s="1322">
        <f>158.7+230</f>
        <v>388.7</v>
      </c>
      <c r="I250" s="1323">
        <f>+H250-G250</f>
        <v>230</v>
      </c>
      <c r="J250" s="202"/>
      <c r="K250" s="214"/>
      <c r="L250" s="456"/>
      <c r="M250" s="202"/>
      <c r="N250" s="202"/>
      <c r="O250" s="44"/>
      <c r="P250" s="408"/>
      <c r="Q250" s="741"/>
      <c r="R250" s="584"/>
      <c r="S250" s="1002"/>
      <c r="T250" s="584"/>
      <c r="U250" s="1006"/>
      <c r="V250" s="928"/>
      <c r="W250" s="2124"/>
    </row>
    <row r="251" spans="1:28" ht="23.25" customHeight="1" x14ac:dyDescent="0.25">
      <c r="A251" s="1993"/>
      <c r="B251" s="1869"/>
      <c r="C251" s="1870"/>
      <c r="D251" s="1776" t="s">
        <v>102</v>
      </c>
      <c r="E251" s="827" t="s">
        <v>198</v>
      </c>
      <c r="F251" s="1119" t="s">
        <v>382</v>
      </c>
      <c r="G251" s="1139">
        <v>11.8</v>
      </c>
      <c r="H251" s="1114"/>
      <c r="I251" s="1115"/>
      <c r="J251" s="1117"/>
      <c r="K251" s="1114"/>
      <c r="L251" s="1115"/>
      <c r="M251" s="1117"/>
      <c r="N251" s="1433"/>
      <c r="O251" s="32"/>
      <c r="P251" s="795" t="s">
        <v>335</v>
      </c>
      <c r="Q251" s="527">
        <v>1</v>
      </c>
      <c r="R251" s="563"/>
      <c r="S251" s="359"/>
      <c r="T251" s="563"/>
      <c r="U251" s="349"/>
      <c r="V251" s="141"/>
      <c r="W251" s="589"/>
    </row>
    <row r="252" spans="1:28" ht="18" customHeight="1" x14ac:dyDescent="0.25">
      <c r="A252" s="1993"/>
      <c r="B252" s="1869"/>
      <c r="C252" s="1870"/>
      <c r="D252" s="1776"/>
      <c r="E252" s="856" t="s">
        <v>153</v>
      </c>
      <c r="F252" s="1116" t="s">
        <v>390</v>
      </c>
      <c r="G252" s="1139">
        <f>61.7+16.6</f>
        <v>78.3</v>
      </c>
      <c r="H252" s="1114"/>
      <c r="I252" s="1115"/>
      <c r="J252" s="1117"/>
      <c r="K252" s="1114"/>
      <c r="L252" s="1115"/>
      <c r="M252" s="1117"/>
      <c r="N252" s="1433"/>
      <c r="O252" s="1426"/>
      <c r="P252" s="1406"/>
      <c r="Q252" s="493"/>
      <c r="R252" s="532"/>
      <c r="S252" s="349"/>
      <c r="T252" s="589"/>
      <c r="U252" s="349"/>
      <c r="V252" s="141"/>
      <c r="W252" s="141"/>
    </row>
    <row r="253" spans="1:28" ht="19.5" customHeight="1" x14ac:dyDescent="0.25">
      <c r="A253" s="1993"/>
      <c r="B253" s="1869"/>
      <c r="C253" s="1870"/>
      <c r="D253" s="1855"/>
      <c r="E253" s="828" t="s">
        <v>205</v>
      </c>
      <c r="F253" s="1116"/>
      <c r="G253" s="1139"/>
      <c r="H253" s="1114"/>
      <c r="I253" s="1115"/>
      <c r="J253" s="1117"/>
      <c r="K253" s="1114"/>
      <c r="L253" s="1115"/>
      <c r="M253" s="1117"/>
      <c r="N253" s="1433"/>
      <c r="O253" s="32"/>
      <c r="P253" s="399"/>
      <c r="Q253" s="681"/>
      <c r="R253" s="545"/>
      <c r="S253" s="350"/>
      <c r="T253" s="545"/>
      <c r="U253" s="350"/>
      <c r="V253" s="142"/>
      <c r="W253" s="545"/>
    </row>
    <row r="254" spans="1:28" ht="14.25" customHeight="1" x14ac:dyDescent="0.25">
      <c r="A254" s="1998"/>
      <c r="B254" s="1790"/>
      <c r="C254" s="1870"/>
      <c r="D254" s="1775" t="s">
        <v>149</v>
      </c>
      <c r="E254" s="1856" t="s">
        <v>400</v>
      </c>
      <c r="F254" s="1119" t="s">
        <v>381</v>
      </c>
      <c r="G254" s="1135"/>
      <c r="H254" s="1110"/>
      <c r="I254" s="1137"/>
      <c r="J254" s="1131">
        <v>1.4</v>
      </c>
      <c r="K254" s="1110"/>
      <c r="L254" s="1137"/>
      <c r="M254" s="1131"/>
      <c r="N254" s="224"/>
      <c r="O254" s="215"/>
      <c r="P254" s="1381" t="s">
        <v>316</v>
      </c>
      <c r="Q254" s="618"/>
      <c r="R254" s="619"/>
      <c r="S254" s="496" t="s">
        <v>46</v>
      </c>
      <c r="T254" s="619"/>
      <c r="U254" s="496"/>
      <c r="V254" s="147"/>
      <c r="W254" s="147"/>
    </row>
    <row r="255" spans="1:28" ht="14.25" customHeight="1" x14ac:dyDescent="0.25">
      <c r="A255" s="1998"/>
      <c r="B255" s="1790"/>
      <c r="C255" s="1870"/>
      <c r="D255" s="1776"/>
      <c r="E255" s="2007"/>
      <c r="F255" s="1116" t="s">
        <v>382</v>
      </c>
      <c r="G255" s="1139">
        <f>6.1-1.1</f>
        <v>5</v>
      </c>
      <c r="H255" s="1114"/>
      <c r="I255" s="1115"/>
      <c r="J255" s="1117"/>
      <c r="K255" s="1114"/>
      <c r="L255" s="1115"/>
      <c r="M255" s="1117"/>
      <c r="N255" s="1433"/>
      <c r="O255" s="1426"/>
      <c r="P255" s="408"/>
      <c r="Q255" s="1428"/>
      <c r="R255" s="1424"/>
      <c r="S255" s="392"/>
      <c r="T255" s="1424"/>
      <c r="U255" s="392"/>
      <c r="V255" s="195"/>
      <c r="W255" s="195"/>
    </row>
    <row r="256" spans="1:28" ht="19.5" customHeight="1" x14ac:dyDescent="0.25">
      <c r="A256" s="1998"/>
      <c r="B256" s="1790"/>
      <c r="C256" s="1870"/>
      <c r="D256" s="1776"/>
      <c r="E256" s="2008"/>
      <c r="F256" s="1124" t="s">
        <v>396</v>
      </c>
      <c r="G256" s="1157">
        <f>34.2-5.6</f>
        <v>28.6</v>
      </c>
      <c r="H256" s="1126"/>
      <c r="I256" s="1129"/>
      <c r="J256" s="1128">
        <v>8.3000000000000007</v>
      </c>
      <c r="K256" s="1126"/>
      <c r="L256" s="1129"/>
      <c r="M256" s="1128"/>
      <c r="N256" s="202"/>
      <c r="O256" s="44"/>
      <c r="P256" s="399"/>
      <c r="Q256" s="929"/>
      <c r="R256" s="1005"/>
      <c r="S256" s="425"/>
      <c r="T256" s="1005"/>
      <c r="U256" s="425"/>
      <c r="V256" s="273"/>
      <c r="W256" s="273"/>
    </row>
    <row r="257" spans="1:23" ht="14.25" customHeight="1" x14ac:dyDescent="0.25">
      <c r="A257" s="1998"/>
      <c r="B257" s="1790"/>
      <c r="C257" s="1870"/>
      <c r="D257" s="1775" t="s">
        <v>287</v>
      </c>
      <c r="E257" s="1856" t="s">
        <v>400</v>
      </c>
      <c r="F257" s="1116" t="s">
        <v>390</v>
      </c>
      <c r="G257" s="1139">
        <v>36.5</v>
      </c>
      <c r="H257" s="1114"/>
      <c r="I257" s="1115"/>
      <c r="J257" s="1117">
        <v>42.6</v>
      </c>
      <c r="K257" s="1114"/>
      <c r="L257" s="1115"/>
      <c r="M257" s="1117"/>
      <c r="N257" s="1433"/>
      <c r="O257" s="32"/>
      <c r="P257" s="408" t="s">
        <v>152</v>
      </c>
      <c r="Q257" s="921"/>
      <c r="R257" s="999"/>
      <c r="S257" s="426">
        <v>1</v>
      </c>
      <c r="T257" s="999"/>
      <c r="U257" s="426"/>
      <c r="V257" s="153"/>
      <c r="W257" s="153"/>
    </row>
    <row r="258" spans="1:23" ht="13.5" customHeight="1" x14ac:dyDescent="0.25">
      <c r="A258" s="1998"/>
      <c r="B258" s="1790"/>
      <c r="C258" s="1870"/>
      <c r="D258" s="1776"/>
      <c r="E258" s="2007"/>
      <c r="F258" s="1116"/>
      <c r="G258" s="1139"/>
      <c r="H258" s="1114"/>
      <c r="I258" s="1115"/>
      <c r="J258" s="1117"/>
      <c r="K258" s="1114"/>
      <c r="L258" s="1115"/>
      <c r="M258" s="1117"/>
      <c r="N258" s="1433"/>
      <c r="O258" s="32"/>
      <c r="P258" s="408"/>
      <c r="Q258" s="833"/>
      <c r="R258" s="589"/>
      <c r="S258" s="349"/>
      <c r="T258" s="589"/>
      <c r="U258" s="349"/>
      <c r="V258" s="141"/>
      <c r="W258" s="141"/>
    </row>
    <row r="259" spans="1:23" ht="14.25" customHeight="1" x14ac:dyDescent="0.25">
      <c r="A259" s="1998"/>
      <c r="B259" s="1790"/>
      <c r="C259" s="1870"/>
      <c r="D259" s="1855"/>
      <c r="E259" s="2008"/>
      <c r="F259" s="1124"/>
      <c r="G259" s="1157"/>
      <c r="H259" s="1126"/>
      <c r="I259" s="1129"/>
      <c r="J259" s="1128"/>
      <c r="K259" s="1126"/>
      <c r="L259" s="1129"/>
      <c r="M259" s="1128"/>
      <c r="N259" s="202"/>
      <c r="O259" s="43"/>
      <c r="P259" s="399"/>
      <c r="Q259" s="681"/>
      <c r="R259" s="545"/>
      <c r="S259" s="350"/>
      <c r="T259" s="545"/>
      <c r="U259" s="350"/>
      <c r="V259" s="142"/>
      <c r="W259" s="142"/>
    </row>
    <row r="260" spans="1:23" ht="24" customHeight="1" x14ac:dyDescent="0.25">
      <c r="A260" s="1998"/>
      <c r="B260" s="1790"/>
      <c r="C260" s="1870"/>
      <c r="D260" s="1775" t="s">
        <v>113</v>
      </c>
      <c r="E260" s="1390" t="s">
        <v>205</v>
      </c>
      <c r="F260" s="1119" t="s">
        <v>394</v>
      </c>
      <c r="G260" s="1135">
        <v>57.2</v>
      </c>
      <c r="H260" s="1110"/>
      <c r="I260" s="1137"/>
      <c r="J260" s="1131">
        <v>57.2</v>
      </c>
      <c r="K260" s="1110"/>
      <c r="L260" s="1137"/>
      <c r="M260" s="1131">
        <v>57.2</v>
      </c>
      <c r="N260" s="224"/>
      <c r="O260" s="226"/>
      <c r="P260" s="417" t="s">
        <v>116</v>
      </c>
      <c r="Q260" s="501">
        <v>16</v>
      </c>
      <c r="R260" s="465"/>
      <c r="S260" s="375">
        <v>16</v>
      </c>
      <c r="T260" s="465"/>
      <c r="U260" s="375">
        <v>16</v>
      </c>
      <c r="V260" s="143"/>
      <c r="W260" s="143"/>
    </row>
    <row r="261" spans="1:23" ht="29.75" customHeight="1" x14ac:dyDescent="0.25">
      <c r="A261" s="1998"/>
      <c r="B261" s="1790"/>
      <c r="C261" s="1870"/>
      <c r="D261" s="1776"/>
      <c r="E261" s="1413" t="s">
        <v>153</v>
      </c>
      <c r="F261" s="1116"/>
      <c r="G261" s="1139"/>
      <c r="H261" s="1114"/>
      <c r="I261" s="1115"/>
      <c r="J261" s="1117"/>
      <c r="K261" s="1114"/>
      <c r="L261" s="1115"/>
      <c r="M261" s="1117"/>
      <c r="N261" s="1433"/>
      <c r="O261" s="32"/>
      <c r="P261" s="408" t="s">
        <v>232</v>
      </c>
      <c r="Q261" s="833">
        <v>5</v>
      </c>
      <c r="R261" s="589"/>
      <c r="S261" s="349">
        <v>5</v>
      </c>
      <c r="T261" s="589"/>
      <c r="U261" s="349">
        <v>5</v>
      </c>
      <c r="V261" s="141"/>
      <c r="W261" s="141"/>
    </row>
    <row r="262" spans="1:23" ht="17.75" customHeight="1" x14ac:dyDescent="0.25">
      <c r="A262" s="1998"/>
      <c r="B262" s="1790"/>
      <c r="C262" s="1870"/>
      <c r="D262" s="1855"/>
      <c r="E262" s="1391" t="s">
        <v>418</v>
      </c>
      <c r="F262" s="1124" t="s">
        <v>394</v>
      </c>
      <c r="G262" s="1157">
        <v>40.9</v>
      </c>
      <c r="H262" s="1126"/>
      <c r="I262" s="1129"/>
      <c r="J262" s="1128"/>
      <c r="K262" s="1126"/>
      <c r="L262" s="1129"/>
      <c r="M262" s="1128"/>
      <c r="N262" s="202"/>
      <c r="O262" s="43"/>
      <c r="P262" s="603" t="s">
        <v>315</v>
      </c>
      <c r="Q262" s="444">
        <v>8</v>
      </c>
      <c r="R262" s="445"/>
      <c r="S262" s="605"/>
      <c r="T262" s="1007"/>
      <c r="U262" s="566"/>
      <c r="V262" s="568"/>
      <c r="W262" s="445"/>
    </row>
    <row r="263" spans="1:23" ht="15.75" customHeight="1" x14ac:dyDescent="0.25">
      <c r="A263" s="1998"/>
      <c r="B263" s="1790"/>
      <c r="C263" s="1870"/>
      <c r="D263" s="1775" t="s">
        <v>245</v>
      </c>
      <c r="E263" s="1390" t="s">
        <v>205</v>
      </c>
      <c r="F263" s="1119" t="s">
        <v>381</v>
      </c>
      <c r="G263" s="1135">
        <v>3.4</v>
      </c>
      <c r="H263" s="1110"/>
      <c r="I263" s="1137"/>
      <c r="J263" s="1131">
        <v>3.4</v>
      </c>
      <c r="K263" s="1110"/>
      <c r="L263" s="1137"/>
      <c r="M263" s="1131">
        <v>3.4</v>
      </c>
      <c r="N263" s="224"/>
      <c r="O263" s="226"/>
      <c r="P263" s="1957" t="s">
        <v>246</v>
      </c>
      <c r="Q263" s="527">
        <v>3</v>
      </c>
      <c r="R263" s="563"/>
      <c r="S263" s="359">
        <v>3</v>
      </c>
      <c r="T263" s="563"/>
      <c r="U263" s="359">
        <v>3</v>
      </c>
      <c r="V263" s="140"/>
      <c r="W263" s="140"/>
    </row>
    <row r="264" spans="1:23" ht="13.5" customHeight="1" x14ac:dyDescent="0.25">
      <c r="A264" s="1998"/>
      <c r="B264" s="1790"/>
      <c r="C264" s="1870"/>
      <c r="D264" s="1855"/>
      <c r="E264" s="858" t="s">
        <v>153</v>
      </c>
      <c r="F264" s="124"/>
      <c r="G264" s="38"/>
      <c r="H264" s="214"/>
      <c r="I264" s="456"/>
      <c r="J264" s="202"/>
      <c r="K264" s="214"/>
      <c r="L264" s="456"/>
      <c r="M264" s="202"/>
      <c r="N264" s="202"/>
      <c r="O264" s="43"/>
      <c r="P264" s="2001"/>
      <c r="Q264" s="681"/>
      <c r="R264" s="545"/>
      <c r="S264" s="350"/>
      <c r="T264" s="545"/>
      <c r="U264" s="350"/>
      <c r="V264" s="142"/>
      <c r="W264" s="142"/>
    </row>
    <row r="265" spans="1:23" ht="27.65" customHeight="1" x14ac:dyDescent="0.25">
      <c r="A265" s="1998"/>
      <c r="B265" s="1790"/>
      <c r="C265" s="1870"/>
      <c r="D265" s="2125" t="s">
        <v>448</v>
      </c>
      <c r="E265" s="2128" t="s">
        <v>447</v>
      </c>
      <c r="F265" s="1201" t="s">
        <v>381</v>
      </c>
      <c r="G265" s="1223"/>
      <c r="H265" s="1203">
        <v>40</v>
      </c>
      <c r="I265" s="1204">
        <f>+H265-G265</f>
        <v>40</v>
      </c>
      <c r="J265" s="1231"/>
      <c r="K265" s="1203">
        <v>270</v>
      </c>
      <c r="L265" s="1204">
        <f>+K265-J265</f>
        <v>270</v>
      </c>
      <c r="M265" s="1231"/>
      <c r="N265" s="1231"/>
      <c r="O265" s="1202"/>
      <c r="P265" s="1272" t="s">
        <v>449</v>
      </c>
      <c r="Q265" s="1260"/>
      <c r="R265" s="1261">
        <v>1</v>
      </c>
      <c r="S265" s="1279"/>
      <c r="T265" s="1280"/>
      <c r="U265" s="1262"/>
      <c r="V265" s="1288"/>
      <c r="W265" s="2130" t="s">
        <v>481</v>
      </c>
    </row>
    <row r="266" spans="1:23" ht="15" customHeight="1" x14ac:dyDescent="0.25">
      <c r="A266" s="1998"/>
      <c r="B266" s="1790"/>
      <c r="C266" s="1870"/>
      <c r="D266" s="2126"/>
      <c r="E266" s="2129"/>
      <c r="F266" s="1201"/>
      <c r="G266" s="1223"/>
      <c r="H266" s="1203"/>
      <c r="I266" s="1204"/>
      <c r="J266" s="1231"/>
      <c r="K266" s="1203"/>
      <c r="L266" s="1204"/>
      <c r="M266" s="1231"/>
      <c r="N266" s="1231"/>
      <c r="O266" s="1202"/>
      <c r="P266" s="1271" t="s">
        <v>450</v>
      </c>
      <c r="Q266" s="1275"/>
      <c r="R266" s="1278">
        <v>1</v>
      </c>
      <c r="S266" s="1265"/>
      <c r="T266" s="1277"/>
      <c r="U266" s="1276"/>
      <c r="V266" s="1289"/>
      <c r="W266" s="2131"/>
    </row>
    <row r="267" spans="1:23" ht="15" customHeight="1" x14ac:dyDescent="0.25">
      <c r="A267" s="1998"/>
      <c r="B267" s="1790"/>
      <c r="C267" s="1870"/>
      <c r="D267" s="2126"/>
      <c r="E267" s="2129"/>
      <c r="F267" s="1201"/>
      <c r="G267" s="1223"/>
      <c r="H267" s="1203"/>
      <c r="I267" s="1204"/>
      <c r="J267" s="1231"/>
      <c r="K267" s="1203"/>
      <c r="L267" s="1204"/>
      <c r="M267" s="1231"/>
      <c r="N267" s="1231"/>
      <c r="O267" s="1202"/>
      <c r="P267" s="1273" t="s">
        <v>451</v>
      </c>
      <c r="Q267" s="1276"/>
      <c r="R267" s="1278"/>
      <c r="S267" s="1275"/>
      <c r="T267" s="1277">
        <v>5</v>
      </c>
      <c r="U267" s="1276"/>
      <c r="V267" s="1285"/>
      <c r="W267" s="2131"/>
    </row>
    <row r="268" spans="1:23" ht="13.5" customHeight="1" x14ac:dyDescent="0.25">
      <c r="A268" s="1998"/>
      <c r="B268" s="1790"/>
      <c r="C268" s="1870"/>
      <c r="D268" s="2126"/>
      <c r="E268" s="2129"/>
      <c r="F268" s="1201"/>
      <c r="G268" s="1223"/>
      <c r="H268" s="1203"/>
      <c r="I268" s="1204"/>
      <c r="J268" s="1231"/>
      <c r="K268" s="1203"/>
      <c r="L268" s="1204"/>
      <c r="M268" s="1231"/>
      <c r="N268" s="1231"/>
      <c r="O268" s="1202"/>
      <c r="P268" s="1271" t="s">
        <v>452</v>
      </c>
      <c r="Q268" s="1274"/>
      <c r="R268" s="1278"/>
      <c r="S268" s="1276"/>
      <c r="T268" s="1264">
        <v>5</v>
      </c>
      <c r="U268" s="1265"/>
      <c r="V268" s="1289"/>
      <c r="W268" s="2131"/>
    </row>
    <row r="269" spans="1:23" ht="15.65" customHeight="1" x14ac:dyDescent="0.25">
      <c r="A269" s="1998"/>
      <c r="B269" s="1790"/>
      <c r="C269" s="1870"/>
      <c r="D269" s="2126"/>
      <c r="E269" s="2129"/>
      <c r="F269" s="1241"/>
      <c r="G269" s="1242"/>
      <c r="H269" s="1203"/>
      <c r="I269" s="1228"/>
      <c r="J269" s="1231"/>
      <c r="K269" s="1203"/>
      <c r="L269" s="1228"/>
      <c r="M269" s="1231"/>
      <c r="N269" s="1227"/>
      <c r="O269" s="1202"/>
      <c r="P269" s="1273" t="s">
        <v>453</v>
      </c>
      <c r="Q269" s="1276"/>
      <c r="R269" s="1278"/>
      <c r="S269" s="1276"/>
      <c r="T269" s="1278">
        <v>2</v>
      </c>
      <c r="U269" s="1276"/>
      <c r="V269" s="1290"/>
      <c r="W269" s="2131"/>
    </row>
    <row r="270" spans="1:23" ht="14.15" customHeight="1" x14ac:dyDescent="0.25">
      <c r="A270" s="1998"/>
      <c r="B270" s="1790"/>
      <c r="C270" s="1870"/>
      <c r="D270" s="2126"/>
      <c r="E270" s="2129"/>
      <c r="F270" s="1219" t="s">
        <v>381</v>
      </c>
      <c r="G270" s="1223"/>
      <c r="H270" s="1225"/>
      <c r="I270" s="1204"/>
      <c r="J270" s="1205"/>
      <c r="K270" s="1225">
        <v>31.9</v>
      </c>
      <c r="L270" s="1204">
        <f>+K270-J270</f>
        <v>31.9</v>
      </c>
      <c r="M270" s="1205"/>
      <c r="N270" s="1"/>
      <c r="O270" s="1287"/>
      <c r="P270" s="2133" t="s">
        <v>454</v>
      </c>
      <c r="Q270" s="1263"/>
      <c r="R270" s="1238"/>
      <c r="S270" s="1275"/>
      <c r="T270" s="1238">
        <v>1</v>
      </c>
      <c r="U270" s="1265"/>
      <c r="V270" s="1285">
        <v>1</v>
      </c>
      <c r="W270" s="2131"/>
    </row>
    <row r="271" spans="1:23" ht="32.25" customHeight="1" x14ac:dyDescent="0.25">
      <c r="A271" s="935"/>
      <c r="B271" s="1371"/>
      <c r="C271" s="1259"/>
      <c r="D271" s="2127"/>
      <c r="E271" s="1284"/>
      <c r="F271" s="1266" t="s">
        <v>394</v>
      </c>
      <c r="G271" s="1223"/>
      <c r="H271" s="1203"/>
      <c r="I271" s="1202"/>
      <c r="J271" s="1217"/>
      <c r="K271" s="1267"/>
      <c r="L271" s="1202"/>
      <c r="M271" s="1217"/>
      <c r="N271" s="1231">
        <v>54.6</v>
      </c>
      <c r="O271" s="1218">
        <f>+N271-M270</f>
        <v>54.6</v>
      </c>
      <c r="P271" s="2134"/>
      <c r="Q271" s="1269"/>
      <c r="R271" s="1286"/>
      <c r="S271" s="1269"/>
      <c r="T271" s="1270"/>
      <c r="U271" s="1285"/>
      <c r="V271" s="1286"/>
      <c r="W271" s="2132"/>
    </row>
    <row r="272" spans="1:23" ht="15" customHeight="1" thickBot="1" x14ac:dyDescent="0.3">
      <c r="A272" s="936"/>
      <c r="B272" s="104"/>
      <c r="C272" s="73"/>
      <c r="D272" s="1281"/>
      <c r="E272" s="1282"/>
      <c r="F272" s="41" t="s">
        <v>5</v>
      </c>
      <c r="G272" s="515">
        <f t="shared" ref="G272:O272" si="36">+G228+G229+G230+G231+G232+G233+G234+G235</f>
        <v>2048.3000000000002</v>
      </c>
      <c r="H272" s="337">
        <f t="shared" si="36"/>
        <v>2076.6</v>
      </c>
      <c r="I272" s="790">
        <f t="shared" si="36"/>
        <v>28.3</v>
      </c>
      <c r="J272" s="515">
        <f t="shared" si="36"/>
        <v>2776</v>
      </c>
      <c r="K272" s="337">
        <f t="shared" si="36"/>
        <v>2423</v>
      </c>
      <c r="L272" s="790">
        <f t="shared" si="36"/>
        <v>-353</v>
      </c>
      <c r="M272" s="515">
        <f t="shared" si="36"/>
        <v>193.7</v>
      </c>
      <c r="N272" s="1100">
        <f t="shared" si="36"/>
        <v>248.3</v>
      </c>
      <c r="O272" s="523">
        <f t="shared" si="36"/>
        <v>54.6</v>
      </c>
      <c r="P272" s="1283"/>
      <c r="Q272" s="284"/>
      <c r="R272" s="284"/>
      <c r="S272" s="281"/>
      <c r="T272" s="284"/>
      <c r="U272" s="284"/>
      <c r="V272" s="284"/>
      <c r="W272" s="285"/>
    </row>
    <row r="273" spans="1:27" ht="15" customHeight="1" thickBot="1" x14ac:dyDescent="0.3">
      <c r="A273" s="940" t="s">
        <v>4</v>
      </c>
      <c r="B273" s="25" t="s">
        <v>25</v>
      </c>
      <c r="C273" s="1840" t="s">
        <v>7</v>
      </c>
      <c r="D273" s="1840"/>
      <c r="E273" s="1840"/>
      <c r="F273" s="1841"/>
      <c r="G273" s="362">
        <f>G272+G227</f>
        <v>3772.2</v>
      </c>
      <c r="H273" s="25">
        <f t="shared" ref="H273:O273" si="37">H272+H227</f>
        <v>3846.8</v>
      </c>
      <c r="I273" s="951">
        <f t="shared" si="37"/>
        <v>74.599999999999994</v>
      </c>
      <c r="J273" s="362">
        <f t="shared" si="37"/>
        <v>4476.8999999999996</v>
      </c>
      <c r="K273" s="25">
        <f t="shared" si="37"/>
        <v>4217.8</v>
      </c>
      <c r="L273" s="951">
        <f t="shared" si="37"/>
        <v>-259.10000000000002</v>
      </c>
      <c r="M273" s="362">
        <f t="shared" si="37"/>
        <v>1904.6</v>
      </c>
      <c r="N273" s="25">
        <f t="shared" si="37"/>
        <v>2053.1</v>
      </c>
      <c r="O273" s="951">
        <f t="shared" si="37"/>
        <v>148.5</v>
      </c>
      <c r="P273" s="1862"/>
      <c r="Q273" s="1863"/>
      <c r="R273" s="1863"/>
      <c r="S273" s="1863"/>
      <c r="T273" s="1863"/>
      <c r="U273" s="1863"/>
      <c r="V273" s="1367"/>
      <c r="W273" s="1368"/>
    </row>
    <row r="274" spans="1:27" ht="15" customHeight="1" thickBot="1" x14ac:dyDescent="0.3">
      <c r="A274" s="940" t="s">
        <v>4</v>
      </c>
      <c r="B274" s="1909" t="s">
        <v>8</v>
      </c>
      <c r="C274" s="1910"/>
      <c r="D274" s="1910"/>
      <c r="E274" s="1910"/>
      <c r="F274" s="1911"/>
      <c r="G274" s="103">
        <f>G273+G201+G156</f>
        <v>32059.3</v>
      </c>
      <c r="H274" s="265">
        <f t="shared" ref="H274:O274" si="38">H273+H201+H156</f>
        <v>32982.300000000003</v>
      </c>
      <c r="I274" s="930">
        <f t="shared" si="38"/>
        <v>923</v>
      </c>
      <c r="J274" s="103">
        <f t="shared" si="38"/>
        <v>46417.2</v>
      </c>
      <c r="K274" s="265">
        <f t="shared" si="38"/>
        <v>49344.800000000003</v>
      </c>
      <c r="L274" s="930">
        <f t="shared" si="38"/>
        <v>2927.6</v>
      </c>
      <c r="M274" s="103">
        <f t="shared" si="38"/>
        <v>34268.400000000001</v>
      </c>
      <c r="N274" s="937">
        <f t="shared" si="38"/>
        <v>36170.9</v>
      </c>
      <c r="O274" s="383">
        <f t="shared" si="38"/>
        <v>1902.5</v>
      </c>
      <c r="P274" s="2023"/>
      <c r="Q274" s="1912"/>
      <c r="R274" s="1912"/>
      <c r="S274" s="1912"/>
      <c r="T274" s="1912"/>
      <c r="U274" s="1912"/>
      <c r="V274" s="1369"/>
      <c r="W274" s="958"/>
    </row>
    <row r="275" spans="1:27" ht="15" customHeight="1" thickBot="1" x14ac:dyDescent="0.3">
      <c r="A275" s="266" t="s">
        <v>31</v>
      </c>
      <c r="B275" s="1914" t="s">
        <v>48</v>
      </c>
      <c r="C275" s="1915"/>
      <c r="D275" s="1915"/>
      <c r="E275" s="1915"/>
      <c r="F275" s="1916"/>
      <c r="G275" s="33">
        <f>SUM(G274)</f>
        <v>32059.3</v>
      </c>
      <c r="H275" s="266">
        <f t="shared" ref="H275:O275" si="39">SUM(H274)</f>
        <v>32982.300000000003</v>
      </c>
      <c r="I275" s="931">
        <f t="shared" si="39"/>
        <v>923</v>
      </c>
      <c r="J275" s="33">
        <f t="shared" si="39"/>
        <v>46417.2</v>
      </c>
      <c r="K275" s="266">
        <f t="shared" si="39"/>
        <v>49344.800000000003</v>
      </c>
      <c r="L275" s="931">
        <f t="shared" si="39"/>
        <v>2927.6</v>
      </c>
      <c r="M275" s="33">
        <f t="shared" si="39"/>
        <v>34268.400000000001</v>
      </c>
      <c r="N275" s="384">
        <f t="shared" si="39"/>
        <v>36170.9</v>
      </c>
      <c r="O275" s="957">
        <f t="shared" si="39"/>
        <v>1902.5</v>
      </c>
      <c r="P275" s="2024"/>
      <c r="Q275" s="1917"/>
      <c r="R275" s="1917"/>
      <c r="S275" s="1917"/>
      <c r="T275" s="1917"/>
      <c r="U275" s="1917"/>
      <c r="V275" s="893"/>
      <c r="W275" s="959"/>
    </row>
    <row r="276" spans="1:27" ht="14.25" customHeight="1" x14ac:dyDescent="0.25">
      <c r="A276" s="2028"/>
      <c r="B276" s="1950"/>
      <c r="C276" s="1950"/>
      <c r="D276" s="1950"/>
      <c r="E276" s="1950"/>
      <c r="F276" s="608"/>
      <c r="G276" s="608"/>
      <c r="H276" s="608"/>
      <c r="I276" s="608"/>
      <c r="J276" s="1291"/>
      <c r="K276" s="608"/>
      <c r="L276" s="608"/>
      <c r="M276" s="608"/>
      <c r="N276" s="608"/>
      <c r="O276" s="608"/>
      <c r="P276" s="34"/>
      <c r="Q276" s="34"/>
      <c r="R276" s="34"/>
      <c r="S276" s="34"/>
      <c r="T276" s="34"/>
      <c r="U276" s="34"/>
      <c r="V276" s="960"/>
      <c r="W276" s="34"/>
    </row>
    <row r="277" spans="1:27" ht="14.25" customHeight="1" x14ac:dyDescent="0.25">
      <c r="A277" s="943"/>
      <c r="B277" s="478"/>
      <c r="C277" s="478"/>
      <c r="D277" s="478"/>
      <c r="E277" s="478"/>
      <c r="F277" s="478"/>
      <c r="G277" s="34"/>
      <c r="H277" s="34"/>
      <c r="I277" s="34"/>
      <c r="J277" s="34"/>
      <c r="K277" s="34"/>
      <c r="L277" s="34"/>
      <c r="M277" s="34"/>
      <c r="N277" s="34"/>
      <c r="O277" s="34"/>
      <c r="P277" s="34"/>
      <c r="Q277" s="34"/>
      <c r="R277" s="34"/>
      <c r="S277" s="34"/>
      <c r="T277" s="34"/>
      <c r="U277" s="34"/>
      <c r="V277" s="34"/>
      <c r="W277" s="34"/>
    </row>
    <row r="278" spans="1:27" s="5" customFormat="1" ht="15" customHeight="1" thickBot="1" x14ac:dyDescent="0.3">
      <c r="A278" s="2029" t="s">
        <v>11</v>
      </c>
      <c r="B278" s="1951"/>
      <c r="C278" s="1951"/>
      <c r="D278" s="1951"/>
      <c r="E278" s="1951"/>
      <c r="F278" s="1951"/>
      <c r="G278" s="1951"/>
      <c r="H278" s="1951"/>
      <c r="I278" s="1951"/>
      <c r="J278" s="1951"/>
      <c r="K278" s="1951"/>
      <c r="L278" s="1951"/>
      <c r="M278" s="1951"/>
      <c r="N278" s="886"/>
      <c r="O278" s="886"/>
      <c r="P278" s="34"/>
      <c r="Q278" s="34"/>
      <c r="R278" s="34"/>
      <c r="S278" s="34"/>
      <c r="T278" s="34"/>
      <c r="U278" s="34"/>
      <c r="V278" s="34"/>
      <c r="W278" s="34"/>
      <c r="X278" s="1"/>
      <c r="Y278" s="1101"/>
      <c r="Z278" s="1101"/>
      <c r="AA278" s="1101"/>
    </row>
    <row r="279" spans="1:27" ht="149.15" customHeight="1" thickBot="1" x14ac:dyDescent="0.3">
      <c r="A279" s="2030" t="s">
        <v>9</v>
      </c>
      <c r="B279" s="1896"/>
      <c r="C279" s="1896"/>
      <c r="D279" s="1896"/>
      <c r="E279" s="1896"/>
      <c r="F279" s="1897"/>
      <c r="G279" s="1008" t="s">
        <v>419</v>
      </c>
      <c r="H279" s="1009" t="s">
        <v>424</v>
      </c>
      <c r="I279" s="1010" t="s">
        <v>425</v>
      </c>
      <c r="J279" s="1011" t="s">
        <v>420</v>
      </c>
      <c r="K279" s="1012" t="s">
        <v>426</v>
      </c>
      <c r="L279" s="1010" t="s">
        <v>425</v>
      </c>
      <c r="M279" s="1008" t="s">
        <v>421</v>
      </c>
      <c r="N279" s="1009" t="s">
        <v>427</v>
      </c>
      <c r="O279" s="1010" t="s">
        <v>425</v>
      </c>
      <c r="P279" s="16"/>
      <c r="Q279" s="16"/>
      <c r="R279" s="16"/>
      <c r="S279" s="16"/>
      <c r="T279" s="16"/>
      <c r="U279" s="16"/>
      <c r="V279" s="16"/>
      <c r="W279" s="10"/>
    </row>
    <row r="280" spans="1:27" ht="14.25" customHeight="1" x14ac:dyDescent="0.25">
      <c r="A280" s="2031" t="s">
        <v>12</v>
      </c>
      <c r="B280" s="1899"/>
      <c r="C280" s="1899"/>
      <c r="D280" s="1899"/>
      <c r="E280" s="1899"/>
      <c r="F280" s="1900"/>
      <c r="G280" s="1014">
        <f>G281+G293+G294+G295+G291+G292</f>
        <v>28204.799999999999</v>
      </c>
      <c r="H280" s="1019">
        <f>H281+H293+H294+H295+H291+H292</f>
        <v>29612.3</v>
      </c>
      <c r="I280" s="1013">
        <f>I281+I293+I294+I295+I291+I292</f>
        <v>1407.5</v>
      </c>
      <c r="J280" s="1014">
        <f t="shared" ref="J280:O280" si="40">J281+J293+J294+J295+J291+J292</f>
        <v>27252.5</v>
      </c>
      <c r="K280" s="1019">
        <f t="shared" si="40"/>
        <v>29577.3</v>
      </c>
      <c r="L280" s="1013">
        <f t="shared" si="40"/>
        <v>2324.8000000000002</v>
      </c>
      <c r="M280" s="1014">
        <f t="shared" si="40"/>
        <v>18939.599999999999</v>
      </c>
      <c r="N280" s="1019">
        <f t="shared" ca="1" si="40"/>
        <v>21110.799999999999</v>
      </c>
      <c r="O280" s="1013">
        <f t="shared" si="40"/>
        <v>2171.1999999999998</v>
      </c>
      <c r="P280" s="16"/>
      <c r="Q280" s="16"/>
      <c r="R280" s="16"/>
      <c r="S280" s="16"/>
      <c r="T280" s="16"/>
      <c r="U280" s="16"/>
      <c r="V280" s="16"/>
      <c r="W280" s="10"/>
    </row>
    <row r="281" spans="1:27" ht="16.5" customHeight="1" x14ac:dyDescent="0.25">
      <c r="A281" s="2032" t="s">
        <v>62</v>
      </c>
      <c r="B281" s="1902"/>
      <c r="C281" s="1902"/>
      <c r="D281" s="1902"/>
      <c r="E281" s="1902"/>
      <c r="F281" s="1903"/>
      <c r="G281" s="1015">
        <f t="shared" ref="G281:M281" si="41">SUM(G282:G290)</f>
        <v>26641.3</v>
      </c>
      <c r="H281" s="1020">
        <f t="shared" ref="H281:I281" si="42">SUM(H282:H290)</f>
        <v>27692.9</v>
      </c>
      <c r="I281" s="267">
        <f t="shared" si="42"/>
        <v>1051.5999999999999</v>
      </c>
      <c r="J281" s="1015">
        <f t="shared" si="41"/>
        <v>27232.5</v>
      </c>
      <c r="K281" s="1020">
        <f t="shared" ref="K281:L281" si="43">SUM(K282:K290)</f>
        <v>29557.3</v>
      </c>
      <c r="L281" s="267">
        <f t="shared" si="43"/>
        <v>2324.8000000000002</v>
      </c>
      <c r="M281" s="1015">
        <f t="shared" si="41"/>
        <v>18913.599999999999</v>
      </c>
      <c r="N281" s="1020">
        <f t="shared" ref="N281:O281" si="44">SUM(N282:N290)</f>
        <v>21084.799999999999</v>
      </c>
      <c r="O281" s="267">
        <f t="shared" si="44"/>
        <v>2171.1999999999998</v>
      </c>
      <c r="P281" s="16"/>
      <c r="Q281" s="16"/>
      <c r="R281" s="16"/>
      <c r="S281" s="16"/>
      <c r="T281" s="16"/>
      <c r="U281" s="16"/>
      <c r="V281" s="16"/>
      <c r="W281" s="10"/>
    </row>
    <row r="282" spans="1:27" ht="14.25" customHeight="1" x14ac:dyDescent="0.25">
      <c r="A282" s="2033" t="s">
        <v>17</v>
      </c>
      <c r="B282" s="1905"/>
      <c r="C282" s="1905"/>
      <c r="D282" s="1905"/>
      <c r="E282" s="1905"/>
      <c r="F282" s="1906"/>
      <c r="G282" s="38">
        <f>SUMIF(F15:F275,"SB",G15:G275)</f>
        <v>9657.9</v>
      </c>
      <c r="H282" s="214">
        <f>SUMIF(F15:F275,"SB",H15:H275)</f>
        <v>9822.5</v>
      </c>
      <c r="I282" s="44">
        <f>SUMIF(F15:F275,"SB",I15:I275)</f>
        <v>164.6</v>
      </c>
      <c r="J282" s="38">
        <f>SUMIF(F15:F275,"SB",J15:J275)</f>
        <v>11173.6</v>
      </c>
      <c r="K282" s="214">
        <f>SUMIF(F15:F275,"SB",K15:K275)</f>
        <v>12100</v>
      </c>
      <c r="L282" s="44">
        <f>SUMIF(F15:F275,"SB",L15:L275)</f>
        <v>926.4</v>
      </c>
      <c r="M282" s="38">
        <f>SUMIF(F15:F275,"SB",M15:M275)</f>
        <v>10076.700000000001</v>
      </c>
      <c r="N282" s="214">
        <f>SUMIF(F15:F275,"SB",N15:N275)</f>
        <v>9943.6</v>
      </c>
      <c r="O282" s="44">
        <f>SUMIF(F15:F275,"SB",O15:O275)</f>
        <v>-133.1</v>
      </c>
      <c r="P282" s="16"/>
      <c r="Q282" s="16"/>
      <c r="R282" s="16"/>
      <c r="S282" s="16"/>
      <c r="T282" s="16"/>
      <c r="U282" s="16"/>
      <c r="V282" s="16"/>
      <c r="W282" s="10"/>
    </row>
    <row r="283" spans="1:27" ht="14.25" customHeight="1" x14ac:dyDescent="0.25">
      <c r="A283" s="2026" t="s">
        <v>364</v>
      </c>
      <c r="B283" s="1942"/>
      <c r="C283" s="1942"/>
      <c r="D283" s="1942"/>
      <c r="E283" s="1942"/>
      <c r="F283" s="1943"/>
      <c r="G283" s="38">
        <f>SUMIF(F15:F275,"SB(P)",G15:G275)</f>
        <v>358</v>
      </c>
      <c r="H283" s="214">
        <f>SUMIF(F15:F275,"SB(P)",H15:H275)</f>
        <v>422.4</v>
      </c>
      <c r="I283" s="44">
        <f>SUMIF(F15:F275,"SB(P)",I15:I275)</f>
        <v>64.400000000000006</v>
      </c>
      <c r="J283" s="38">
        <f>SUMIF(F15:F275,"SB(P)",J15:J275)</f>
        <v>0</v>
      </c>
      <c r="K283" s="214">
        <f>SUMIF(F15:F275,"SB(P)",K15:K275)</f>
        <v>0</v>
      </c>
      <c r="L283" s="44">
        <f>SUMIF(F15:F275,"SB(P)",L15:L275)</f>
        <v>0</v>
      </c>
      <c r="M283" s="38">
        <f>SUMIF(F15:F275,"SB(P)",M15:M275)</f>
        <v>0</v>
      </c>
      <c r="N283" s="214">
        <f>SUMIF(F15:F275,"SB(P)",N15:N275)</f>
        <v>0</v>
      </c>
      <c r="O283" s="44">
        <f>SUMIF(F15:F275,"SB(P)",O15:O275)</f>
        <v>0</v>
      </c>
      <c r="P283" s="16"/>
      <c r="Q283" s="16"/>
      <c r="R283" s="16"/>
      <c r="S283" s="16"/>
      <c r="T283" s="16"/>
      <c r="U283" s="16"/>
      <c r="V283" s="16"/>
      <c r="W283" s="10"/>
    </row>
    <row r="284" spans="1:27" ht="27.75" customHeight="1" x14ac:dyDescent="0.25">
      <c r="A284" s="2026" t="s">
        <v>368</v>
      </c>
      <c r="B284" s="1942"/>
      <c r="C284" s="1942"/>
      <c r="D284" s="1942"/>
      <c r="E284" s="1942"/>
      <c r="F284" s="1943"/>
      <c r="G284" s="38">
        <f>SUMIF(F15:F275,"SB(K)",G15:G275)</f>
        <v>427.9</v>
      </c>
      <c r="H284" s="214">
        <f>SUMIF(F15:F275,"SB(K)",H15:H275)</f>
        <v>427.9</v>
      </c>
      <c r="I284" s="44">
        <f>SUMIF(F15:F275,"SB(K)",I15:I275)</f>
        <v>0</v>
      </c>
      <c r="J284" s="38">
        <f>SUMIF(F15:F275,"SB(K)",J15:J275)</f>
        <v>0</v>
      </c>
      <c r="K284" s="214">
        <f>SUMIF(F15:F275,"SB(K)",K15:K275)</f>
        <v>0</v>
      </c>
      <c r="L284" s="44">
        <f>SUMIF(F15:F275,"SB(K)",L15:L275)</f>
        <v>0</v>
      </c>
      <c r="M284" s="38">
        <f>SUMIF(F15:F275,"SB(K)",M15:M275)</f>
        <v>0</v>
      </c>
      <c r="N284" s="214">
        <f>SUMIF(F15:F275,"SB(K)",N15:N275)</f>
        <v>0</v>
      </c>
      <c r="O284" s="44">
        <f>SUMIF(F15:F275,"SB(K)",O15:O275)</f>
        <v>0</v>
      </c>
      <c r="P284" s="16"/>
      <c r="Q284" s="16"/>
      <c r="R284" s="16"/>
      <c r="S284" s="16"/>
      <c r="T284" s="16"/>
      <c r="U284" s="16"/>
      <c r="V284" s="16"/>
      <c r="W284" s="10"/>
    </row>
    <row r="285" spans="1:27" ht="14.25" customHeight="1" x14ac:dyDescent="0.25">
      <c r="A285" s="2040" t="s">
        <v>58</v>
      </c>
      <c r="B285" s="1936"/>
      <c r="C285" s="1936"/>
      <c r="D285" s="1936"/>
      <c r="E285" s="1936"/>
      <c r="F285" s="1937"/>
      <c r="G285" s="38">
        <f>SUMIF(F15:F275,"SB(VR)",G15:G275)</f>
        <v>1950</v>
      </c>
      <c r="H285" s="214">
        <f>SUMIF(F15:F275,"SB(VR)",H15:H275)</f>
        <v>2074.5</v>
      </c>
      <c r="I285" s="44">
        <f>SUMIF(F15:F275,"SB(VR)",I15:I275)</f>
        <v>124.5</v>
      </c>
      <c r="J285" s="38">
        <f>SUMIF(F15:F275,"SB(VR)",J15:J275)</f>
        <v>2768.3</v>
      </c>
      <c r="K285" s="214">
        <f>SUMIF(F15:F275,"SB(VR)",K15:K275)</f>
        <v>3068.3</v>
      </c>
      <c r="L285" s="44">
        <f>SUMIF(F15:F275,"SB(VR)",L15:L275)</f>
        <v>300</v>
      </c>
      <c r="M285" s="38">
        <f>SUMIF(F15:F275,"SB(VR)",M15:M275)</f>
        <v>2452.3000000000002</v>
      </c>
      <c r="N285" s="214">
        <f>SUMIF(F15:F275,"SB(VR)",N15:N275)</f>
        <v>2733.9</v>
      </c>
      <c r="O285" s="44">
        <f>SUMIF(F15:F275,"SB(VR)",O15:O275)</f>
        <v>281.60000000000002</v>
      </c>
      <c r="P285" s="16"/>
      <c r="Q285" s="16"/>
      <c r="R285" s="16"/>
      <c r="S285" s="16"/>
      <c r="T285" s="16"/>
      <c r="U285" s="16"/>
      <c r="V285" s="16"/>
      <c r="W285" s="10"/>
    </row>
    <row r="286" spans="1:27" ht="14.25" customHeight="1" x14ac:dyDescent="0.25">
      <c r="A286" s="2026" t="s">
        <v>366</v>
      </c>
      <c r="B286" s="1942"/>
      <c r="C286" s="1942"/>
      <c r="D286" s="1942"/>
      <c r="E286" s="1942"/>
      <c r="F286" s="1943"/>
      <c r="G286" s="38">
        <f>SUMIF(F15:F275,"SB(SPI)",G15:G275)</f>
        <v>150</v>
      </c>
      <c r="H286" s="214">
        <f>SUMIF(F15:F275,"SB(SPI)",H15:H275)</f>
        <v>150</v>
      </c>
      <c r="I286" s="44">
        <f>SUMIF(F15:F275,"SB(SPI)",I15:I275)</f>
        <v>0</v>
      </c>
      <c r="J286" s="38">
        <f>SUMIF(F15:F275,"SB(SPI)",J15:J275)</f>
        <v>0</v>
      </c>
      <c r="K286" s="214">
        <f>SUMIF(F15:F275,"SB(SPI)",K15:K275)</f>
        <v>0</v>
      </c>
      <c r="L286" s="44">
        <f>SUMIF(F15:F275,"SB(SPI)",L15:L275)</f>
        <v>0</v>
      </c>
      <c r="M286" s="38">
        <f>SUMIF(F15:F275,"SB(SPI)",M15:M275)</f>
        <v>0</v>
      </c>
      <c r="N286" s="214">
        <f>SUMIF(F15:F275,"SB(SPI)",N15:N275)</f>
        <v>0</v>
      </c>
      <c r="O286" s="44">
        <f>SUMIF(F15:F275,"SB(SPI)",O15:O275)</f>
        <v>0</v>
      </c>
      <c r="P286" s="16"/>
      <c r="Q286" s="16"/>
      <c r="R286" s="16"/>
      <c r="S286" s="16"/>
      <c r="T286" s="16"/>
      <c r="U286" s="16"/>
      <c r="V286" s="16"/>
      <c r="W286" s="10"/>
    </row>
    <row r="287" spans="1:27" ht="27" customHeight="1" x14ac:dyDescent="0.25">
      <c r="A287" s="2027" t="s">
        <v>415</v>
      </c>
      <c r="B287" s="1893"/>
      <c r="C287" s="1893"/>
      <c r="D287" s="1893"/>
      <c r="E287" s="1893"/>
      <c r="F287" s="1894"/>
      <c r="G287" s="693">
        <f>SUMIF(F15:F275,"SB(ES)",G15:G275)</f>
        <v>516.4</v>
      </c>
      <c r="H287" s="262">
        <f>SUMIF(F15:F275,"SB(ES)",H15:H275)</f>
        <v>576.79999999999995</v>
      </c>
      <c r="I287" s="268">
        <f>SUMIF(F15:F275,"SB(ES)",I15:I275)</f>
        <v>60.4</v>
      </c>
      <c r="J287" s="693">
        <f>SUMIF(F15:F275,"SB(ES)",J15:J275)</f>
        <v>0</v>
      </c>
      <c r="K287" s="262">
        <f>SUMIF(F15:F275,"SB(ES)",K15:K275)</f>
        <v>805.7</v>
      </c>
      <c r="L287" s="268">
        <f>SUMIF(F15:F275,"SB(ES)",L15:L275)</f>
        <v>805.7</v>
      </c>
      <c r="M287" s="693">
        <f>SUMIF(F15:F275,"SB(ES)",M15:M275)</f>
        <v>0</v>
      </c>
      <c r="N287" s="262">
        <f>SUMIF(F15:F275,"SB(ES)",N15:N275)</f>
        <v>195.4</v>
      </c>
      <c r="O287" s="268">
        <f>SUMIF(F15:F275,"SB(ES)",O15:O275)</f>
        <v>195.4</v>
      </c>
      <c r="P287" s="16"/>
      <c r="Q287" s="16"/>
      <c r="R287" s="16"/>
      <c r="S287" s="16"/>
      <c r="T287" s="16"/>
      <c r="U287" s="16"/>
      <c r="V287" s="16"/>
      <c r="W287" s="10"/>
    </row>
    <row r="288" spans="1:27" ht="14.25" customHeight="1" x14ac:dyDescent="0.25">
      <c r="A288" s="2027" t="s">
        <v>122</v>
      </c>
      <c r="B288" s="1893"/>
      <c r="C288" s="1893"/>
      <c r="D288" s="1893"/>
      <c r="E288" s="1893"/>
      <c r="F288" s="1894"/>
      <c r="G288" s="693">
        <f>SUMIF(F15:F275,"SB(VB)",G15:G275)</f>
        <v>9038.6</v>
      </c>
      <c r="H288" s="262">
        <f>SUMIF(F15:F275,"SB(VB)",H15:H275)</f>
        <v>9036</v>
      </c>
      <c r="I288" s="268">
        <f>SUMIF(F15:F275,"SB(VB)",I15:I275)</f>
        <v>-2.6</v>
      </c>
      <c r="J288" s="693">
        <f>SUMIF(F15:F275,"SB(VB)",J15:J275)</f>
        <v>8000</v>
      </c>
      <c r="K288" s="262">
        <f>SUMIF(F15:F275,"SB(VB)",K15:K275)</f>
        <v>8000</v>
      </c>
      <c r="L288" s="268">
        <f>SUMIF(F15:F275,"SB(VB)",L15:L275)</f>
        <v>0</v>
      </c>
      <c r="M288" s="693">
        <f>SUMIF(F15:F275,"SB(VB)",M15:M275)</f>
        <v>0</v>
      </c>
      <c r="N288" s="262">
        <f>SUMIF(F15:F275,"SB(VB)",N15:N275)</f>
        <v>0</v>
      </c>
      <c r="O288" s="268">
        <f>SUMIF(F15:F275,"SB(VB)",O15:O275)</f>
        <v>0</v>
      </c>
      <c r="P288" s="16"/>
      <c r="Q288" s="16"/>
      <c r="R288" s="16"/>
      <c r="S288" s="16"/>
      <c r="T288" s="16"/>
      <c r="U288" s="16"/>
      <c r="V288" s="16"/>
      <c r="W288" s="10"/>
    </row>
    <row r="289" spans="1:23" ht="26.25" customHeight="1" x14ac:dyDescent="0.25">
      <c r="A289" s="2026" t="s">
        <v>142</v>
      </c>
      <c r="B289" s="1942"/>
      <c r="C289" s="1942"/>
      <c r="D289" s="1942"/>
      <c r="E289" s="1942"/>
      <c r="F289" s="1943"/>
      <c r="G289" s="693">
        <f>SUMIF(F15:F275,"SB(KPP)",G15:G275)</f>
        <v>4513.8999999999996</v>
      </c>
      <c r="H289" s="262">
        <f>SUMIF(F15:F275,"SB(KPP)",H15:H275)</f>
        <v>5154.2</v>
      </c>
      <c r="I289" s="268">
        <f>SUMIF(F15:F275,"SB(KPP)",I15:I275)</f>
        <v>640.29999999999995</v>
      </c>
      <c r="J289" s="693">
        <f>SUMIF(F15:F275,"SB(KPP)",J15:J275)</f>
        <v>5282.3</v>
      </c>
      <c r="K289" s="262">
        <f>SUMIF(F15:F275,"SB(KPP)",K15:K275)</f>
        <v>5575</v>
      </c>
      <c r="L289" s="268">
        <f>SUMIF(F15:F275,"SB(KPP)",L15:L275)</f>
        <v>292.7</v>
      </c>
      <c r="M289" s="693">
        <f>SUMIF(F15:F275,"SB(KPP)",M15:M275)</f>
        <v>6384.6</v>
      </c>
      <c r="N289" s="262">
        <f>SUMIF(F15:F275,"SB(KPP)",N15:N275)</f>
        <v>8211.9</v>
      </c>
      <c r="O289" s="268">
        <f>SUMIF(F15:F275,"SB(KPP)",O15:O275)</f>
        <v>1827.3</v>
      </c>
      <c r="P289" s="16"/>
      <c r="Q289" s="16"/>
      <c r="R289" s="16"/>
      <c r="S289" s="16"/>
      <c r="T289" s="16"/>
      <c r="U289" s="16"/>
      <c r="V289" s="16"/>
      <c r="W289" s="10"/>
    </row>
    <row r="290" spans="1:23" ht="27" customHeight="1" x14ac:dyDescent="0.25">
      <c r="A290" s="2026" t="s">
        <v>208</v>
      </c>
      <c r="B290" s="1942"/>
      <c r="C290" s="1942"/>
      <c r="D290" s="1942"/>
      <c r="E290" s="1942"/>
      <c r="F290" s="1943"/>
      <c r="G290" s="693">
        <f>SUMIF(F15:F275,"SB(ESA)",G15:G275)</f>
        <v>28.6</v>
      </c>
      <c r="H290" s="262">
        <f>SUMIF(F15:F275,"SB(ESA)",H15:H275)</f>
        <v>28.6</v>
      </c>
      <c r="I290" s="268">
        <f>SUMIF(F15:F275,"SB(ESA)",I15:I275)</f>
        <v>0</v>
      </c>
      <c r="J290" s="693">
        <f>SUMIF(F15:F275,"SB(ESA)",J15:J275)</f>
        <v>8.3000000000000007</v>
      </c>
      <c r="K290" s="262">
        <f>SUMIF(F15:F275,"SB(ESA)",K15:K275)</f>
        <v>8.3000000000000007</v>
      </c>
      <c r="L290" s="268">
        <f>SUMIF(F15:F275,"SB(ESA)",L15:L275)</f>
        <v>0</v>
      </c>
      <c r="M290" s="693">
        <f>SUMIF(F15:F275,"SB(ESA)",M15:M275)</f>
        <v>0</v>
      </c>
      <c r="N290" s="262">
        <f>SUMIF(F15:F275,"SB(ESA)",N15:N275)</f>
        <v>0</v>
      </c>
      <c r="O290" s="268">
        <f>SUMIF(F15:F275,"SB(ESA)",O15:O275)</f>
        <v>0</v>
      </c>
      <c r="P290" s="16"/>
      <c r="Q290" s="16"/>
      <c r="R290" s="16"/>
      <c r="S290" s="16"/>
      <c r="T290" s="16"/>
      <c r="U290" s="16"/>
      <c r="V290" s="16"/>
      <c r="W290" s="10"/>
    </row>
    <row r="291" spans="1:23" ht="15.75" customHeight="1" x14ac:dyDescent="0.25">
      <c r="A291" s="2042" t="s">
        <v>143</v>
      </c>
      <c r="B291" s="1945"/>
      <c r="C291" s="1945"/>
      <c r="D291" s="1945"/>
      <c r="E291" s="1945"/>
      <c r="F291" s="1946"/>
      <c r="G291" s="1016">
        <f>SUMIF(F15:F275,"KPP",G15:G275)</f>
        <v>0</v>
      </c>
      <c r="H291" s="1021">
        <f>SUMIF(F15:F275,"KPP",H15:H275)</f>
        <v>0</v>
      </c>
      <c r="I291" s="269">
        <f>SUMIF(F15:F275,"KPP",I15:I275)</f>
        <v>0</v>
      </c>
      <c r="J291" s="1016">
        <f>SUMIF(F15:F275,"KPP",J15:J275)</f>
        <v>0</v>
      </c>
      <c r="K291" s="1021">
        <f>SUMIF(F15:F275,"KPP",K15:K275)</f>
        <v>0</v>
      </c>
      <c r="L291" s="269">
        <f>SUMIF(F15:F275,"KPP",L15:L275)</f>
        <v>0</v>
      </c>
      <c r="M291" s="1016">
        <f>SUMIF(F15:F275,"KPP",M15:M275)</f>
        <v>0</v>
      </c>
      <c r="N291" s="1021">
        <f>SUMIF(F15:F275,"KPP",N15:N275)</f>
        <v>0</v>
      </c>
      <c r="O291" s="269">
        <f>SUMIF(F15:F275,"KPP",O15:O275)</f>
        <v>0</v>
      </c>
      <c r="P291" s="16"/>
      <c r="Q291" s="16"/>
      <c r="R291" s="16"/>
      <c r="S291" s="16"/>
      <c r="T291" s="16"/>
      <c r="U291" s="16"/>
      <c r="V291" s="16"/>
      <c r="W291" s="10"/>
    </row>
    <row r="292" spans="1:23" ht="26.25" customHeight="1" x14ac:dyDescent="0.25">
      <c r="A292" s="2042" t="s">
        <v>362</v>
      </c>
      <c r="B292" s="1945"/>
      <c r="C292" s="1945"/>
      <c r="D292" s="1945"/>
      <c r="E292" s="1945"/>
      <c r="F292" s="1946"/>
      <c r="G292" s="1016">
        <f>SUMIF(F15:F275,"SB(ESL)",G15:G275)</f>
        <v>59.5</v>
      </c>
      <c r="H292" s="1021">
        <f>SUMIF(F15:F275,"SB(ESL)",H15:H275)</f>
        <v>59.5</v>
      </c>
      <c r="I292" s="269">
        <f>SUMIF(F15:F275,"SB(ESL)",I15:I275)</f>
        <v>0</v>
      </c>
      <c r="J292" s="1016">
        <f>SUMIF(F15:F275,"SB(ESL)",J15:J275)</f>
        <v>0</v>
      </c>
      <c r="K292" s="1021">
        <f>SUMIF(F15:F275,"SB(ESL)",K15:K275)</f>
        <v>0</v>
      </c>
      <c r="L292" s="269">
        <f>SUMIF(F15:F275,"SB(ESL)",L15:L275)</f>
        <v>0</v>
      </c>
      <c r="M292" s="1016">
        <f>SUMIF(F15:F275,"SB(ESL)",M15:M275)</f>
        <v>0</v>
      </c>
      <c r="N292" s="1021">
        <f ca="1">SUMIF(F14:F275,"SB(ESL)",N15:N275)</f>
        <v>0</v>
      </c>
      <c r="O292" s="269">
        <f>SUMIF(F15:F275,"SB(ESL)",O15:O275)</f>
        <v>0</v>
      </c>
      <c r="P292" s="16"/>
      <c r="Q292" s="16"/>
      <c r="R292" s="16"/>
      <c r="S292" s="16"/>
      <c r="T292" s="16"/>
      <c r="U292" s="16"/>
      <c r="V292" s="16"/>
      <c r="W292" s="10"/>
    </row>
    <row r="293" spans="1:23" ht="14.25" customHeight="1" x14ac:dyDescent="0.25">
      <c r="A293" s="2043" t="s">
        <v>65</v>
      </c>
      <c r="B293" s="1948"/>
      <c r="C293" s="1948"/>
      <c r="D293" s="1948"/>
      <c r="E293" s="1948"/>
      <c r="F293" s="1949"/>
      <c r="G293" s="1016">
        <f>SUMIF(F15:F275,"SB(VRL)",G15:G275)</f>
        <v>427.7</v>
      </c>
      <c r="H293" s="1021">
        <f>SUMIF(F15:F275,"SB(VRL)",H15:H275)</f>
        <v>427.7</v>
      </c>
      <c r="I293" s="269">
        <f>SUMIF(F15:F275,"SB(VRL)",I15:I275)</f>
        <v>0</v>
      </c>
      <c r="J293" s="1016">
        <f>SUMIF(F15:F275,"SB(VRL)",J15:J275)</f>
        <v>20</v>
      </c>
      <c r="K293" s="1021">
        <f>SUMIF(F15:F275,"SB(VRL)",K15:K275)</f>
        <v>20</v>
      </c>
      <c r="L293" s="269">
        <f>SUMIF(F15:F275,"SB(VRL)",L15:L275)</f>
        <v>0</v>
      </c>
      <c r="M293" s="1016">
        <f>SUMIF(F15:F275,"SB(VRL)",M15:M275)</f>
        <v>26</v>
      </c>
      <c r="N293" s="1021">
        <f>SUMIF(F15:F275,"SB(VRL)",N15:N275)</f>
        <v>26</v>
      </c>
      <c r="O293" s="269">
        <f>SUMIF(F15:F275,"SB(VRL)",O15:O275)</f>
        <v>0</v>
      </c>
      <c r="P293" s="16"/>
      <c r="Q293" s="16"/>
      <c r="R293" s="16"/>
      <c r="S293" s="16"/>
      <c r="T293" s="16"/>
      <c r="U293" s="16"/>
      <c r="V293" s="16"/>
      <c r="W293" s="10"/>
    </row>
    <row r="294" spans="1:23" ht="14.25" customHeight="1" x14ac:dyDescent="0.25">
      <c r="A294" s="2042" t="s">
        <v>66</v>
      </c>
      <c r="B294" s="1948"/>
      <c r="C294" s="1948"/>
      <c r="D294" s="1948"/>
      <c r="E294" s="1948"/>
      <c r="F294" s="1949"/>
      <c r="G294" s="1016">
        <f>SUMIF(F15:F275,"SB(ŽPL)",G15:G275)</f>
        <v>0</v>
      </c>
      <c r="H294" s="1021">
        <f>SUMIF(F15:F275,"SB(ŽPL)",H15:H275)</f>
        <v>5.7</v>
      </c>
      <c r="I294" s="269">
        <f>SUMIF(F15:F275,"SB(ŽPL)",I15:I275)</f>
        <v>5.7</v>
      </c>
      <c r="J294" s="1016">
        <f>SUMIF(F15:F275,"SB(ŽPL)",J15:J275)</f>
        <v>0</v>
      </c>
      <c r="K294" s="1021">
        <f>SUMIF(F15:F275,"SB(ŽPL)",K15:K275)</f>
        <v>0</v>
      </c>
      <c r="L294" s="269">
        <f>SUMIF(F15:F275,"SB(ŽPL)",L15:L275)</f>
        <v>0</v>
      </c>
      <c r="M294" s="1016">
        <f>SUMIF(F15:F275,"SB(ŽPL)",M15:M275)</f>
        <v>0</v>
      </c>
      <c r="N294" s="1021">
        <f>SUMIF(F15:F275,"SB(ŽPL)",N15:N275)</f>
        <v>0</v>
      </c>
      <c r="O294" s="269">
        <f>SUMIF(F15:F275,"SB(ŽPL)",O15:O275)</f>
        <v>0</v>
      </c>
      <c r="P294" s="16"/>
      <c r="Q294" s="16"/>
      <c r="R294" s="16"/>
      <c r="S294" s="16"/>
      <c r="T294" s="16"/>
      <c r="U294" s="16"/>
      <c r="V294" s="16"/>
      <c r="W294" s="10"/>
    </row>
    <row r="295" spans="1:23" ht="14.25" customHeight="1" x14ac:dyDescent="0.25">
      <c r="A295" s="2037" t="s">
        <v>96</v>
      </c>
      <c r="B295" s="1927"/>
      <c r="C295" s="1927"/>
      <c r="D295" s="1927"/>
      <c r="E295" s="1927"/>
      <c r="F295" s="1928"/>
      <c r="G295" s="1016">
        <f>SUMIF(F15:F275,"SB(L)",G15:G275)</f>
        <v>1076.3</v>
      </c>
      <c r="H295" s="1021">
        <f>SUMIF(F15:F275,"SB(L)",H15:H275)</f>
        <v>1426.5</v>
      </c>
      <c r="I295" s="269">
        <f>SUMIF(F15:F275,"SB(L)",I15:I275)</f>
        <v>350.2</v>
      </c>
      <c r="J295" s="1016">
        <f>SUMIF(F15:F275,"SB(L)",J15:J275)</f>
        <v>0</v>
      </c>
      <c r="K295" s="1021">
        <f>SUMIF(F15:F275,"SB(L)",K15:K275)</f>
        <v>0</v>
      </c>
      <c r="L295" s="269">
        <f>SUMIF(F15:F275,"SB(L)",L15:L275)</f>
        <v>0</v>
      </c>
      <c r="M295" s="1016">
        <f>SUMIF(F15:F275,"SB(L)",M15:M275)</f>
        <v>0</v>
      </c>
      <c r="N295" s="1021">
        <f>SUMIF(F15:F275,"SB(L)",N15:N275)</f>
        <v>0</v>
      </c>
      <c r="O295" s="269">
        <f>SUMIF(F15:F275,"SB(L)",O15:O275)</f>
        <v>0</v>
      </c>
      <c r="P295" s="16"/>
      <c r="Q295" s="16"/>
      <c r="R295" s="16"/>
      <c r="S295" s="16"/>
      <c r="T295" s="16"/>
      <c r="U295" s="16"/>
      <c r="V295" s="16"/>
      <c r="W295" s="10"/>
    </row>
    <row r="296" spans="1:23" ht="14.25" customHeight="1" x14ac:dyDescent="0.25">
      <c r="A296" s="2038" t="s">
        <v>13</v>
      </c>
      <c r="B296" s="1930"/>
      <c r="C296" s="1930"/>
      <c r="D296" s="1930"/>
      <c r="E296" s="1930"/>
      <c r="F296" s="1931"/>
      <c r="G296" s="1017">
        <f t="shared" ref="G296:O296" si="45">G298+G299+G300+G297</f>
        <v>3854.5</v>
      </c>
      <c r="H296" s="1022">
        <f t="shared" si="45"/>
        <v>3370</v>
      </c>
      <c r="I296" s="270">
        <f t="shared" si="45"/>
        <v>-484.5</v>
      </c>
      <c r="J296" s="1017">
        <f t="shared" si="45"/>
        <v>19164.7</v>
      </c>
      <c r="K296" s="1022">
        <f t="shared" si="45"/>
        <v>19767.5</v>
      </c>
      <c r="L296" s="270">
        <f t="shared" si="45"/>
        <v>602.79999999999995</v>
      </c>
      <c r="M296" s="1017">
        <f t="shared" si="45"/>
        <v>15328.8</v>
      </c>
      <c r="N296" s="1022">
        <f t="shared" si="45"/>
        <v>15060.1</v>
      </c>
      <c r="O296" s="270">
        <f t="shared" si="45"/>
        <v>-268.7</v>
      </c>
      <c r="P296" s="16"/>
      <c r="Q296" s="16"/>
      <c r="R296" s="16"/>
      <c r="S296" s="16"/>
      <c r="T296" s="16"/>
      <c r="U296" s="16"/>
      <c r="V296" s="16"/>
      <c r="W296" s="10"/>
    </row>
    <row r="297" spans="1:23" ht="14.25" customHeight="1" x14ac:dyDescent="0.25">
      <c r="A297" s="2027" t="s">
        <v>18</v>
      </c>
      <c r="B297" s="1893"/>
      <c r="C297" s="1893"/>
      <c r="D297" s="1893"/>
      <c r="E297" s="1893"/>
      <c r="F297" s="1894"/>
      <c r="G297" s="693">
        <f>SUMIF(F15:F275,"ES",G15:G275)</f>
        <v>599.29999999999995</v>
      </c>
      <c r="H297" s="262">
        <f>SUMIF(F15:F275,"ES",H15:H275)</f>
        <v>114.8</v>
      </c>
      <c r="I297" s="268">
        <f>SUMIF(F15:F275,"ES",I15:I275)</f>
        <v>-484.5</v>
      </c>
      <c r="J297" s="693">
        <f>SUMIF(F15:F275,"ES",J15:J275)</f>
        <v>3649</v>
      </c>
      <c r="K297" s="262">
        <f>SUMIF(F15:F275,"ES",K15:K275)</f>
        <v>1712.8</v>
      </c>
      <c r="L297" s="268">
        <f>SUMIF(F15:F275,"ES",L15:L275)</f>
        <v>-1936.2</v>
      </c>
      <c r="M297" s="693">
        <f>SUMIF(F15:F275,"ES",M15:M275)</f>
        <v>1813.8</v>
      </c>
      <c r="N297" s="262">
        <f>SUMIF(F15:F275,"ES",N15:N275)</f>
        <v>1545.1</v>
      </c>
      <c r="O297" s="268">
        <f>SUMIF(F15:F275,"ES",O15:O275)</f>
        <v>-268.7</v>
      </c>
      <c r="P297" s="16"/>
      <c r="Q297" s="16"/>
      <c r="R297" s="16"/>
      <c r="S297" s="16"/>
      <c r="T297" s="16"/>
      <c r="U297" s="16"/>
      <c r="V297" s="16"/>
      <c r="W297" s="10"/>
    </row>
    <row r="298" spans="1:23" ht="14.25" customHeight="1" x14ac:dyDescent="0.25">
      <c r="A298" s="2039" t="s">
        <v>19</v>
      </c>
      <c r="B298" s="1933"/>
      <c r="C298" s="1933"/>
      <c r="D298" s="1933"/>
      <c r="E298" s="1933"/>
      <c r="F298" s="1934"/>
      <c r="G298" s="693">
        <f>SUMIF(F15:F275,"KVJUD",G15:G275)</f>
        <v>1500</v>
      </c>
      <c r="H298" s="262">
        <f>SUMIF(F15:F275,"KVJUD",H15:H275)</f>
        <v>1500</v>
      </c>
      <c r="I298" s="268">
        <f>SUMIF(F15:F275,"KVJUD",I15:I275)</f>
        <v>0</v>
      </c>
      <c r="J298" s="693">
        <f>SUMIF(F15:F275,"KVJUD",J15:J275)</f>
        <v>1500</v>
      </c>
      <c r="K298" s="262">
        <f>SUMIF(F15:F275,"KVJUD",K15:K275)</f>
        <v>1500</v>
      </c>
      <c r="L298" s="268">
        <f>SUMIF(F15:F275,"KVJUD",L15:L275)</f>
        <v>0</v>
      </c>
      <c r="M298" s="693">
        <f>SUMIF(F15:F275,"KVJUD",M15:M275)</f>
        <v>1500</v>
      </c>
      <c r="N298" s="262">
        <f>SUMIF(F15:F275,"KVJUD",N15:N275)</f>
        <v>1500</v>
      </c>
      <c r="O298" s="268">
        <f>SUMIF(F15:F275,"KVJUD",O15:O275)</f>
        <v>0</v>
      </c>
      <c r="P298" s="16"/>
      <c r="Q298" s="16"/>
      <c r="R298" s="16"/>
      <c r="S298" s="16"/>
      <c r="T298" s="16"/>
      <c r="U298" s="16"/>
      <c r="V298" s="16"/>
      <c r="W298" s="16"/>
    </row>
    <row r="299" spans="1:23" ht="14.25" customHeight="1" x14ac:dyDescent="0.25">
      <c r="A299" s="2040" t="s">
        <v>20</v>
      </c>
      <c r="B299" s="1936"/>
      <c r="C299" s="1936"/>
      <c r="D299" s="1936"/>
      <c r="E299" s="1936"/>
      <c r="F299" s="1937"/>
      <c r="G299" s="693">
        <f>SUMIF(F15:F275,"LRVB",G15:G275)</f>
        <v>1500</v>
      </c>
      <c r="H299" s="262">
        <f>SUMIF(F15:F275,"LRVB",H15:H275)</f>
        <v>1500</v>
      </c>
      <c r="I299" s="268">
        <f>SUMIF(F15:F275,"LRVB",I15:I275)</f>
        <v>0</v>
      </c>
      <c r="J299" s="693">
        <f>SUMIF(F15:F275,"LRVB",J15:J275)</f>
        <v>13991.7</v>
      </c>
      <c r="K299" s="262">
        <f>SUMIF(F15:F275,"LRVB",K15:K275)</f>
        <v>16530.7</v>
      </c>
      <c r="L299" s="268">
        <f>SUMIF(F15:F275,"LRVB",L15:L275)</f>
        <v>2539</v>
      </c>
      <c r="M299" s="693">
        <f>SUMIF(F15:F275,"LRVB",M15:M275)</f>
        <v>12015</v>
      </c>
      <c r="N299" s="262">
        <f>SUMIF(F15:F275,"LRVB",N15:N275)</f>
        <v>12015</v>
      </c>
      <c r="O299" s="268">
        <f>SUMIF(F15:F275,"LRVB",O15:O275)</f>
        <v>0</v>
      </c>
      <c r="P299" s="16"/>
      <c r="Q299" s="16"/>
      <c r="R299" s="16"/>
      <c r="S299" s="16"/>
      <c r="T299" s="16"/>
      <c r="U299" s="16"/>
      <c r="V299" s="16"/>
      <c r="W299" s="16"/>
    </row>
    <row r="300" spans="1:23" ht="14.25" customHeight="1" x14ac:dyDescent="0.25">
      <c r="A300" s="2041" t="s">
        <v>21</v>
      </c>
      <c r="B300" s="1939"/>
      <c r="C300" s="1939"/>
      <c r="D300" s="1939"/>
      <c r="E300" s="1939"/>
      <c r="F300" s="1940"/>
      <c r="G300" s="693">
        <f>SUMIF(F15:F275,"Kt",G15:G275)</f>
        <v>255.2</v>
      </c>
      <c r="H300" s="262">
        <f>SUMIF(F15:F275,"Kt",H15:H275)</f>
        <v>255.2</v>
      </c>
      <c r="I300" s="268">
        <f>SUMIF(F15:F275,"Kt",I15:I275)</f>
        <v>0</v>
      </c>
      <c r="J300" s="693">
        <f>SUMIF(F15:F275,"Kt",J15:J275)</f>
        <v>24</v>
      </c>
      <c r="K300" s="262">
        <f>SUMIF(F15:F275,"Kt",K15:K275)</f>
        <v>24</v>
      </c>
      <c r="L300" s="268">
        <f>SUMIF(F15:F275,"Kt",L15:L275)</f>
        <v>0</v>
      </c>
      <c r="M300" s="693">
        <f>SUMIF(F15:F275,"Kt",M15:M275)</f>
        <v>0</v>
      </c>
      <c r="N300" s="262">
        <f>SUMIF(F15:F275,"Kt",N15:N275)</f>
        <v>0</v>
      </c>
      <c r="O300" s="268">
        <f>SUMIF(F15:F275,"Kt",O15:O275)</f>
        <v>0</v>
      </c>
      <c r="P300" s="16"/>
      <c r="Q300" s="16"/>
      <c r="R300" s="16"/>
      <c r="S300" s="16"/>
      <c r="T300" s="16"/>
      <c r="U300" s="16"/>
      <c r="V300" s="16"/>
      <c r="W300" s="16"/>
    </row>
    <row r="301" spans="1:23" ht="14.25" customHeight="1" thickBot="1" x14ac:dyDescent="0.3">
      <c r="A301" s="2034" t="s">
        <v>14</v>
      </c>
      <c r="B301" s="1921"/>
      <c r="C301" s="1921"/>
      <c r="D301" s="1921"/>
      <c r="E301" s="1921"/>
      <c r="F301" s="1922"/>
      <c r="G301" s="1018">
        <f t="shared" ref="G301:O301" si="46">SUM(G280,G296)</f>
        <v>32059.3</v>
      </c>
      <c r="H301" s="1023">
        <f t="shared" si="46"/>
        <v>32982.300000000003</v>
      </c>
      <c r="I301" s="271">
        <f t="shared" si="46"/>
        <v>923</v>
      </c>
      <c r="J301" s="1018">
        <f t="shared" si="46"/>
        <v>46417.2</v>
      </c>
      <c r="K301" s="1023">
        <f t="shared" si="46"/>
        <v>49344.800000000003</v>
      </c>
      <c r="L301" s="271">
        <f t="shared" si="46"/>
        <v>2927.6</v>
      </c>
      <c r="M301" s="1018">
        <f t="shared" si="46"/>
        <v>34268.400000000001</v>
      </c>
      <c r="N301" s="1023">
        <f t="shared" ca="1" si="46"/>
        <v>36170.9</v>
      </c>
      <c r="O301" s="271">
        <f t="shared" si="46"/>
        <v>1902.5</v>
      </c>
      <c r="P301" s="16"/>
      <c r="Q301" s="16"/>
      <c r="R301" s="16"/>
      <c r="S301" s="16"/>
      <c r="T301" s="16"/>
      <c r="U301" s="16"/>
      <c r="V301" s="16"/>
      <c r="W301" s="16"/>
    </row>
    <row r="302" spans="1:23" x14ac:dyDescent="0.25">
      <c r="A302" s="531"/>
      <c r="B302" s="1"/>
      <c r="C302" s="1"/>
      <c r="D302" s="1"/>
      <c r="E302" s="890"/>
      <c r="F302" s="944"/>
      <c r="G302" s="945"/>
      <c r="H302" s="945"/>
      <c r="I302" s="945"/>
      <c r="J302" s="945"/>
      <c r="K302" s="945"/>
      <c r="L302" s="945"/>
      <c r="M302" s="945"/>
      <c r="N302" s="945"/>
      <c r="O302" s="945"/>
      <c r="P302" s="946"/>
      <c r="Q302" s="1"/>
      <c r="R302" s="1"/>
      <c r="S302" s="1"/>
      <c r="T302" s="1"/>
      <c r="U302" s="1"/>
      <c r="V302" s="1"/>
    </row>
  </sheetData>
  <mergeCells count="264">
    <mergeCell ref="A299:F299"/>
    <mergeCell ref="A300:F300"/>
    <mergeCell ref="A301:F301"/>
    <mergeCell ref="A293:F293"/>
    <mergeCell ref="A294:F294"/>
    <mergeCell ref="A295:F295"/>
    <mergeCell ref="A296:F296"/>
    <mergeCell ref="A297:F297"/>
    <mergeCell ref="A298:F298"/>
    <mergeCell ref="A287:F287"/>
    <mergeCell ref="A288:F288"/>
    <mergeCell ref="A289:F289"/>
    <mergeCell ref="A290:F290"/>
    <mergeCell ref="A291:F291"/>
    <mergeCell ref="A292:F292"/>
    <mergeCell ref="A281:F281"/>
    <mergeCell ref="A282:F282"/>
    <mergeCell ref="A283:F283"/>
    <mergeCell ref="A284:F284"/>
    <mergeCell ref="A285:F285"/>
    <mergeCell ref="A286:F286"/>
    <mergeCell ref="B275:F275"/>
    <mergeCell ref="P275:U275"/>
    <mergeCell ref="A276:E276"/>
    <mergeCell ref="A278:M278"/>
    <mergeCell ref="A279:F279"/>
    <mergeCell ref="A280:F280"/>
    <mergeCell ref="W265:W271"/>
    <mergeCell ref="P270:P271"/>
    <mergeCell ref="C273:F273"/>
    <mergeCell ref="P273:U273"/>
    <mergeCell ref="B274:F274"/>
    <mergeCell ref="P274:U274"/>
    <mergeCell ref="A263:A264"/>
    <mergeCell ref="B263:B264"/>
    <mergeCell ref="C263:C264"/>
    <mergeCell ref="D263:D264"/>
    <mergeCell ref="P263:P264"/>
    <mergeCell ref="A265:A270"/>
    <mergeCell ref="B265:B270"/>
    <mergeCell ref="C265:C270"/>
    <mergeCell ref="D265:D271"/>
    <mergeCell ref="E265:E270"/>
    <mergeCell ref="A257:A259"/>
    <mergeCell ref="B257:B259"/>
    <mergeCell ref="C257:C259"/>
    <mergeCell ref="D257:D259"/>
    <mergeCell ref="E257:E259"/>
    <mergeCell ref="A260:A262"/>
    <mergeCell ref="B260:B262"/>
    <mergeCell ref="C260:C262"/>
    <mergeCell ref="D260:D262"/>
    <mergeCell ref="A251:A253"/>
    <mergeCell ref="B251:B253"/>
    <mergeCell ref="C251:C253"/>
    <mergeCell ref="D251:D253"/>
    <mergeCell ref="A254:A256"/>
    <mergeCell ref="B254:B256"/>
    <mergeCell ref="C254:C256"/>
    <mergeCell ref="D254:D256"/>
    <mergeCell ref="E254:E256"/>
    <mergeCell ref="W240:W244"/>
    <mergeCell ref="X240:AB247"/>
    <mergeCell ref="D241:D244"/>
    <mergeCell ref="P241:P242"/>
    <mergeCell ref="D245:D247"/>
    <mergeCell ref="W245:W247"/>
    <mergeCell ref="D228:D235"/>
    <mergeCell ref="E228:E235"/>
    <mergeCell ref="W248:W250"/>
    <mergeCell ref="A236:A239"/>
    <mergeCell ref="B236:B239"/>
    <mergeCell ref="C236:C239"/>
    <mergeCell ref="D236:D239"/>
    <mergeCell ref="D219:D220"/>
    <mergeCell ref="W219:W220"/>
    <mergeCell ref="A222:A223"/>
    <mergeCell ref="B222:B223"/>
    <mergeCell ref="C222:C223"/>
    <mergeCell ref="D222:D223"/>
    <mergeCell ref="P236:P237"/>
    <mergeCell ref="P238:P239"/>
    <mergeCell ref="D207:D211"/>
    <mergeCell ref="W207:W209"/>
    <mergeCell ref="X207:AC209"/>
    <mergeCell ref="D215:D216"/>
    <mergeCell ref="D217:D218"/>
    <mergeCell ref="P217:P218"/>
    <mergeCell ref="D193:D194"/>
    <mergeCell ref="D195:D196"/>
    <mergeCell ref="C201:F201"/>
    <mergeCell ref="P201:U201"/>
    <mergeCell ref="C202:U202"/>
    <mergeCell ref="D203:D206"/>
    <mergeCell ref="D185:D186"/>
    <mergeCell ref="P185:P186"/>
    <mergeCell ref="D187:D188"/>
    <mergeCell ref="E187:E188"/>
    <mergeCell ref="D190:D191"/>
    <mergeCell ref="W190:W191"/>
    <mergeCell ref="W179:W180"/>
    <mergeCell ref="A181:A182"/>
    <mergeCell ref="B181:B182"/>
    <mergeCell ref="C181:C182"/>
    <mergeCell ref="D181:D182"/>
    <mergeCell ref="E181:E184"/>
    <mergeCell ref="W181:W184"/>
    <mergeCell ref="Q179:Q180"/>
    <mergeCell ref="R179:R180"/>
    <mergeCell ref="S179:S180"/>
    <mergeCell ref="T179:T180"/>
    <mergeCell ref="U179:U180"/>
    <mergeCell ref="V179:V180"/>
    <mergeCell ref="X172:AC174"/>
    <mergeCell ref="D175:D176"/>
    <mergeCell ref="D177:D178"/>
    <mergeCell ref="P177:P178"/>
    <mergeCell ref="A179:A180"/>
    <mergeCell ref="B179:B180"/>
    <mergeCell ref="C179:C180"/>
    <mergeCell ref="D179:D180"/>
    <mergeCell ref="E179:E180"/>
    <mergeCell ref="P179:P180"/>
    <mergeCell ref="E158:E160"/>
    <mergeCell ref="D164:D165"/>
    <mergeCell ref="D169:D170"/>
    <mergeCell ref="P169:P170"/>
    <mergeCell ref="D172:D174"/>
    <mergeCell ref="W172:W174"/>
    <mergeCell ref="D142:D144"/>
    <mergeCell ref="D147:D148"/>
    <mergeCell ref="D149:D152"/>
    <mergeCell ref="W149:W152"/>
    <mergeCell ref="C156:F156"/>
    <mergeCell ref="C157:U157"/>
    <mergeCell ref="X129:AC129"/>
    <mergeCell ref="E130:E131"/>
    <mergeCell ref="D132:D133"/>
    <mergeCell ref="D134:D135"/>
    <mergeCell ref="D136:D138"/>
    <mergeCell ref="D139:D141"/>
    <mergeCell ref="D121:D122"/>
    <mergeCell ref="P121:P122"/>
    <mergeCell ref="D123:D124"/>
    <mergeCell ref="W123:W124"/>
    <mergeCell ref="D125:D126"/>
    <mergeCell ref="P125:P126"/>
    <mergeCell ref="A117:A118"/>
    <mergeCell ref="B117:B118"/>
    <mergeCell ref="C117:C118"/>
    <mergeCell ref="D117:D118"/>
    <mergeCell ref="W117:W118"/>
    <mergeCell ref="D119:D120"/>
    <mergeCell ref="P119:P120"/>
    <mergeCell ref="V103:V110"/>
    <mergeCell ref="D112:D114"/>
    <mergeCell ref="W112:W114"/>
    <mergeCell ref="A115:A116"/>
    <mergeCell ref="B115:B116"/>
    <mergeCell ref="C115:C116"/>
    <mergeCell ref="D115:D116"/>
    <mergeCell ref="P115:P116"/>
    <mergeCell ref="W115:W116"/>
    <mergeCell ref="O103:O110"/>
    <mergeCell ref="Q103:Q110"/>
    <mergeCell ref="R103:R110"/>
    <mergeCell ref="S103:S110"/>
    <mergeCell ref="T103:T110"/>
    <mergeCell ref="U103:U110"/>
    <mergeCell ref="I103:I110"/>
    <mergeCell ref="J103:J110"/>
    <mergeCell ref="K103:K110"/>
    <mergeCell ref="L103:L110"/>
    <mergeCell ref="M103:M110"/>
    <mergeCell ref="N103:N110"/>
    <mergeCell ref="D93:D94"/>
    <mergeCell ref="E93:E94"/>
    <mergeCell ref="W93:W94"/>
    <mergeCell ref="D96:D98"/>
    <mergeCell ref="P96:P98"/>
    <mergeCell ref="W101:W103"/>
    <mergeCell ref="P102:P110"/>
    <mergeCell ref="F103:F110"/>
    <mergeCell ref="G103:G110"/>
    <mergeCell ref="H103:H110"/>
    <mergeCell ref="X79:AB80"/>
    <mergeCell ref="D81:D82"/>
    <mergeCell ref="D86:D87"/>
    <mergeCell ref="D88:D90"/>
    <mergeCell ref="P89:P90"/>
    <mergeCell ref="D91:D92"/>
    <mergeCell ref="E91:E92"/>
    <mergeCell ref="W69:W71"/>
    <mergeCell ref="D72:D76"/>
    <mergeCell ref="P72:P73"/>
    <mergeCell ref="W72:W76"/>
    <mergeCell ref="D77:D78"/>
    <mergeCell ref="D79:D80"/>
    <mergeCell ref="W79:W80"/>
    <mergeCell ref="Q69:Q71"/>
    <mergeCell ref="R69:R71"/>
    <mergeCell ref="S69:S71"/>
    <mergeCell ref="T69:T71"/>
    <mergeCell ref="U69:U71"/>
    <mergeCell ref="V69:V71"/>
    <mergeCell ref="A61:A65"/>
    <mergeCell ref="B61:B65"/>
    <mergeCell ref="C61:C71"/>
    <mergeCell ref="D61:D65"/>
    <mergeCell ref="P61:P64"/>
    <mergeCell ref="A66:A71"/>
    <mergeCell ref="B66:B71"/>
    <mergeCell ref="D66:D68"/>
    <mergeCell ref="P66:P68"/>
    <mergeCell ref="P69:P71"/>
    <mergeCell ref="X39:AB42"/>
    <mergeCell ref="D45:D47"/>
    <mergeCell ref="C48:C60"/>
    <mergeCell ref="D48:D54"/>
    <mergeCell ref="P48:P51"/>
    <mergeCell ref="W48:W54"/>
    <mergeCell ref="X48:X54"/>
    <mergeCell ref="E51:E52"/>
    <mergeCell ref="D55:D60"/>
    <mergeCell ref="P55:P60"/>
    <mergeCell ref="W30:W34"/>
    <mergeCell ref="A38:A44"/>
    <mergeCell ref="B38:B44"/>
    <mergeCell ref="C38:C44"/>
    <mergeCell ref="D38:D42"/>
    <mergeCell ref="P38:P39"/>
    <mergeCell ref="W38:W42"/>
    <mergeCell ref="A11:U11"/>
    <mergeCell ref="A12:U12"/>
    <mergeCell ref="B13:U13"/>
    <mergeCell ref="C14:U14"/>
    <mergeCell ref="D15:D28"/>
    <mergeCell ref="D29:D34"/>
    <mergeCell ref="E29:E30"/>
    <mergeCell ref="P30:P34"/>
    <mergeCell ref="V1:W1"/>
    <mergeCell ref="A4:U4"/>
    <mergeCell ref="A5:U5"/>
    <mergeCell ref="A6:U6"/>
    <mergeCell ref="P7:U7"/>
    <mergeCell ref="A8:A10"/>
    <mergeCell ref="B8:B10"/>
    <mergeCell ref="C8:C10"/>
    <mergeCell ref="D8:D10"/>
    <mergeCell ref="E8:E10"/>
    <mergeCell ref="L8:L10"/>
    <mergeCell ref="M8:M10"/>
    <mergeCell ref="N8:N10"/>
    <mergeCell ref="O8:O10"/>
    <mergeCell ref="P8:V8"/>
    <mergeCell ref="W8:W10"/>
    <mergeCell ref="P9:P10"/>
    <mergeCell ref="Q9:V9"/>
    <mergeCell ref="F8:F10"/>
    <mergeCell ref="G8:G10"/>
    <mergeCell ref="H8:H10"/>
    <mergeCell ref="I8:I10"/>
    <mergeCell ref="J8:J10"/>
    <mergeCell ref="K8:K10"/>
  </mergeCells>
  <printOptions horizontalCentered="1"/>
  <pageMargins left="0.78740157480314965" right="0.19685039370078741" top="0.59055118110236227" bottom="0.39370078740157483" header="0" footer="0"/>
  <pageSetup paperSize="9" scale="60" orientation="portrait" r:id="rId1"/>
  <headerFooter alignWithMargins="0"/>
  <rowBreaks count="4" manualBreakCount="4">
    <brk id="76" max="12" man="1"/>
    <brk id="140" max="12" man="1"/>
    <brk id="201" max="12" man="1"/>
    <brk id="262"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3"/>
  <sheetViews>
    <sheetView zoomScaleNormal="100" zoomScaleSheetLayoutView="100" workbookViewId="0">
      <selection activeCell="F235" sqref="F235"/>
    </sheetView>
  </sheetViews>
  <sheetFormatPr defaultColWidth="9.1796875" defaultRowHeight="13" x14ac:dyDescent="0.25"/>
  <cols>
    <col min="1" max="3" width="2.81640625" style="2" customWidth="1"/>
    <col min="4" max="4" width="3.1796875" style="114" customWidth="1"/>
    <col min="5" max="5" width="39.54296875" style="2" customWidth="1"/>
    <col min="6" max="6" width="4.453125" style="182" customWidth="1"/>
    <col min="7" max="7" width="12.81640625" style="8" customWidth="1"/>
    <col min="8" max="8" width="8.81640625" style="3" customWidth="1"/>
    <col min="9" max="9" width="10.1796875" style="2" customWidth="1"/>
    <col min="10" max="10" width="11.1796875" style="2" customWidth="1"/>
    <col min="11" max="11" width="11" style="2" customWidth="1"/>
    <col min="12" max="12" width="10.1796875" style="2" customWidth="1"/>
    <col min="13" max="13" width="39.81640625" style="2" customWidth="1"/>
    <col min="14" max="15" width="5.1796875" style="2" customWidth="1"/>
    <col min="16" max="16" width="5" style="2" customWidth="1"/>
    <col min="17" max="17" width="4.81640625" style="2" customWidth="1"/>
    <col min="18" max="16384" width="9.1796875" style="1"/>
  </cols>
  <sheetData>
    <row r="1" spans="1:17" ht="15.75" customHeight="1" x14ac:dyDescent="0.25">
      <c r="D1" s="2"/>
      <c r="F1" s="174"/>
      <c r="G1" s="132"/>
      <c r="I1" s="3"/>
      <c r="J1" s="3"/>
      <c r="K1" s="3"/>
      <c r="L1" s="3"/>
      <c r="M1" s="2154" t="s">
        <v>416</v>
      </c>
      <c r="N1" s="2154"/>
      <c r="O1" s="2154"/>
      <c r="P1" s="2154"/>
      <c r="Q1" s="2154"/>
    </row>
    <row r="2" spans="1:17" ht="12" customHeight="1" x14ac:dyDescent="0.25">
      <c r="D2" s="2"/>
      <c r="F2" s="174"/>
      <c r="G2" s="132"/>
      <c r="I2" s="3"/>
      <c r="J2" s="3"/>
      <c r="K2" s="3"/>
      <c r="L2" s="3"/>
      <c r="M2" s="2154"/>
      <c r="N2" s="2154"/>
      <c r="O2" s="2154"/>
      <c r="P2" s="2154"/>
      <c r="Q2" s="2154"/>
    </row>
    <row r="3" spans="1:17" s="2" customFormat="1" ht="15" customHeight="1" x14ac:dyDescent="0.25">
      <c r="A3" s="1716" t="s">
        <v>248</v>
      </c>
      <c r="B3" s="1716"/>
      <c r="C3" s="1716"/>
      <c r="D3" s="1716"/>
      <c r="E3" s="1716"/>
      <c r="F3" s="1716"/>
      <c r="G3" s="1716"/>
      <c r="H3" s="1716"/>
      <c r="I3" s="1716"/>
      <c r="J3" s="1716"/>
      <c r="K3" s="1716"/>
      <c r="L3" s="1716"/>
      <c r="M3" s="1716"/>
      <c r="N3" s="1716"/>
      <c r="O3" s="1716"/>
      <c r="P3" s="1716"/>
      <c r="Q3" s="1716"/>
    </row>
    <row r="4" spans="1:17" ht="15.75" customHeight="1" x14ac:dyDescent="0.25">
      <c r="A4" s="1717" t="s">
        <v>26</v>
      </c>
      <c r="B4" s="1717"/>
      <c r="C4" s="1717"/>
      <c r="D4" s="1717"/>
      <c r="E4" s="1717"/>
      <c r="F4" s="1717"/>
      <c r="G4" s="1717"/>
      <c r="H4" s="1717"/>
      <c r="I4" s="1717"/>
      <c r="J4" s="1717"/>
      <c r="K4" s="1717"/>
      <c r="L4" s="1717"/>
      <c r="M4" s="1717"/>
      <c r="N4" s="1717"/>
      <c r="O4" s="1717"/>
      <c r="P4" s="1717"/>
      <c r="Q4" s="1717"/>
    </row>
    <row r="5" spans="1:17" ht="15" customHeight="1" x14ac:dyDescent="0.25">
      <c r="A5" s="1718" t="s">
        <v>15</v>
      </c>
      <c r="B5" s="1718"/>
      <c r="C5" s="1718"/>
      <c r="D5" s="1718"/>
      <c r="E5" s="1718"/>
      <c r="F5" s="1718"/>
      <c r="G5" s="1718"/>
      <c r="H5" s="1718"/>
      <c r="I5" s="1718"/>
      <c r="J5" s="1718"/>
      <c r="K5" s="1718"/>
      <c r="L5" s="1718"/>
      <c r="M5" s="1718"/>
      <c r="N5" s="1718"/>
      <c r="O5" s="1718"/>
      <c r="P5" s="1718"/>
      <c r="Q5" s="1718"/>
    </row>
    <row r="6" spans="1:17" ht="15" customHeight="1" thickBot="1" x14ac:dyDescent="0.3">
      <c r="A6" s="11"/>
      <c r="B6" s="11"/>
      <c r="C6" s="11"/>
      <c r="D6" s="112"/>
      <c r="E6" s="11"/>
      <c r="F6" s="175"/>
      <c r="G6" s="12"/>
      <c r="H6" s="53"/>
      <c r="I6" s="11"/>
      <c r="J6" s="11"/>
      <c r="K6" s="11"/>
      <c r="L6" s="11"/>
      <c r="M6" s="1719" t="s">
        <v>74</v>
      </c>
      <c r="N6" s="1719"/>
      <c r="O6" s="1719"/>
      <c r="P6" s="1719"/>
      <c r="Q6" s="1719"/>
    </row>
    <row r="7" spans="1:17" s="14" customFormat="1" ht="21" customHeight="1" x14ac:dyDescent="0.25">
      <c r="A7" s="1720" t="s">
        <v>16</v>
      </c>
      <c r="B7" s="1723" t="s">
        <v>0</v>
      </c>
      <c r="C7" s="1723" t="s">
        <v>1</v>
      </c>
      <c r="D7" s="2156" t="s">
        <v>24</v>
      </c>
      <c r="E7" s="1726" t="s">
        <v>10</v>
      </c>
      <c r="F7" s="1744" t="s">
        <v>2</v>
      </c>
      <c r="G7" s="2167" t="s">
        <v>237</v>
      </c>
      <c r="H7" s="1747" t="s">
        <v>3</v>
      </c>
      <c r="I7" s="2159" t="s">
        <v>268</v>
      </c>
      <c r="J7" s="2162" t="s">
        <v>269</v>
      </c>
      <c r="K7" s="1730" t="s">
        <v>270</v>
      </c>
      <c r="L7" s="2165" t="s">
        <v>271</v>
      </c>
      <c r="M7" s="1731" t="s">
        <v>273</v>
      </c>
      <c r="N7" s="1732"/>
      <c r="O7" s="1732"/>
      <c r="P7" s="1732"/>
      <c r="Q7" s="1733"/>
    </row>
    <row r="8" spans="1:17" s="14" customFormat="1" ht="21" customHeight="1" x14ac:dyDescent="0.25">
      <c r="A8" s="1721"/>
      <c r="B8" s="1724"/>
      <c r="C8" s="1724"/>
      <c r="D8" s="2157"/>
      <c r="E8" s="1727"/>
      <c r="F8" s="1745"/>
      <c r="G8" s="2168"/>
      <c r="H8" s="1748"/>
      <c r="I8" s="2160"/>
      <c r="J8" s="2162"/>
      <c r="K8" s="1730"/>
      <c r="L8" s="2165"/>
      <c r="M8" s="2017" t="s">
        <v>10</v>
      </c>
      <c r="N8" s="1736" t="s">
        <v>64</v>
      </c>
      <c r="O8" s="1736"/>
      <c r="P8" s="1736"/>
      <c r="Q8" s="1737"/>
    </row>
    <row r="9" spans="1:17" s="14" customFormat="1" ht="84.75" customHeight="1" thickBot="1" x14ac:dyDescent="0.3">
      <c r="A9" s="1722"/>
      <c r="B9" s="1725"/>
      <c r="C9" s="1725"/>
      <c r="D9" s="2158"/>
      <c r="E9" s="1728"/>
      <c r="F9" s="1746"/>
      <c r="G9" s="2169"/>
      <c r="H9" s="1749"/>
      <c r="I9" s="2161"/>
      <c r="J9" s="2163"/>
      <c r="K9" s="2164"/>
      <c r="L9" s="2166"/>
      <c r="M9" s="2018"/>
      <c r="N9" s="390" t="s">
        <v>272</v>
      </c>
      <c r="O9" s="388" t="s">
        <v>249</v>
      </c>
      <c r="P9" s="388" t="s">
        <v>250</v>
      </c>
      <c r="Q9" s="389" t="s">
        <v>251</v>
      </c>
    </row>
    <row r="10" spans="1:17" s="7" customFormat="1" ht="14.25" customHeight="1" x14ac:dyDescent="0.25">
      <c r="A10" s="1738" t="s">
        <v>51</v>
      </c>
      <c r="B10" s="1739"/>
      <c r="C10" s="1739"/>
      <c r="D10" s="1739"/>
      <c r="E10" s="1739"/>
      <c r="F10" s="1739"/>
      <c r="G10" s="1739"/>
      <c r="H10" s="1739"/>
      <c r="I10" s="1739"/>
      <c r="J10" s="1739"/>
      <c r="K10" s="1739"/>
      <c r="L10" s="1739"/>
      <c r="M10" s="1739"/>
      <c r="N10" s="1739"/>
      <c r="O10" s="1739"/>
      <c r="P10" s="1739"/>
      <c r="Q10" s="1740"/>
    </row>
    <row r="11" spans="1:17" s="7" customFormat="1" ht="14.25" customHeight="1" x14ac:dyDescent="0.25">
      <c r="A11" s="1741" t="s">
        <v>23</v>
      </c>
      <c r="B11" s="1742"/>
      <c r="C11" s="1742"/>
      <c r="D11" s="1742"/>
      <c r="E11" s="1742"/>
      <c r="F11" s="1742"/>
      <c r="G11" s="1742"/>
      <c r="H11" s="1742"/>
      <c r="I11" s="1742"/>
      <c r="J11" s="1742"/>
      <c r="K11" s="1742"/>
      <c r="L11" s="1742"/>
      <c r="M11" s="1742"/>
      <c r="N11" s="1742"/>
      <c r="O11" s="1742"/>
      <c r="P11" s="1742"/>
      <c r="Q11" s="1743"/>
    </row>
    <row r="12" spans="1:17" ht="16.5" customHeight="1" x14ac:dyDescent="0.25">
      <c r="A12" s="13" t="s">
        <v>4</v>
      </c>
      <c r="B12" s="1757" t="s">
        <v>27</v>
      </c>
      <c r="C12" s="1758"/>
      <c r="D12" s="1758"/>
      <c r="E12" s="1758"/>
      <c r="F12" s="1758"/>
      <c r="G12" s="1758"/>
      <c r="H12" s="1758"/>
      <c r="I12" s="1758"/>
      <c r="J12" s="1758"/>
      <c r="K12" s="1758"/>
      <c r="L12" s="1758"/>
      <c r="M12" s="1758"/>
      <c r="N12" s="1758"/>
      <c r="O12" s="1758"/>
      <c r="P12" s="1758"/>
      <c r="Q12" s="1759"/>
    </row>
    <row r="13" spans="1:17" ht="15" customHeight="1" x14ac:dyDescent="0.25">
      <c r="A13" s="52" t="s">
        <v>4</v>
      </c>
      <c r="B13" s="9" t="s">
        <v>4</v>
      </c>
      <c r="C13" s="1760" t="s">
        <v>191</v>
      </c>
      <c r="D13" s="1761"/>
      <c r="E13" s="1761"/>
      <c r="F13" s="1761"/>
      <c r="G13" s="1761"/>
      <c r="H13" s="1761"/>
      <c r="I13" s="1762"/>
      <c r="J13" s="1761"/>
      <c r="K13" s="1761"/>
      <c r="L13" s="1761"/>
      <c r="M13" s="1761"/>
      <c r="N13" s="1761"/>
      <c r="O13" s="1762"/>
      <c r="P13" s="1762"/>
      <c r="Q13" s="1763"/>
    </row>
    <row r="14" spans="1:17" ht="13.5" customHeight="1" x14ac:dyDescent="0.25">
      <c r="A14" s="655" t="s">
        <v>4</v>
      </c>
      <c r="B14" s="633" t="s">
        <v>4</v>
      </c>
      <c r="C14" s="632" t="s">
        <v>4</v>
      </c>
      <c r="D14" s="190"/>
      <c r="E14" s="1764" t="s">
        <v>167</v>
      </c>
      <c r="F14" s="435" t="s">
        <v>41</v>
      </c>
      <c r="G14" s="861"/>
      <c r="H14" s="63"/>
      <c r="I14" s="37"/>
      <c r="J14" s="226"/>
      <c r="K14" s="213"/>
      <c r="L14" s="215"/>
      <c r="M14" s="414"/>
      <c r="N14" s="396"/>
      <c r="O14" s="324"/>
      <c r="P14" s="324"/>
      <c r="Q14" s="321"/>
    </row>
    <row r="15" spans="1:17" ht="18.75" customHeight="1" x14ac:dyDescent="0.25">
      <c r="A15" s="655"/>
      <c r="B15" s="127"/>
      <c r="C15" s="632"/>
      <c r="D15" s="193"/>
      <c r="E15" s="1807"/>
      <c r="F15" s="843" t="s">
        <v>178</v>
      </c>
      <c r="G15" s="108"/>
      <c r="H15" s="161"/>
      <c r="I15" s="338"/>
      <c r="J15" s="227"/>
      <c r="K15" s="205"/>
      <c r="L15" s="216"/>
      <c r="M15" s="415"/>
      <c r="N15" s="397"/>
      <c r="O15" s="341"/>
      <c r="P15" s="325"/>
      <c r="Q15" s="322"/>
    </row>
    <row r="16" spans="1:17" ht="17.75" customHeight="1" x14ac:dyDescent="0.25">
      <c r="A16" s="653"/>
      <c r="B16" s="654"/>
      <c r="C16" s="662"/>
      <c r="D16" s="437" t="s">
        <v>4</v>
      </c>
      <c r="E16" s="1766" t="s">
        <v>81</v>
      </c>
      <c r="F16" s="2152" t="s">
        <v>399</v>
      </c>
      <c r="G16" s="2144" t="s">
        <v>194</v>
      </c>
      <c r="H16" s="162" t="s">
        <v>22</v>
      </c>
      <c r="I16" s="37">
        <v>349.7</v>
      </c>
      <c r="J16" s="226">
        <v>390.8</v>
      </c>
      <c r="K16" s="213"/>
      <c r="L16" s="215">
        <f>340.5</f>
        <v>340.5</v>
      </c>
      <c r="M16" s="624" t="s">
        <v>40</v>
      </c>
      <c r="N16" s="526">
        <v>1</v>
      </c>
      <c r="O16" s="342"/>
      <c r="P16" s="300"/>
      <c r="Q16" s="290"/>
    </row>
    <row r="17" spans="1:17" ht="13.5" customHeight="1" x14ac:dyDescent="0.25">
      <c r="A17" s="653"/>
      <c r="B17" s="654"/>
      <c r="C17" s="662"/>
      <c r="D17" s="634"/>
      <c r="E17" s="1767"/>
      <c r="F17" s="2171"/>
      <c r="G17" s="2136"/>
      <c r="H17" s="66" t="s">
        <v>50</v>
      </c>
      <c r="I17" s="339">
        <v>450.3</v>
      </c>
      <c r="J17" s="32"/>
      <c r="K17" s="206"/>
      <c r="L17" s="432"/>
      <c r="M17" s="2015" t="s">
        <v>119</v>
      </c>
      <c r="N17" s="391">
        <v>15</v>
      </c>
      <c r="O17" s="209">
        <v>45</v>
      </c>
      <c r="P17" s="209">
        <v>85</v>
      </c>
      <c r="Q17" s="141">
        <v>100</v>
      </c>
    </row>
    <row r="18" spans="1:17" ht="13.5" customHeight="1" x14ac:dyDescent="0.25">
      <c r="A18" s="653"/>
      <c r="B18" s="654"/>
      <c r="C18" s="662"/>
      <c r="D18" s="634"/>
      <c r="E18" s="1767"/>
      <c r="F18" s="843" t="s">
        <v>41</v>
      </c>
      <c r="G18" s="2136"/>
      <c r="H18" s="66" t="s">
        <v>209</v>
      </c>
      <c r="I18" s="339">
        <v>5000</v>
      </c>
      <c r="J18" s="32"/>
      <c r="K18" s="206">
        <v>8000</v>
      </c>
      <c r="L18" s="432"/>
      <c r="M18" s="2011"/>
      <c r="N18" s="349"/>
      <c r="O18" s="200"/>
      <c r="P18" s="209"/>
      <c r="Q18" s="141"/>
    </row>
    <row r="19" spans="1:17" ht="18" customHeight="1" x14ac:dyDescent="0.25">
      <c r="A19" s="653"/>
      <c r="B19" s="654"/>
      <c r="C19" s="662"/>
      <c r="D19" s="634"/>
      <c r="E19" s="1767"/>
      <c r="F19" s="873" t="s">
        <v>418</v>
      </c>
      <c r="G19" s="621"/>
      <c r="H19" s="66" t="s">
        <v>121</v>
      </c>
      <c r="I19" s="339"/>
      <c r="J19" s="32">
        <f>9600+1400</f>
        <v>11000</v>
      </c>
      <c r="K19" s="206">
        <f>5000-1400-1623.4</f>
        <v>1976.6</v>
      </c>
      <c r="L19" s="432"/>
      <c r="M19" s="2011"/>
      <c r="N19" s="349"/>
      <c r="O19" s="200"/>
      <c r="P19" s="209"/>
      <c r="Q19" s="141"/>
    </row>
    <row r="20" spans="1:17" ht="13.5" customHeight="1" x14ac:dyDescent="0.25">
      <c r="A20" s="653"/>
      <c r="B20" s="654"/>
      <c r="C20" s="662"/>
      <c r="D20" s="634"/>
      <c r="E20" s="1767"/>
      <c r="F20" s="826"/>
      <c r="G20" s="621"/>
      <c r="H20" s="27" t="s">
        <v>67</v>
      </c>
      <c r="I20" s="339">
        <v>56.6</v>
      </c>
      <c r="J20" s="32"/>
      <c r="K20" s="206"/>
      <c r="L20" s="432"/>
      <c r="M20" s="2011"/>
      <c r="N20" s="349"/>
      <c r="O20" s="200"/>
      <c r="P20" s="209"/>
      <c r="Q20" s="141"/>
    </row>
    <row r="21" spans="1:17" ht="13.5" customHeight="1" x14ac:dyDescent="0.25">
      <c r="A21" s="653"/>
      <c r="B21" s="654"/>
      <c r="C21" s="662"/>
      <c r="D21" s="634"/>
      <c r="E21" s="1767"/>
      <c r="F21" s="826"/>
      <c r="G21" s="165"/>
      <c r="H21" s="66" t="s">
        <v>42</v>
      </c>
      <c r="I21" s="339"/>
      <c r="J21" s="32">
        <v>1500</v>
      </c>
      <c r="K21" s="206">
        <v>1500</v>
      </c>
      <c r="L21" s="432">
        <v>1500</v>
      </c>
      <c r="M21" s="2016"/>
      <c r="N21" s="349"/>
      <c r="O21" s="200"/>
      <c r="P21" s="209"/>
      <c r="Q21" s="141"/>
    </row>
    <row r="22" spans="1:17" ht="27" customHeight="1" x14ac:dyDescent="0.25">
      <c r="A22" s="653"/>
      <c r="B22" s="654"/>
      <c r="C22" s="662"/>
      <c r="D22" s="634"/>
      <c r="E22" s="660" t="s">
        <v>179</v>
      </c>
      <c r="F22" s="671"/>
      <c r="G22" s="2136" t="s">
        <v>241</v>
      </c>
      <c r="H22" s="20" t="s">
        <v>68</v>
      </c>
      <c r="I22" s="339">
        <f>500-413.2</f>
        <v>86.8</v>
      </c>
      <c r="J22" s="817">
        <f>754.4+800+1400-100-265</f>
        <v>2589.4</v>
      </c>
      <c r="K22" s="206">
        <f>549.7+100+752.6</f>
        <v>1402.3</v>
      </c>
      <c r="L22" s="819">
        <f>10.2+870.8+265</f>
        <v>1146</v>
      </c>
      <c r="M22" s="431" t="s">
        <v>206</v>
      </c>
      <c r="N22" s="395">
        <v>50</v>
      </c>
      <c r="O22" s="343">
        <v>100</v>
      </c>
      <c r="P22" s="274"/>
      <c r="Q22" s="469"/>
    </row>
    <row r="23" spans="1:17" ht="27" customHeight="1" x14ac:dyDescent="0.25">
      <c r="A23" s="653"/>
      <c r="B23" s="654"/>
      <c r="C23" s="662"/>
      <c r="D23" s="634"/>
      <c r="E23" s="626"/>
      <c r="F23" s="671"/>
      <c r="G23" s="2136"/>
      <c r="H23" s="20" t="s">
        <v>22</v>
      </c>
      <c r="I23" s="339">
        <f>413.2+17.9</f>
        <v>431.1</v>
      </c>
      <c r="J23" s="781">
        <f>603.9-390.8</f>
        <v>213.1</v>
      </c>
      <c r="K23" s="206"/>
      <c r="L23" s="432"/>
      <c r="M23" s="413" t="s">
        <v>169</v>
      </c>
      <c r="N23" s="394">
        <v>100</v>
      </c>
      <c r="O23" s="342"/>
      <c r="P23" s="300"/>
      <c r="Q23" s="290"/>
    </row>
    <row r="24" spans="1:17" ht="46.5" customHeight="1" x14ac:dyDescent="0.25">
      <c r="A24" s="653"/>
      <c r="B24" s="654"/>
      <c r="C24" s="662"/>
      <c r="D24" s="634"/>
      <c r="E24" s="661"/>
      <c r="F24" s="671"/>
      <c r="G24" s="187"/>
      <c r="H24" s="27" t="s">
        <v>121</v>
      </c>
      <c r="I24" s="339">
        <v>1000</v>
      </c>
      <c r="J24" s="32">
        <v>1500</v>
      </c>
      <c r="K24" s="206">
        <v>2000</v>
      </c>
      <c r="L24" s="19"/>
      <c r="M24" s="408" t="s">
        <v>170</v>
      </c>
      <c r="N24" s="349"/>
      <c r="O24" s="200">
        <v>40</v>
      </c>
      <c r="P24" s="209">
        <v>60</v>
      </c>
      <c r="Q24" s="141"/>
    </row>
    <row r="25" spans="1:17" ht="15.65" customHeight="1" x14ac:dyDescent="0.25">
      <c r="A25" s="1753"/>
      <c r="B25" s="1754"/>
      <c r="C25" s="1755"/>
      <c r="D25" s="2148" t="s">
        <v>6</v>
      </c>
      <c r="E25" s="1714" t="s">
        <v>131</v>
      </c>
      <c r="F25" s="845" t="s">
        <v>178</v>
      </c>
      <c r="G25" s="2144" t="s">
        <v>195</v>
      </c>
      <c r="H25" s="29" t="s">
        <v>68</v>
      </c>
      <c r="I25" s="37">
        <v>1085.9000000000001</v>
      </c>
      <c r="J25" s="226">
        <f>314.6-111</f>
        <v>203.6</v>
      </c>
      <c r="K25" s="213"/>
      <c r="L25" s="215"/>
      <c r="M25" s="641"/>
      <c r="N25" s="359"/>
      <c r="O25" s="211"/>
      <c r="P25" s="564"/>
      <c r="Q25" s="140"/>
    </row>
    <row r="26" spans="1:17" ht="15.65" customHeight="1" x14ac:dyDescent="0.25">
      <c r="A26" s="1753"/>
      <c r="B26" s="1754"/>
      <c r="C26" s="1755"/>
      <c r="D26" s="2149"/>
      <c r="E26" s="1756"/>
      <c r="F26" s="843" t="s">
        <v>41</v>
      </c>
      <c r="G26" s="2136"/>
      <c r="H26" s="27" t="s">
        <v>22</v>
      </c>
      <c r="I26" s="339"/>
      <c r="J26" s="32">
        <f>358.5+170.2-204.9</f>
        <v>323.8</v>
      </c>
      <c r="K26" s="206"/>
      <c r="L26" s="19"/>
      <c r="M26" s="657"/>
      <c r="N26" s="349"/>
      <c r="O26" s="200"/>
      <c r="P26" s="209"/>
      <c r="Q26" s="141"/>
    </row>
    <row r="27" spans="1:17" ht="15.65" customHeight="1" x14ac:dyDescent="0.25">
      <c r="A27" s="1753"/>
      <c r="B27" s="1754"/>
      <c r="C27" s="1755"/>
      <c r="D27" s="2149"/>
      <c r="E27" s="1756"/>
      <c r="F27" s="873" t="s">
        <v>418</v>
      </c>
      <c r="G27" s="2170"/>
      <c r="H27" s="27" t="s">
        <v>115</v>
      </c>
      <c r="I27" s="339">
        <v>1433.9</v>
      </c>
      <c r="J27" s="32">
        <v>0.1</v>
      </c>
      <c r="K27" s="206"/>
      <c r="L27" s="19"/>
      <c r="M27" s="666"/>
      <c r="N27" s="349"/>
      <c r="O27" s="200"/>
      <c r="P27" s="209"/>
      <c r="Q27" s="141"/>
    </row>
    <row r="28" spans="1:17" ht="15.65" customHeight="1" x14ac:dyDescent="0.25">
      <c r="A28" s="1753"/>
      <c r="B28" s="1754"/>
      <c r="C28" s="1755"/>
      <c r="D28" s="2149"/>
      <c r="E28" s="1756"/>
      <c r="F28" s="872"/>
      <c r="G28" s="2170"/>
      <c r="H28" s="27" t="s">
        <v>42</v>
      </c>
      <c r="I28" s="339">
        <v>1042</v>
      </c>
      <c r="J28" s="32"/>
      <c r="K28" s="206"/>
      <c r="L28" s="19"/>
      <c r="M28" s="666"/>
      <c r="N28" s="349"/>
      <c r="O28" s="200"/>
      <c r="P28" s="209"/>
      <c r="Q28" s="141"/>
    </row>
    <row r="29" spans="1:17" ht="15.65" customHeight="1" x14ac:dyDescent="0.25">
      <c r="A29" s="1753"/>
      <c r="B29" s="1754"/>
      <c r="C29" s="1755"/>
      <c r="D29" s="2149"/>
      <c r="E29" s="156"/>
      <c r="F29" s="872"/>
      <c r="G29" s="2170"/>
      <c r="H29" s="27" t="s">
        <v>39</v>
      </c>
      <c r="I29" s="339">
        <v>27.7</v>
      </c>
      <c r="J29" s="32">
        <f>244.4-170.2</f>
        <v>74.2</v>
      </c>
      <c r="K29" s="206"/>
      <c r="L29" s="19"/>
      <c r="M29" s="666"/>
      <c r="N29" s="349"/>
      <c r="O29" s="200"/>
      <c r="P29" s="209"/>
      <c r="Q29" s="141"/>
    </row>
    <row r="30" spans="1:17" ht="15.65" customHeight="1" x14ac:dyDescent="0.25">
      <c r="A30" s="1753"/>
      <c r="B30" s="1754"/>
      <c r="C30" s="1755"/>
      <c r="D30" s="2149"/>
      <c r="E30" s="156"/>
      <c r="F30" s="872"/>
      <c r="G30" s="2170"/>
      <c r="H30" s="27" t="s">
        <v>22</v>
      </c>
      <c r="I30" s="339">
        <v>142.1</v>
      </c>
      <c r="J30" s="32"/>
      <c r="K30" s="206"/>
      <c r="L30" s="19"/>
      <c r="M30" s="666"/>
      <c r="N30" s="349"/>
      <c r="O30" s="200"/>
      <c r="P30" s="209"/>
      <c r="Q30" s="141"/>
    </row>
    <row r="31" spans="1:17" ht="15.65" customHeight="1" x14ac:dyDescent="0.25">
      <c r="A31" s="1753"/>
      <c r="B31" s="1754"/>
      <c r="C31" s="1755"/>
      <c r="D31" s="2149"/>
      <c r="E31" s="156"/>
      <c r="F31" s="872"/>
      <c r="G31" s="2170"/>
      <c r="H31" s="27" t="s">
        <v>50</v>
      </c>
      <c r="I31" s="339">
        <f>560.2+100</f>
        <v>660.2</v>
      </c>
      <c r="J31" s="32"/>
      <c r="K31" s="206"/>
      <c r="L31" s="19"/>
      <c r="M31" s="666"/>
      <c r="N31" s="349"/>
      <c r="O31" s="200"/>
      <c r="P31" s="209"/>
      <c r="Q31" s="141"/>
    </row>
    <row r="32" spans="1:17" ht="25.5" customHeight="1" x14ac:dyDescent="0.25">
      <c r="A32" s="1753"/>
      <c r="B32" s="1754"/>
      <c r="C32" s="1755"/>
      <c r="D32" s="2149"/>
      <c r="E32" s="77" t="s">
        <v>274</v>
      </c>
      <c r="F32" s="876"/>
      <c r="G32" s="2170"/>
      <c r="H32" s="40"/>
      <c r="I32" s="340"/>
      <c r="J32" s="228"/>
      <c r="K32" s="237"/>
      <c r="L32" s="218"/>
      <c r="M32" s="406" t="s">
        <v>98</v>
      </c>
      <c r="N32" s="395">
        <v>90</v>
      </c>
      <c r="O32" s="343">
        <v>100</v>
      </c>
      <c r="P32" s="274"/>
      <c r="Q32" s="144"/>
    </row>
    <row r="33" spans="1:17" ht="27.75" customHeight="1" x14ac:dyDescent="0.25">
      <c r="A33" s="1753"/>
      <c r="B33" s="1754"/>
      <c r="C33" s="1755"/>
      <c r="D33" s="2149"/>
      <c r="E33" s="675" t="s">
        <v>275</v>
      </c>
      <c r="F33" s="643"/>
      <c r="G33" s="61"/>
      <c r="H33" s="28"/>
      <c r="I33" s="38"/>
      <c r="J33" s="43"/>
      <c r="K33" s="214"/>
      <c r="L33" s="44"/>
      <c r="M33" s="650" t="s">
        <v>99</v>
      </c>
      <c r="N33" s="350">
        <v>90</v>
      </c>
      <c r="O33" s="197">
        <v>100</v>
      </c>
      <c r="P33" s="207"/>
      <c r="Q33" s="142"/>
    </row>
    <row r="34" spans="1:17" ht="13.5" customHeight="1" x14ac:dyDescent="0.25">
      <c r="A34" s="653"/>
      <c r="B34" s="654"/>
      <c r="C34" s="662"/>
      <c r="D34" s="635" t="s">
        <v>25</v>
      </c>
      <c r="E34" s="1766" t="s">
        <v>109</v>
      </c>
      <c r="F34" s="873" t="s">
        <v>418</v>
      </c>
      <c r="G34" s="2144" t="s">
        <v>194</v>
      </c>
      <c r="H34" s="27" t="s">
        <v>22</v>
      </c>
      <c r="I34" s="339"/>
      <c r="J34" s="32"/>
      <c r="K34" s="206"/>
      <c r="L34" s="19"/>
      <c r="M34" s="1958" t="s">
        <v>111</v>
      </c>
      <c r="N34" s="533">
        <v>100</v>
      </c>
      <c r="O34" s="336"/>
      <c r="P34" s="326"/>
      <c r="Q34" s="133"/>
    </row>
    <row r="35" spans="1:17" ht="13.5" customHeight="1" x14ac:dyDescent="0.25">
      <c r="A35" s="653"/>
      <c r="B35" s="654"/>
      <c r="C35" s="662"/>
      <c r="D35" s="193"/>
      <c r="E35" s="1767"/>
      <c r="F35" s="652"/>
      <c r="G35" s="2136"/>
      <c r="H35" s="27" t="s">
        <v>50</v>
      </c>
      <c r="I35" s="339"/>
      <c r="J35" s="32"/>
      <c r="K35" s="206"/>
      <c r="L35" s="19"/>
      <c r="M35" s="1958"/>
      <c r="N35" s="348"/>
      <c r="O35" s="313"/>
      <c r="P35" s="327"/>
      <c r="Q35" s="134"/>
    </row>
    <row r="36" spans="1:17" ht="13.5" customHeight="1" x14ac:dyDescent="0.25">
      <c r="A36" s="653"/>
      <c r="B36" s="654"/>
      <c r="C36" s="662"/>
      <c r="D36" s="193"/>
      <c r="E36" s="1767"/>
      <c r="F36" s="652"/>
      <c r="G36" s="2136"/>
      <c r="H36" s="27" t="s">
        <v>67</v>
      </c>
      <c r="I36" s="339">
        <v>61.4</v>
      </c>
      <c r="J36" s="32"/>
      <c r="K36" s="206"/>
      <c r="L36" s="19"/>
      <c r="M36" s="1958"/>
      <c r="N36" s="345"/>
      <c r="O36" s="313"/>
      <c r="P36" s="327"/>
      <c r="Q36" s="134"/>
    </row>
    <row r="37" spans="1:17" ht="13.5" customHeight="1" x14ac:dyDescent="0.25">
      <c r="A37" s="653"/>
      <c r="B37" s="654"/>
      <c r="C37" s="662"/>
      <c r="D37" s="194"/>
      <c r="E37" s="2155"/>
      <c r="F37" s="167"/>
      <c r="G37" s="2136"/>
      <c r="H37" s="28" t="s">
        <v>68</v>
      </c>
      <c r="I37" s="38">
        <v>1918.7</v>
      </c>
      <c r="J37" s="43"/>
      <c r="K37" s="214"/>
      <c r="L37" s="44"/>
      <c r="M37" s="2138"/>
      <c r="N37" s="346"/>
      <c r="O37" s="314"/>
      <c r="P37" s="278"/>
      <c r="Q37" s="135"/>
    </row>
    <row r="38" spans="1:17" ht="26.25" customHeight="1" x14ac:dyDescent="0.25">
      <c r="A38" s="653"/>
      <c r="B38" s="654"/>
      <c r="C38" s="662"/>
      <c r="D38" s="640" t="s">
        <v>29</v>
      </c>
      <c r="E38" s="1714" t="s">
        <v>334</v>
      </c>
      <c r="F38" s="435" t="s">
        <v>41</v>
      </c>
      <c r="G38" s="2136"/>
      <c r="H38" s="27" t="s">
        <v>50</v>
      </c>
      <c r="I38" s="339">
        <v>752.1</v>
      </c>
      <c r="J38" s="32"/>
      <c r="K38" s="206"/>
      <c r="L38" s="19"/>
      <c r="M38" s="624" t="s">
        <v>290</v>
      </c>
      <c r="N38" s="348">
        <v>2</v>
      </c>
      <c r="O38" s="317"/>
      <c r="P38" s="328">
        <v>40</v>
      </c>
      <c r="Q38" s="138">
        <v>80</v>
      </c>
    </row>
    <row r="39" spans="1:17" ht="26.25" customHeight="1" x14ac:dyDescent="0.25">
      <c r="A39" s="653"/>
      <c r="B39" s="654"/>
      <c r="C39" s="662"/>
      <c r="D39" s="640"/>
      <c r="E39" s="1756"/>
      <c r="F39" s="873" t="s">
        <v>418</v>
      </c>
      <c r="G39" s="2136"/>
      <c r="H39" s="27" t="s">
        <v>22</v>
      </c>
      <c r="I39" s="339">
        <v>257.89999999999998</v>
      </c>
      <c r="J39" s="32"/>
      <c r="K39" s="206"/>
      <c r="L39" s="19"/>
      <c r="M39" s="624"/>
      <c r="N39" s="348"/>
      <c r="O39" s="317"/>
      <c r="P39" s="328"/>
      <c r="Q39" s="138"/>
    </row>
    <row r="40" spans="1:17" ht="26.25" customHeight="1" x14ac:dyDescent="0.25">
      <c r="A40" s="653"/>
      <c r="B40" s="654"/>
      <c r="C40" s="662"/>
      <c r="D40" s="193"/>
      <c r="E40" s="1715"/>
      <c r="F40" s="166"/>
      <c r="G40" s="2136"/>
      <c r="H40" s="27" t="s">
        <v>121</v>
      </c>
      <c r="I40" s="339"/>
      <c r="J40" s="32"/>
      <c r="K40" s="206">
        <v>10000</v>
      </c>
      <c r="L40" s="19">
        <v>12000</v>
      </c>
      <c r="M40" s="624"/>
      <c r="N40" s="348"/>
      <c r="O40" s="317"/>
      <c r="P40" s="328"/>
      <c r="Q40" s="138"/>
    </row>
    <row r="41" spans="1:17" ht="15.75" customHeight="1" x14ac:dyDescent="0.25">
      <c r="A41" s="1753"/>
      <c r="B41" s="1790"/>
      <c r="C41" s="1755"/>
      <c r="D41" s="2148" t="s">
        <v>30</v>
      </c>
      <c r="E41" s="1714" t="s">
        <v>108</v>
      </c>
      <c r="F41" s="435" t="s">
        <v>178</v>
      </c>
      <c r="G41" s="2136"/>
      <c r="H41" s="29" t="s">
        <v>22</v>
      </c>
      <c r="I41" s="37">
        <v>3.2</v>
      </c>
      <c r="J41" s="226"/>
      <c r="K41" s="213"/>
      <c r="L41" s="215"/>
      <c r="M41" s="641" t="s">
        <v>95</v>
      </c>
      <c r="N41" s="533">
        <v>100</v>
      </c>
      <c r="O41" s="336"/>
      <c r="P41" s="277"/>
      <c r="Q41" s="137"/>
    </row>
    <row r="42" spans="1:17" ht="15" customHeight="1" x14ac:dyDescent="0.25">
      <c r="A42" s="1753"/>
      <c r="B42" s="1790"/>
      <c r="C42" s="1755"/>
      <c r="D42" s="2149"/>
      <c r="E42" s="1756"/>
      <c r="F42" s="628"/>
      <c r="G42" s="2136"/>
      <c r="H42" s="27" t="s">
        <v>68</v>
      </c>
      <c r="I42" s="339">
        <f>221+279.9</f>
        <v>500.9</v>
      </c>
      <c r="J42" s="32"/>
      <c r="K42" s="206"/>
      <c r="L42" s="19"/>
      <c r="M42" s="657"/>
      <c r="N42" s="348"/>
      <c r="O42" s="317"/>
      <c r="P42" s="328"/>
      <c r="Q42" s="138"/>
    </row>
    <row r="43" spans="1:17" ht="15" customHeight="1" x14ac:dyDescent="0.25">
      <c r="A43" s="1753"/>
      <c r="B43" s="1790"/>
      <c r="C43" s="1755"/>
      <c r="D43" s="2149"/>
      <c r="E43" s="1756"/>
      <c r="F43" s="628"/>
      <c r="G43" s="2145"/>
      <c r="H43" s="27" t="s">
        <v>50</v>
      </c>
      <c r="I43" s="339">
        <v>372.3</v>
      </c>
      <c r="J43" s="32"/>
      <c r="K43" s="206"/>
      <c r="L43" s="19"/>
      <c r="M43" s="657"/>
      <c r="N43" s="348"/>
      <c r="O43" s="317"/>
      <c r="P43" s="328"/>
      <c r="Q43" s="138"/>
    </row>
    <row r="44" spans="1:17" ht="23.75" customHeight="1" x14ac:dyDescent="0.25">
      <c r="A44" s="655"/>
      <c r="B44" s="633"/>
      <c r="C44" s="2175" t="s">
        <v>157</v>
      </c>
      <c r="D44" s="635" t="s">
        <v>31</v>
      </c>
      <c r="E44" s="1775" t="s">
        <v>348</v>
      </c>
      <c r="F44" s="846" t="s">
        <v>178</v>
      </c>
      <c r="G44" s="658" t="s">
        <v>195</v>
      </c>
      <c r="H44" s="29" t="s">
        <v>22</v>
      </c>
      <c r="I44" s="37">
        <f>10-7</f>
        <v>3</v>
      </c>
      <c r="J44" s="226">
        <f>300-200-100</f>
        <v>0</v>
      </c>
      <c r="K44" s="213">
        <f>696.2-244.2</f>
        <v>452</v>
      </c>
      <c r="L44" s="215">
        <f>300-150</f>
        <v>150</v>
      </c>
      <c r="M44" s="1957" t="s">
        <v>173</v>
      </c>
      <c r="N44" s="496" t="s">
        <v>46</v>
      </c>
      <c r="O44" s="319"/>
      <c r="P44" s="190"/>
      <c r="Q44" s="619"/>
    </row>
    <row r="45" spans="1:17" ht="23.75" customHeight="1" x14ac:dyDescent="0.25">
      <c r="A45" s="752"/>
      <c r="B45" s="753"/>
      <c r="C45" s="1773"/>
      <c r="D45" s="751"/>
      <c r="E45" s="1776"/>
      <c r="F45" s="843" t="s">
        <v>41</v>
      </c>
      <c r="G45" s="824"/>
      <c r="H45" s="27" t="s">
        <v>367</v>
      </c>
      <c r="I45" s="339"/>
      <c r="J45" s="32">
        <v>100</v>
      </c>
      <c r="K45" s="206"/>
      <c r="L45" s="19"/>
      <c r="M45" s="1958"/>
      <c r="N45" s="392"/>
      <c r="O45" s="754"/>
      <c r="P45" s="193"/>
      <c r="Q45" s="195"/>
    </row>
    <row r="46" spans="1:17" ht="17.75" customHeight="1" x14ac:dyDescent="0.25">
      <c r="A46" s="655"/>
      <c r="B46" s="633"/>
      <c r="C46" s="1773"/>
      <c r="D46" s="193"/>
      <c r="E46" s="1776"/>
      <c r="F46" s="2171" t="s">
        <v>400</v>
      </c>
      <c r="G46" s="2136" t="s">
        <v>242</v>
      </c>
      <c r="H46" s="27" t="s">
        <v>50</v>
      </c>
      <c r="I46" s="339">
        <v>59.2</v>
      </c>
      <c r="J46" s="32">
        <v>5.2</v>
      </c>
      <c r="K46" s="206"/>
      <c r="L46" s="19"/>
      <c r="M46" s="1963"/>
      <c r="N46" s="728"/>
      <c r="O46" s="308"/>
      <c r="P46" s="308"/>
      <c r="Q46" s="184"/>
    </row>
    <row r="47" spans="1:17" ht="26.25" customHeight="1" x14ac:dyDescent="0.25">
      <c r="A47" s="655"/>
      <c r="B47" s="127"/>
      <c r="C47" s="1773"/>
      <c r="D47" s="193"/>
      <c r="E47" s="1776"/>
      <c r="F47" s="2171"/>
      <c r="G47" s="2136"/>
      <c r="H47" s="20" t="s">
        <v>38</v>
      </c>
      <c r="I47" s="339"/>
      <c r="J47" s="206">
        <f>542.2-184.2</f>
        <v>358</v>
      </c>
      <c r="K47" s="206">
        <f>1044.4-238.7</f>
        <v>805.7</v>
      </c>
      <c r="L47" s="432">
        <f>542.2-273.5</f>
        <v>268.7</v>
      </c>
      <c r="M47" s="424" t="s">
        <v>354</v>
      </c>
      <c r="N47" s="498"/>
      <c r="O47" s="46" t="s">
        <v>100</v>
      </c>
      <c r="P47" s="46" t="s">
        <v>356</v>
      </c>
      <c r="Q47" s="703" t="s">
        <v>252</v>
      </c>
    </row>
    <row r="48" spans="1:17" ht="28.5" customHeight="1" x14ac:dyDescent="0.25">
      <c r="A48" s="655"/>
      <c r="B48" s="127"/>
      <c r="C48" s="1773"/>
      <c r="D48" s="193"/>
      <c r="E48" s="1776"/>
      <c r="F48" s="873" t="s">
        <v>418</v>
      </c>
      <c r="G48" s="2136"/>
      <c r="H48" s="124" t="s">
        <v>68</v>
      </c>
      <c r="I48" s="38"/>
      <c r="J48" s="214">
        <v>100</v>
      </c>
      <c r="K48" s="206">
        <v>647.4</v>
      </c>
      <c r="L48" s="456">
        <v>529.20000000000005</v>
      </c>
      <c r="M48" s="1" t="s">
        <v>172</v>
      </c>
      <c r="N48" s="617"/>
      <c r="O48" s="678">
        <v>5</v>
      </c>
      <c r="P48" s="678">
        <v>5</v>
      </c>
      <c r="Q48" s="722"/>
    </row>
    <row r="49" spans="1:17" ht="22.5" customHeight="1" x14ac:dyDescent="0.25">
      <c r="A49" s="65"/>
      <c r="B49" s="127"/>
      <c r="C49" s="1773"/>
      <c r="D49" s="715" t="s">
        <v>32</v>
      </c>
      <c r="E49" s="1714" t="s">
        <v>253</v>
      </c>
      <c r="F49" s="862" t="s">
        <v>178</v>
      </c>
      <c r="G49" s="219"/>
      <c r="H49" s="29" t="s">
        <v>22</v>
      </c>
      <c r="I49" s="339"/>
      <c r="J49" s="32">
        <f>216-21.7-194.3</f>
        <v>0</v>
      </c>
      <c r="K49" s="213">
        <f>432-150</f>
        <v>282</v>
      </c>
      <c r="L49" s="432">
        <v>216</v>
      </c>
      <c r="M49" s="1964" t="s">
        <v>87</v>
      </c>
      <c r="N49" s="618"/>
      <c r="O49" s="190" t="s">
        <v>254</v>
      </c>
      <c r="P49" s="190" t="s">
        <v>318</v>
      </c>
      <c r="Q49" s="619" t="s">
        <v>252</v>
      </c>
    </row>
    <row r="50" spans="1:17" ht="22.5" customHeight="1" x14ac:dyDescent="0.25">
      <c r="A50" s="65"/>
      <c r="B50" s="127"/>
      <c r="C50" s="1773"/>
      <c r="D50" s="751"/>
      <c r="E50" s="1756"/>
      <c r="F50" s="436" t="s">
        <v>41</v>
      </c>
      <c r="G50" s="750"/>
      <c r="H50" s="27" t="s">
        <v>367</v>
      </c>
      <c r="I50" s="339"/>
      <c r="J50" s="32">
        <v>194.3</v>
      </c>
      <c r="K50" s="206"/>
      <c r="L50" s="432"/>
      <c r="M50" s="1965"/>
      <c r="N50" s="745"/>
      <c r="O50" s="193"/>
      <c r="P50" s="193"/>
      <c r="Q50" s="746"/>
    </row>
    <row r="51" spans="1:17" ht="15.5" customHeight="1" x14ac:dyDescent="0.25">
      <c r="A51" s="65"/>
      <c r="B51" s="127"/>
      <c r="C51" s="1773"/>
      <c r="D51" s="744"/>
      <c r="E51" s="1756"/>
      <c r="F51" s="873" t="s">
        <v>418</v>
      </c>
      <c r="G51" s="743"/>
      <c r="H51" s="27" t="s">
        <v>22</v>
      </c>
      <c r="I51" s="339"/>
      <c r="J51" s="32">
        <v>21.7</v>
      </c>
      <c r="K51" s="206"/>
      <c r="L51" s="432"/>
      <c r="M51" s="1965"/>
      <c r="N51" s="745"/>
      <c r="O51" s="193"/>
      <c r="P51" s="193"/>
      <c r="Q51" s="746"/>
    </row>
    <row r="52" spans="1:17" ht="15.5" customHeight="1" x14ac:dyDescent="0.25">
      <c r="A52" s="65"/>
      <c r="B52" s="127"/>
      <c r="C52" s="1773"/>
      <c r="D52" s="748"/>
      <c r="E52" s="1756"/>
      <c r="F52" s="749"/>
      <c r="G52" s="747"/>
      <c r="H52" s="27" t="s">
        <v>365</v>
      </c>
      <c r="I52" s="339"/>
      <c r="J52" s="32">
        <v>150</v>
      </c>
      <c r="K52" s="206"/>
      <c r="L52" s="432"/>
      <c r="M52" s="1965"/>
      <c r="N52" s="745"/>
      <c r="O52" s="193"/>
      <c r="P52" s="193"/>
      <c r="Q52" s="746"/>
    </row>
    <row r="53" spans="1:17" ht="15.5" customHeight="1" x14ac:dyDescent="0.25">
      <c r="A53" s="65"/>
      <c r="B53" s="127"/>
      <c r="C53" s="1774"/>
      <c r="D53" s="193"/>
      <c r="E53" s="1715"/>
      <c r="F53" s="668"/>
      <c r="G53" s="723"/>
      <c r="H53" s="548" t="s">
        <v>38</v>
      </c>
      <c r="I53" s="38"/>
      <c r="J53" s="214">
        <v>125</v>
      </c>
      <c r="K53" s="214">
        <v>250</v>
      </c>
      <c r="L53" s="456">
        <v>125</v>
      </c>
      <c r="M53" s="1966"/>
      <c r="N53" s="543"/>
      <c r="O53" s="544"/>
      <c r="P53" s="544"/>
      <c r="Q53" s="460"/>
    </row>
    <row r="54" spans="1:17" ht="15" customHeight="1" x14ac:dyDescent="0.25">
      <c r="A54" s="1789"/>
      <c r="B54" s="1790"/>
      <c r="C54" s="1791" t="s">
        <v>183</v>
      </c>
      <c r="D54" s="2148" t="s">
        <v>101</v>
      </c>
      <c r="E54" s="1766" t="s">
        <v>49</v>
      </c>
      <c r="F54" s="845" t="s">
        <v>178</v>
      </c>
      <c r="G54" s="165"/>
      <c r="H54" s="29" t="s">
        <v>22</v>
      </c>
      <c r="I54" s="37">
        <f>182.4-17.9</f>
        <v>164.5</v>
      </c>
      <c r="J54" s="226">
        <f>1003.8-697.4-161.5-144.9+21.7</f>
        <v>21.7</v>
      </c>
      <c r="K54" s="213"/>
      <c r="L54" s="215"/>
      <c r="M54" s="1957" t="s">
        <v>88</v>
      </c>
      <c r="N54" s="533">
        <v>35</v>
      </c>
      <c r="O54" s="336">
        <v>100</v>
      </c>
      <c r="P54" s="277"/>
      <c r="Q54" s="137"/>
    </row>
    <row r="55" spans="1:17" ht="15" customHeight="1" x14ac:dyDescent="0.25">
      <c r="A55" s="1789"/>
      <c r="B55" s="1790"/>
      <c r="C55" s="1792"/>
      <c r="D55" s="2149"/>
      <c r="E55" s="1767"/>
      <c r="F55" s="843" t="s">
        <v>41</v>
      </c>
      <c r="G55" s="165"/>
      <c r="H55" s="27" t="s">
        <v>363</v>
      </c>
      <c r="I55" s="339"/>
      <c r="J55" s="32">
        <v>358</v>
      </c>
      <c r="K55" s="206"/>
      <c r="L55" s="19"/>
      <c r="M55" s="1958"/>
      <c r="N55" s="348"/>
      <c r="O55" s="317"/>
      <c r="P55" s="328"/>
      <c r="Q55" s="138"/>
    </row>
    <row r="56" spans="1:17" ht="17.25" customHeight="1" x14ac:dyDescent="0.25">
      <c r="A56" s="1789"/>
      <c r="B56" s="1790"/>
      <c r="C56" s="1792"/>
      <c r="D56" s="2149"/>
      <c r="E56" s="1767"/>
      <c r="F56" s="873" t="s">
        <v>418</v>
      </c>
      <c r="G56" s="165"/>
      <c r="H56" s="27" t="s">
        <v>22</v>
      </c>
      <c r="I56" s="339">
        <f>494.8-154.8</f>
        <v>340</v>
      </c>
      <c r="J56" s="32">
        <f>154.8+697.4-213.1-21.7</f>
        <v>617.4</v>
      </c>
      <c r="K56" s="206"/>
      <c r="L56" s="19"/>
      <c r="M56" s="1958"/>
      <c r="N56" s="348"/>
      <c r="O56" s="317"/>
      <c r="P56" s="328"/>
      <c r="Q56" s="138"/>
    </row>
    <row r="57" spans="1:17" ht="15.65" customHeight="1" x14ac:dyDescent="0.25">
      <c r="A57" s="1789"/>
      <c r="B57" s="1790"/>
      <c r="C57" s="1792"/>
      <c r="D57" s="2149"/>
      <c r="E57" s="1767"/>
      <c r="F57" s="125"/>
      <c r="G57" s="621"/>
      <c r="H57" s="27" t="s">
        <v>50</v>
      </c>
      <c r="I57" s="339">
        <v>236.8</v>
      </c>
      <c r="J57" s="206">
        <v>475.5</v>
      </c>
      <c r="K57" s="206"/>
      <c r="L57" s="19"/>
      <c r="M57" s="1977"/>
      <c r="N57" s="348"/>
      <c r="O57" s="328"/>
      <c r="P57" s="328"/>
      <c r="Q57" s="138"/>
    </row>
    <row r="58" spans="1:17" ht="17.25" customHeight="1" x14ac:dyDescent="0.25">
      <c r="A58" s="1789"/>
      <c r="B58" s="1790"/>
      <c r="C58" s="1792"/>
      <c r="D58" s="2174"/>
      <c r="E58" s="1767"/>
      <c r="F58" s="125"/>
      <c r="G58" s="621"/>
      <c r="H58" s="28" t="s">
        <v>68</v>
      </c>
      <c r="I58" s="38">
        <v>80</v>
      </c>
      <c r="J58" s="214">
        <v>200</v>
      </c>
      <c r="K58" s="214"/>
      <c r="L58" s="44"/>
      <c r="M58" s="411"/>
      <c r="N58" s="346"/>
      <c r="O58" s="314"/>
      <c r="P58" s="278"/>
      <c r="Q58" s="135"/>
    </row>
    <row r="59" spans="1:17" ht="14.25" customHeight="1" x14ac:dyDescent="0.25">
      <c r="A59" s="1789"/>
      <c r="B59" s="1790"/>
      <c r="C59" s="1792"/>
      <c r="D59" s="129" t="s">
        <v>182</v>
      </c>
      <c r="E59" s="1775" t="s">
        <v>107</v>
      </c>
      <c r="F59" s="92" t="s">
        <v>178</v>
      </c>
      <c r="G59" s="2140" t="s">
        <v>194</v>
      </c>
      <c r="H59" s="29" t="s">
        <v>22</v>
      </c>
      <c r="I59" s="37"/>
      <c r="J59" s="226">
        <f>300-119.8</f>
        <v>180.2</v>
      </c>
      <c r="K59" s="213">
        <v>300</v>
      </c>
      <c r="L59" s="215">
        <f>431.4-380.1-51.3</f>
        <v>0</v>
      </c>
      <c r="M59" s="1979" t="s">
        <v>276</v>
      </c>
      <c r="N59" s="539">
        <v>70</v>
      </c>
      <c r="O59" s="316">
        <v>100</v>
      </c>
      <c r="P59" s="329"/>
      <c r="Q59" s="139"/>
    </row>
    <row r="60" spans="1:17" ht="14.25" customHeight="1" x14ac:dyDescent="0.25">
      <c r="A60" s="1789"/>
      <c r="B60" s="1790"/>
      <c r="C60" s="1792"/>
      <c r="D60" s="129"/>
      <c r="E60" s="1776"/>
      <c r="F60" s="843" t="s">
        <v>41</v>
      </c>
      <c r="G60" s="2140"/>
      <c r="H60" s="27" t="s">
        <v>367</v>
      </c>
      <c r="I60" s="339"/>
      <c r="J60" s="32">
        <v>119.8</v>
      </c>
      <c r="K60" s="206"/>
      <c r="L60" s="19"/>
      <c r="M60" s="1980"/>
      <c r="N60" s="348"/>
      <c r="O60" s="317"/>
      <c r="P60" s="328"/>
      <c r="Q60" s="138"/>
    </row>
    <row r="61" spans="1:17" ht="15.75" customHeight="1" x14ac:dyDescent="0.25">
      <c r="A61" s="1789"/>
      <c r="B61" s="1790"/>
      <c r="C61" s="1792"/>
      <c r="D61" s="47"/>
      <c r="E61" s="1776"/>
      <c r="F61" s="873" t="s">
        <v>418</v>
      </c>
      <c r="G61" s="2140"/>
      <c r="H61" s="20" t="s">
        <v>68</v>
      </c>
      <c r="I61" s="339">
        <v>636.4</v>
      </c>
      <c r="J61" s="32">
        <f>800+80</f>
        <v>880</v>
      </c>
      <c r="K61" s="206">
        <v>1000</v>
      </c>
      <c r="L61" s="19">
        <f>2100-100-27.7</f>
        <v>1972.3</v>
      </c>
      <c r="M61" s="1992"/>
      <c r="N61" s="537"/>
      <c r="O61" s="538"/>
      <c r="P61" s="463"/>
      <c r="Q61" s="440"/>
    </row>
    <row r="62" spans="1:17" ht="15.75" customHeight="1" x14ac:dyDescent="0.25">
      <c r="A62" s="1789"/>
      <c r="B62" s="1790"/>
      <c r="C62" s="1792"/>
      <c r="D62" s="47"/>
      <c r="E62" s="648"/>
      <c r="F62" s="863"/>
      <c r="G62" s="2140"/>
      <c r="H62" s="27" t="s">
        <v>50</v>
      </c>
      <c r="I62" s="339">
        <v>250</v>
      </c>
      <c r="J62" s="32"/>
      <c r="K62" s="206"/>
      <c r="L62" s="19"/>
      <c r="M62" s="1989" t="s">
        <v>357</v>
      </c>
      <c r="N62" s="2190"/>
      <c r="O62" s="2099" t="s">
        <v>100</v>
      </c>
      <c r="P62" s="2099" t="s">
        <v>254</v>
      </c>
      <c r="Q62" s="1786" t="s">
        <v>252</v>
      </c>
    </row>
    <row r="63" spans="1:17" ht="15.75" customHeight="1" x14ac:dyDescent="0.25">
      <c r="A63" s="1789"/>
      <c r="B63" s="1790"/>
      <c r="C63" s="1792"/>
      <c r="D63" s="47"/>
      <c r="E63" s="648"/>
      <c r="F63" s="863"/>
      <c r="G63" s="2140"/>
      <c r="H63" s="27" t="s">
        <v>121</v>
      </c>
      <c r="I63" s="339"/>
      <c r="J63" s="32"/>
      <c r="K63" s="206"/>
      <c r="L63" s="19"/>
      <c r="M63" s="1980"/>
      <c r="N63" s="2191"/>
      <c r="O63" s="1784"/>
      <c r="P63" s="1784"/>
      <c r="Q63" s="1787"/>
    </row>
    <row r="64" spans="1:17" ht="21" customHeight="1" x14ac:dyDescent="0.25">
      <c r="A64" s="1789"/>
      <c r="B64" s="1790"/>
      <c r="C64" s="1793"/>
      <c r="D64" s="192"/>
      <c r="E64" s="644"/>
      <c r="F64" s="864"/>
      <c r="G64" s="2140"/>
      <c r="H64" s="15" t="s">
        <v>67</v>
      </c>
      <c r="I64" s="38">
        <v>300</v>
      </c>
      <c r="J64" s="43"/>
      <c r="K64" s="214"/>
      <c r="L64" s="44"/>
      <c r="M64" s="1981"/>
      <c r="N64" s="2192"/>
      <c r="O64" s="1785"/>
      <c r="P64" s="1785"/>
      <c r="Q64" s="1788"/>
    </row>
    <row r="65" spans="1:17" ht="14.25" customHeight="1" x14ac:dyDescent="0.25">
      <c r="A65" s="653"/>
      <c r="B65" s="654"/>
      <c r="C65" s="75"/>
      <c r="D65" s="2149" t="s">
        <v>100</v>
      </c>
      <c r="E65" s="1756" t="s">
        <v>168</v>
      </c>
      <c r="F65" s="843" t="s">
        <v>178</v>
      </c>
      <c r="G65" s="2176"/>
      <c r="H65" s="27" t="s">
        <v>68</v>
      </c>
      <c r="I65" s="339">
        <f>332.8+50</f>
        <v>382.8</v>
      </c>
      <c r="J65" s="32">
        <f>29.9+8.6</f>
        <v>38.5</v>
      </c>
      <c r="K65" s="206"/>
      <c r="L65" s="19"/>
      <c r="M65" s="1957" t="s">
        <v>87</v>
      </c>
      <c r="N65" s="349">
        <v>95</v>
      </c>
      <c r="O65" s="200">
        <v>100</v>
      </c>
      <c r="P65" s="209"/>
      <c r="Q65" s="141"/>
    </row>
    <row r="66" spans="1:17" ht="14.25" customHeight="1" x14ac:dyDescent="0.25">
      <c r="A66" s="653"/>
      <c r="B66" s="654"/>
      <c r="C66" s="75"/>
      <c r="D66" s="2149"/>
      <c r="E66" s="1756"/>
      <c r="F66" s="843" t="s">
        <v>41</v>
      </c>
      <c r="G66" s="2170"/>
      <c r="H66" s="27" t="s">
        <v>22</v>
      </c>
      <c r="I66" s="339">
        <v>305</v>
      </c>
      <c r="J66" s="32">
        <f>9.9+10.1</f>
        <v>20</v>
      </c>
      <c r="K66" s="206"/>
      <c r="L66" s="19"/>
      <c r="M66" s="1958"/>
      <c r="N66" s="349"/>
      <c r="O66" s="200"/>
      <c r="P66" s="209"/>
      <c r="Q66" s="141"/>
    </row>
    <row r="67" spans="1:17" ht="14.25" customHeight="1" x14ac:dyDescent="0.25">
      <c r="A67" s="653"/>
      <c r="B67" s="654"/>
      <c r="C67" s="75"/>
      <c r="D67" s="2149"/>
      <c r="E67" s="1756"/>
      <c r="F67" s="873" t="s">
        <v>418</v>
      </c>
      <c r="G67" s="2170"/>
      <c r="H67" s="27" t="s">
        <v>115</v>
      </c>
      <c r="I67" s="339">
        <v>1478.6</v>
      </c>
      <c r="J67" s="32">
        <v>33.700000000000003</v>
      </c>
      <c r="K67" s="206"/>
      <c r="L67" s="19"/>
      <c r="M67" s="657"/>
      <c r="N67" s="349"/>
      <c r="O67" s="200"/>
      <c r="P67" s="209"/>
      <c r="Q67" s="141"/>
    </row>
    <row r="68" spans="1:17" ht="14.25" customHeight="1" x14ac:dyDescent="0.25">
      <c r="A68" s="724"/>
      <c r="B68" s="726"/>
      <c r="C68" s="75"/>
      <c r="D68" s="2149"/>
      <c r="E68" s="1756"/>
      <c r="F68" s="727"/>
      <c r="G68" s="2170"/>
      <c r="H68" s="27" t="s">
        <v>360</v>
      </c>
      <c r="I68" s="339"/>
      <c r="J68" s="32">
        <v>59.1</v>
      </c>
      <c r="K68" s="206"/>
      <c r="L68" s="19"/>
      <c r="M68" s="725"/>
      <c r="N68" s="349"/>
      <c r="O68" s="200"/>
      <c r="P68" s="209"/>
      <c r="Q68" s="141"/>
    </row>
    <row r="69" spans="1:17" ht="14.25" customHeight="1" x14ac:dyDescent="0.25">
      <c r="A69" s="653"/>
      <c r="B69" s="654"/>
      <c r="C69" s="75"/>
      <c r="D69" s="2149"/>
      <c r="E69" s="1756"/>
      <c r="F69" s="668"/>
      <c r="G69" s="2170"/>
      <c r="H69" s="20" t="s">
        <v>42</v>
      </c>
      <c r="I69" s="339">
        <v>500</v>
      </c>
      <c r="J69" s="32"/>
      <c r="K69" s="206"/>
      <c r="L69" s="19"/>
      <c r="M69" s="657"/>
      <c r="N69" s="349"/>
      <c r="O69" s="200"/>
      <c r="P69" s="209"/>
      <c r="Q69" s="141"/>
    </row>
    <row r="70" spans="1:17" ht="14.25" customHeight="1" x14ac:dyDescent="0.25">
      <c r="A70" s="653"/>
      <c r="B70" s="654"/>
      <c r="C70" s="75"/>
      <c r="D70" s="2174"/>
      <c r="E70" s="1715"/>
      <c r="F70" s="669"/>
      <c r="G70" s="2170"/>
      <c r="H70" s="28" t="s">
        <v>39</v>
      </c>
      <c r="I70" s="38">
        <v>40</v>
      </c>
      <c r="J70" s="43">
        <v>16.2</v>
      </c>
      <c r="K70" s="214"/>
      <c r="L70" s="44"/>
      <c r="M70" s="642"/>
      <c r="N70" s="350"/>
      <c r="O70" s="197"/>
      <c r="P70" s="207"/>
      <c r="Q70" s="142"/>
    </row>
    <row r="71" spans="1:17" ht="28.5" customHeight="1" x14ac:dyDescent="0.25">
      <c r="A71" s="653"/>
      <c r="B71" s="654"/>
      <c r="C71" s="75"/>
      <c r="D71" s="635" t="s">
        <v>187</v>
      </c>
      <c r="E71" s="1795" t="s">
        <v>255</v>
      </c>
      <c r="F71" s="1856" t="s">
        <v>41</v>
      </c>
      <c r="G71" s="667"/>
      <c r="H71" s="123" t="s">
        <v>22</v>
      </c>
      <c r="I71" s="37"/>
      <c r="J71" s="213">
        <v>30</v>
      </c>
      <c r="K71" s="213">
        <v>50</v>
      </c>
      <c r="L71" s="215">
        <v>103.2</v>
      </c>
      <c r="M71" s="417" t="s">
        <v>256</v>
      </c>
      <c r="N71" s="501"/>
      <c r="O71" s="564"/>
      <c r="P71" s="208">
        <v>1</v>
      </c>
      <c r="Q71" s="563"/>
    </row>
    <row r="72" spans="1:17" ht="17" customHeight="1" x14ac:dyDescent="0.25">
      <c r="A72" s="653"/>
      <c r="B72" s="654"/>
      <c r="C72" s="75"/>
      <c r="D72" s="636"/>
      <c r="E72" s="1796"/>
      <c r="F72" s="1859"/>
      <c r="G72" s="667"/>
      <c r="H72" s="124" t="s">
        <v>68</v>
      </c>
      <c r="I72" s="38"/>
      <c r="J72" s="214"/>
      <c r="K72" s="206"/>
      <c r="L72" s="456">
        <f>1000-1000</f>
        <v>0</v>
      </c>
      <c r="M72" s="407" t="s">
        <v>333</v>
      </c>
      <c r="N72" s="349"/>
      <c r="O72" s="203"/>
      <c r="P72" s="207"/>
      <c r="Q72" s="445"/>
    </row>
    <row r="73" spans="1:17" ht="17.149999999999999" customHeight="1" x14ac:dyDescent="0.25">
      <c r="A73" s="653"/>
      <c r="B73" s="654"/>
      <c r="C73" s="662"/>
      <c r="D73" s="635" t="s">
        <v>188</v>
      </c>
      <c r="E73" s="1756" t="s">
        <v>156</v>
      </c>
      <c r="F73" s="843" t="s">
        <v>178</v>
      </c>
      <c r="G73" s="2136"/>
      <c r="H73" s="27" t="s">
        <v>50</v>
      </c>
      <c r="I73" s="542">
        <v>17</v>
      </c>
      <c r="J73" s="230"/>
      <c r="K73" s="239"/>
      <c r="L73" s="620"/>
      <c r="M73" s="400" t="s">
        <v>63</v>
      </c>
      <c r="N73" s="541">
        <v>1</v>
      </c>
      <c r="O73" s="441"/>
      <c r="P73" s="442"/>
      <c r="Q73" s="443"/>
    </row>
    <row r="74" spans="1:17" ht="14.25" customHeight="1" x14ac:dyDescent="0.25">
      <c r="A74" s="653"/>
      <c r="B74" s="654"/>
      <c r="C74" s="662"/>
      <c r="D74" s="193"/>
      <c r="E74" s="1756"/>
      <c r="F74" s="843" t="s">
        <v>41</v>
      </c>
      <c r="G74" s="2136"/>
      <c r="H74" s="551" t="s">
        <v>22</v>
      </c>
      <c r="I74" s="339">
        <v>53.6</v>
      </c>
      <c r="J74" s="32">
        <f>191.4-41.4</f>
        <v>150</v>
      </c>
      <c r="K74" s="206">
        <f>250-50</f>
        <v>200</v>
      </c>
      <c r="L74" s="19">
        <f>250-50</f>
        <v>200</v>
      </c>
      <c r="M74" s="657" t="s">
        <v>175</v>
      </c>
      <c r="N74" s="559">
        <v>20</v>
      </c>
      <c r="O74" s="200">
        <v>35</v>
      </c>
      <c r="P74" s="209">
        <v>85</v>
      </c>
      <c r="Q74" s="141">
        <v>100</v>
      </c>
    </row>
    <row r="75" spans="1:17" ht="14.25" customHeight="1" x14ac:dyDescent="0.25">
      <c r="A75" s="653"/>
      <c r="B75" s="654"/>
      <c r="C75" s="662"/>
      <c r="D75" s="193"/>
      <c r="E75" s="1756"/>
      <c r="F75" s="668"/>
      <c r="G75" s="2136"/>
      <c r="H75" s="565" t="s">
        <v>67</v>
      </c>
      <c r="I75" s="339">
        <v>58.6</v>
      </c>
      <c r="J75" s="32"/>
      <c r="K75" s="206"/>
      <c r="L75" s="19"/>
      <c r="M75" s="657"/>
      <c r="N75" s="559"/>
      <c r="O75" s="200"/>
      <c r="P75" s="209"/>
      <c r="Q75" s="141"/>
    </row>
    <row r="76" spans="1:17" ht="14.25" customHeight="1" x14ac:dyDescent="0.25">
      <c r="A76" s="653"/>
      <c r="B76" s="654"/>
      <c r="C76" s="662"/>
      <c r="D76" s="194"/>
      <c r="E76" s="1756"/>
      <c r="F76" s="668"/>
      <c r="G76" s="2136"/>
      <c r="H76" s="36" t="s">
        <v>68</v>
      </c>
      <c r="I76" s="38">
        <v>45</v>
      </c>
      <c r="J76" s="43">
        <v>200</v>
      </c>
      <c r="K76" s="214">
        <v>200</v>
      </c>
      <c r="L76" s="44">
        <v>200</v>
      </c>
      <c r="M76" s="399"/>
      <c r="N76" s="679"/>
      <c r="O76" s="197"/>
      <c r="P76" s="207"/>
      <c r="Q76" s="142"/>
    </row>
    <row r="77" spans="1:17" ht="26.75" customHeight="1" x14ac:dyDescent="0.25">
      <c r="A77" s="672"/>
      <c r="B77" s="631"/>
      <c r="C77" s="72"/>
      <c r="D77" s="2149" t="s">
        <v>189</v>
      </c>
      <c r="E77" s="1764" t="s">
        <v>226</v>
      </c>
      <c r="F77" s="841"/>
      <c r="G77" s="2136"/>
      <c r="H77" s="29" t="s">
        <v>22</v>
      </c>
      <c r="I77" s="37">
        <v>42.9</v>
      </c>
      <c r="J77" s="226">
        <f>381.6-100</f>
        <v>281.60000000000002</v>
      </c>
      <c r="K77" s="213">
        <v>250</v>
      </c>
      <c r="L77" s="215">
        <v>300.10000000000002</v>
      </c>
      <c r="M77" s="409" t="s">
        <v>177</v>
      </c>
      <c r="N77" s="375"/>
      <c r="O77" s="312">
        <v>100</v>
      </c>
      <c r="P77" s="208"/>
      <c r="Q77" s="143"/>
    </row>
    <row r="78" spans="1:17" ht="29.25" customHeight="1" x14ac:dyDescent="0.25">
      <c r="A78" s="672"/>
      <c r="B78" s="631"/>
      <c r="C78" s="72"/>
      <c r="D78" s="2149"/>
      <c r="E78" s="1807"/>
      <c r="F78" s="865"/>
      <c r="G78" s="2136"/>
      <c r="H78" s="27" t="s">
        <v>39</v>
      </c>
      <c r="I78" s="339">
        <v>12.5</v>
      </c>
      <c r="J78" s="32">
        <v>159.9</v>
      </c>
      <c r="K78" s="206">
        <v>24</v>
      </c>
      <c r="L78" s="19"/>
      <c r="M78" s="424" t="s">
        <v>176</v>
      </c>
      <c r="N78" s="391">
        <v>100</v>
      </c>
      <c r="O78" s="196">
        <v>100</v>
      </c>
      <c r="P78" s="275"/>
      <c r="Q78" s="198"/>
    </row>
    <row r="79" spans="1:17" ht="17" customHeight="1" x14ac:dyDescent="0.25">
      <c r="A79" s="672"/>
      <c r="B79" s="654"/>
      <c r="C79" s="72"/>
      <c r="D79" s="640"/>
      <c r="E79" s="651"/>
      <c r="F79" s="638"/>
      <c r="G79" s="621"/>
      <c r="H79" s="551" t="s">
        <v>68</v>
      </c>
      <c r="I79" s="339"/>
      <c r="J79" s="32">
        <v>100</v>
      </c>
      <c r="K79" s="206"/>
      <c r="L79" s="19"/>
      <c r="M79" s="424" t="s">
        <v>319</v>
      </c>
      <c r="N79" s="391"/>
      <c r="O79" s="196">
        <v>100</v>
      </c>
      <c r="P79" s="275"/>
      <c r="Q79" s="198"/>
    </row>
    <row r="80" spans="1:17" ht="16.5" customHeight="1" x14ac:dyDescent="0.25">
      <c r="A80" s="672"/>
      <c r="B80" s="654"/>
      <c r="C80" s="72"/>
      <c r="D80" s="640"/>
      <c r="E80" s="651"/>
      <c r="F80" s="638"/>
      <c r="G80" s="621"/>
      <c r="H80" s="27" t="s">
        <v>50</v>
      </c>
      <c r="I80" s="339"/>
      <c r="J80" s="206">
        <v>42.3</v>
      </c>
      <c r="K80" s="206"/>
      <c r="L80" s="19"/>
      <c r="M80" s="424" t="s">
        <v>320</v>
      </c>
      <c r="N80" s="391"/>
      <c r="O80" s="196">
        <v>100</v>
      </c>
      <c r="P80" s="275"/>
      <c r="Q80" s="198"/>
    </row>
    <row r="81" spans="1:17" ht="18" customHeight="1" x14ac:dyDescent="0.25">
      <c r="A81" s="672"/>
      <c r="B81" s="654"/>
      <c r="C81" s="72"/>
      <c r="D81" s="193"/>
      <c r="E81" s="651"/>
      <c r="F81" s="638"/>
      <c r="G81" s="621"/>
      <c r="H81" s="549"/>
      <c r="I81" s="38"/>
      <c r="J81" s="550"/>
      <c r="K81" s="214"/>
      <c r="L81" s="44"/>
      <c r="M81" s="407" t="s">
        <v>321</v>
      </c>
      <c r="N81" s="444"/>
      <c r="O81" s="203">
        <v>65</v>
      </c>
      <c r="P81" s="203">
        <v>100</v>
      </c>
      <c r="Q81" s="445"/>
    </row>
    <row r="82" spans="1:17" ht="16.5" customHeight="1" x14ac:dyDescent="0.25">
      <c r="A82" s="653"/>
      <c r="B82" s="654"/>
      <c r="C82" s="662"/>
      <c r="D82" s="635" t="s">
        <v>190</v>
      </c>
      <c r="E82" s="1714" t="s">
        <v>114</v>
      </c>
      <c r="F82" s="843" t="s">
        <v>41</v>
      </c>
      <c r="G82" s="191"/>
      <c r="H82" s="27" t="s">
        <v>22</v>
      </c>
      <c r="I82" s="339">
        <v>35</v>
      </c>
      <c r="J82" s="32"/>
      <c r="K82" s="206"/>
      <c r="L82" s="19"/>
      <c r="M82" s="624" t="s">
        <v>40</v>
      </c>
      <c r="N82" s="348">
        <v>1</v>
      </c>
      <c r="O82" s="317"/>
      <c r="P82" s="277"/>
      <c r="Q82" s="137"/>
    </row>
    <row r="83" spans="1:17" ht="26" customHeight="1" x14ac:dyDescent="0.25">
      <c r="A83" s="653"/>
      <c r="B83" s="654"/>
      <c r="C83" s="662"/>
      <c r="D83" s="194"/>
      <c r="E83" s="1810"/>
      <c r="F83" s="167"/>
      <c r="G83" s="191"/>
      <c r="H83" s="36" t="s">
        <v>68</v>
      </c>
      <c r="I83" s="38"/>
      <c r="J83" s="43"/>
      <c r="K83" s="214"/>
      <c r="L83" s="44">
        <f>1900-1400-450</f>
        <v>50</v>
      </c>
      <c r="M83" s="591" t="s">
        <v>257</v>
      </c>
      <c r="N83" s="592"/>
      <c r="O83" s="609"/>
      <c r="P83" s="330"/>
      <c r="Q83" s="462">
        <v>1</v>
      </c>
    </row>
    <row r="84" spans="1:17" ht="17.25" customHeight="1" x14ac:dyDescent="0.25">
      <c r="A84" s="653"/>
      <c r="B84" s="654"/>
      <c r="C84" s="662"/>
      <c r="D84" s="640" t="s">
        <v>210</v>
      </c>
      <c r="E84" s="1714" t="s">
        <v>227</v>
      </c>
      <c r="F84" s="1856" t="s">
        <v>418</v>
      </c>
      <c r="G84" s="2136"/>
      <c r="H84" s="29" t="s">
        <v>22</v>
      </c>
      <c r="I84" s="552">
        <v>160</v>
      </c>
      <c r="J84" s="231"/>
      <c r="K84" s="239"/>
      <c r="L84" s="220"/>
      <c r="M84" s="400" t="s">
        <v>63</v>
      </c>
      <c r="N84" s="553">
        <v>1</v>
      </c>
      <c r="O84" s="441"/>
      <c r="P84" s="442"/>
      <c r="Q84" s="443"/>
    </row>
    <row r="85" spans="1:17" ht="18.649999999999999" customHeight="1" x14ac:dyDescent="0.25">
      <c r="A85" s="653"/>
      <c r="B85" s="654"/>
      <c r="C85" s="662"/>
      <c r="D85" s="194"/>
      <c r="E85" s="1715"/>
      <c r="F85" s="1859"/>
      <c r="G85" s="2136"/>
      <c r="H85" s="98" t="s">
        <v>67</v>
      </c>
      <c r="I85" s="38">
        <v>19.3</v>
      </c>
      <c r="J85" s="43"/>
      <c r="K85" s="214"/>
      <c r="L85" s="44"/>
      <c r="M85" s="642" t="s">
        <v>258</v>
      </c>
      <c r="N85" s="350">
        <v>100</v>
      </c>
      <c r="O85" s="197"/>
      <c r="P85" s="278"/>
      <c r="Q85" s="142"/>
    </row>
    <row r="86" spans="1:17" ht="28.5" customHeight="1" x14ac:dyDescent="0.25">
      <c r="A86" s="1753"/>
      <c r="B86" s="1790"/>
      <c r="C86" s="115"/>
      <c r="D86" s="2148" t="s">
        <v>211</v>
      </c>
      <c r="E86" s="1867" t="s">
        <v>192</v>
      </c>
      <c r="F86" s="2152" t="s">
        <v>205</v>
      </c>
      <c r="G86" s="2136"/>
      <c r="H86" s="63" t="s">
        <v>67</v>
      </c>
      <c r="I86" s="37">
        <v>194.2</v>
      </c>
      <c r="J86" s="226"/>
      <c r="K86" s="213"/>
      <c r="L86" s="215"/>
      <c r="M86" s="670" t="s">
        <v>117</v>
      </c>
      <c r="N86" s="496" t="s">
        <v>46</v>
      </c>
      <c r="O86" s="319"/>
      <c r="P86" s="190"/>
      <c r="Q86" s="147"/>
    </row>
    <row r="87" spans="1:17" ht="3.75" customHeight="1" x14ac:dyDescent="0.25">
      <c r="A87" s="1753"/>
      <c r="B87" s="1790"/>
      <c r="C87" s="115"/>
      <c r="D87" s="2174"/>
      <c r="E87" s="1838"/>
      <c r="F87" s="2153"/>
      <c r="G87" s="2136"/>
      <c r="H87" s="15"/>
      <c r="I87" s="38"/>
      <c r="J87" s="43"/>
      <c r="K87" s="214"/>
      <c r="L87" s="44"/>
      <c r="M87" s="650"/>
      <c r="N87" s="347"/>
      <c r="O87" s="646"/>
      <c r="P87" s="194"/>
      <c r="Q87" s="148"/>
    </row>
    <row r="88" spans="1:17" ht="16.5" customHeight="1" x14ac:dyDescent="0.25">
      <c r="A88" s="653"/>
      <c r="B88" s="654"/>
      <c r="C88" s="75"/>
      <c r="D88" s="635" t="s">
        <v>212</v>
      </c>
      <c r="E88" s="1767" t="s">
        <v>130</v>
      </c>
      <c r="F88" s="1856" t="s">
        <v>118</v>
      </c>
      <c r="G88" s="667"/>
      <c r="H88" s="66" t="s">
        <v>50</v>
      </c>
      <c r="I88" s="339">
        <v>1.6</v>
      </c>
      <c r="J88" s="32"/>
      <c r="K88" s="206"/>
      <c r="L88" s="19"/>
      <c r="M88" s="1958" t="s">
        <v>40</v>
      </c>
      <c r="N88" s="349">
        <v>1</v>
      </c>
      <c r="O88" s="200"/>
      <c r="P88" s="209"/>
      <c r="Q88" s="141"/>
    </row>
    <row r="89" spans="1:17" ht="16.5" customHeight="1" x14ac:dyDescent="0.25">
      <c r="A89" s="653"/>
      <c r="B89" s="654"/>
      <c r="C89" s="75"/>
      <c r="D89" s="194"/>
      <c r="E89" s="2033"/>
      <c r="F89" s="1859"/>
      <c r="G89" s="158"/>
      <c r="H89" s="36"/>
      <c r="I89" s="38"/>
      <c r="J89" s="43"/>
      <c r="K89" s="214"/>
      <c r="L89" s="44"/>
      <c r="M89" s="2138"/>
      <c r="N89" s="197"/>
      <c r="O89" s="207"/>
      <c r="P89" s="207"/>
      <c r="Q89" s="142"/>
    </row>
    <row r="90" spans="1:17" ht="40.5" customHeight="1" x14ac:dyDescent="0.25">
      <c r="A90" s="653"/>
      <c r="B90" s="654"/>
      <c r="C90" s="662"/>
      <c r="D90" s="450" t="s">
        <v>155</v>
      </c>
      <c r="E90" s="1714" t="s">
        <v>120</v>
      </c>
      <c r="F90" s="843" t="s">
        <v>41</v>
      </c>
      <c r="G90" s="199" t="s">
        <v>193</v>
      </c>
      <c r="H90" s="97" t="s">
        <v>22</v>
      </c>
      <c r="I90" s="447"/>
      <c r="J90" s="213">
        <v>13.3</v>
      </c>
      <c r="K90" s="213">
        <v>3.2</v>
      </c>
      <c r="L90" s="522">
        <v>3.2</v>
      </c>
      <c r="M90" s="409" t="s">
        <v>171</v>
      </c>
      <c r="N90" s="375">
        <v>1</v>
      </c>
      <c r="O90" s="312"/>
      <c r="P90" s="208"/>
      <c r="Q90" s="143"/>
    </row>
    <row r="91" spans="1:17" ht="28.5" customHeight="1" x14ac:dyDescent="0.25">
      <c r="A91" s="672"/>
      <c r="B91" s="654"/>
      <c r="C91" s="75"/>
      <c r="D91" s="451"/>
      <c r="E91" s="1756"/>
      <c r="F91" s="448"/>
      <c r="G91" s="786" t="s">
        <v>195</v>
      </c>
      <c r="H91" s="27" t="s">
        <v>38</v>
      </c>
      <c r="I91" s="339"/>
      <c r="J91" s="206"/>
      <c r="K91" s="206">
        <v>45.2</v>
      </c>
      <c r="L91" s="432">
        <v>45.1</v>
      </c>
      <c r="M91" s="421" t="s">
        <v>40</v>
      </c>
      <c r="N91" s="394"/>
      <c r="O91" s="342">
        <v>1</v>
      </c>
      <c r="P91" s="300"/>
      <c r="Q91" s="290"/>
    </row>
    <row r="92" spans="1:17" ht="43.25" customHeight="1" x14ac:dyDescent="0.25">
      <c r="A92" s="672"/>
      <c r="B92" s="654"/>
      <c r="C92" s="75"/>
      <c r="D92" s="452"/>
      <c r="E92" s="1715"/>
      <c r="F92" s="449"/>
      <c r="G92" s="786" t="s">
        <v>194</v>
      </c>
      <c r="H92" s="98" t="s">
        <v>121</v>
      </c>
      <c r="I92" s="38"/>
      <c r="J92" s="214"/>
      <c r="K92" s="214">
        <v>15.1</v>
      </c>
      <c r="L92" s="456">
        <v>15</v>
      </c>
      <c r="M92" s="446" t="s">
        <v>259</v>
      </c>
      <c r="N92" s="350"/>
      <c r="O92" s="197"/>
      <c r="P92" s="207">
        <v>50</v>
      </c>
      <c r="Q92" s="142">
        <v>100</v>
      </c>
    </row>
    <row r="93" spans="1:17" ht="23.25" customHeight="1" x14ac:dyDescent="0.25">
      <c r="A93" s="672"/>
      <c r="B93" s="633"/>
      <c r="C93" s="72"/>
      <c r="D93" s="640" t="s">
        <v>213</v>
      </c>
      <c r="E93" s="1756" t="s">
        <v>82</v>
      </c>
      <c r="F93" s="2171" t="s">
        <v>41</v>
      </c>
      <c r="G93" s="2139" t="s">
        <v>194</v>
      </c>
      <c r="H93" s="27" t="s">
        <v>50</v>
      </c>
      <c r="I93" s="339">
        <v>10.7</v>
      </c>
      <c r="J93" s="32"/>
      <c r="K93" s="206"/>
      <c r="L93" s="19"/>
      <c r="M93" s="453" t="s">
        <v>277</v>
      </c>
      <c r="N93" s="527">
        <v>1</v>
      </c>
      <c r="O93" s="564"/>
      <c r="P93" s="209"/>
      <c r="Q93" s="141"/>
    </row>
    <row r="94" spans="1:17" ht="23.15" customHeight="1" x14ac:dyDescent="0.25">
      <c r="A94" s="672"/>
      <c r="B94" s="631"/>
      <c r="C94" s="72"/>
      <c r="D94" s="193"/>
      <c r="E94" s="1756"/>
      <c r="F94" s="2171"/>
      <c r="G94" s="2140"/>
      <c r="H94" s="27"/>
      <c r="I94" s="38"/>
      <c r="J94" s="43"/>
      <c r="K94" s="214"/>
      <c r="L94" s="44"/>
      <c r="M94" s="642"/>
      <c r="N94" s="350"/>
      <c r="O94" s="197"/>
      <c r="P94" s="207"/>
      <c r="Q94" s="142"/>
    </row>
    <row r="95" spans="1:17" ht="17.25" customHeight="1" x14ac:dyDescent="0.25">
      <c r="A95" s="653"/>
      <c r="B95" s="631"/>
      <c r="C95" s="72"/>
      <c r="D95" s="635" t="s">
        <v>214</v>
      </c>
      <c r="E95" s="1805" t="s">
        <v>110</v>
      </c>
      <c r="F95" s="2142" t="s">
        <v>118</v>
      </c>
      <c r="G95" s="2140"/>
      <c r="H95" s="29" t="s">
        <v>39</v>
      </c>
      <c r="I95" s="339">
        <v>4.9000000000000004</v>
      </c>
      <c r="J95" s="32">
        <v>4.9000000000000004</v>
      </c>
      <c r="K95" s="206"/>
      <c r="L95" s="19"/>
      <c r="M95" s="657" t="s">
        <v>40</v>
      </c>
      <c r="N95" s="349">
        <v>1</v>
      </c>
      <c r="O95" s="200">
        <v>1</v>
      </c>
      <c r="P95" s="209"/>
      <c r="Q95" s="141"/>
    </row>
    <row r="96" spans="1:17" ht="18" customHeight="1" x14ac:dyDescent="0.25">
      <c r="A96" s="653"/>
      <c r="B96" s="631"/>
      <c r="C96" s="71"/>
      <c r="D96" s="194"/>
      <c r="E96" s="1806"/>
      <c r="F96" s="2143"/>
      <c r="G96" s="2140"/>
      <c r="H96" s="28"/>
      <c r="I96" s="352"/>
      <c r="J96" s="232"/>
      <c r="K96" s="240"/>
      <c r="L96" s="221"/>
      <c r="M96" s="407"/>
      <c r="N96" s="350"/>
      <c r="O96" s="197"/>
      <c r="P96" s="207"/>
      <c r="Q96" s="142"/>
    </row>
    <row r="97" spans="1:17" ht="61.5" customHeight="1" x14ac:dyDescent="0.25">
      <c r="A97" s="653"/>
      <c r="B97" s="654"/>
      <c r="C97" s="71"/>
      <c r="D97" s="636" t="s">
        <v>215</v>
      </c>
      <c r="E97" s="644" t="s">
        <v>260</v>
      </c>
      <c r="F97" s="866"/>
      <c r="G97" s="2140"/>
      <c r="H97" s="119" t="s">
        <v>22</v>
      </c>
      <c r="I97" s="352"/>
      <c r="J97" s="43"/>
      <c r="K97" s="214">
        <v>125</v>
      </c>
      <c r="L97" s="221"/>
      <c r="M97" s="407" t="s">
        <v>261</v>
      </c>
      <c r="N97" s="350"/>
      <c r="O97" s="200"/>
      <c r="P97" s="209">
        <v>100</v>
      </c>
      <c r="Q97" s="141"/>
    </row>
    <row r="98" spans="1:17" ht="16.5" customHeight="1" x14ac:dyDescent="0.25">
      <c r="A98" s="653"/>
      <c r="B98" s="654"/>
      <c r="C98" s="71"/>
      <c r="D98" s="640" t="s">
        <v>216</v>
      </c>
      <c r="E98" s="1776" t="s">
        <v>154</v>
      </c>
      <c r="F98" s="865"/>
      <c r="G98" s="2140"/>
      <c r="H98" s="27" t="s">
        <v>22</v>
      </c>
      <c r="I98" s="339">
        <v>28</v>
      </c>
      <c r="J98" s="32">
        <v>28</v>
      </c>
      <c r="K98" s="206">
        <v>28</v>
      </c>
      <c r="L98" s="19">
        <v>28</v>
      </c>
      <c r="M98" s="1958" t="s">
        <v>83</v>
      </c>
      <c r="N98" s="349">
        <v>100</v>
      </c>
      <c r="O98" s="211">
        <v>100</v>
      </c>
      <c r="P98" s="564">
        <v>100</v>
      </c>
      <c r="Q98" s="140">
        <v>100</v>
      </c>
    </row>
    <row r="99" spans="1:17" ht="16.5" customHeight="1" x14ac:dyDescent="0.25">
      <c r="A99" s="653"/>
      <c r="B99" s="654"/>
      <c r="C99" s="71"/>
      <c r="D99" s="193"/>
      <c r="E99" s="1807"/>
      <c r="F99" s="865"/>
      <c r="G99" s="2140"/>
      <c r="H99" s="27"/>
      <c r="I99" s="339"/>
      <c r="J99" s="32"/>
      <c r="K99" s="206"/>
      <c r="L99" s="19"/>
      <c r="M99" s="1958"/>
      <c r="N99" s="349"/>
      <c r="O99" s="200"/>
      <c r="P99" s="209"/>
      <c r="Q99" s="141"/>
    </row>
    <row r="100" spans="1:17" s="6" customFormat="1" ht="21" customHeight="1" x14ac:dyDescent="0.25">
      <c r="A100" s="653"/>
      <c r="B100" s="654"/>
      <c r="C100" s="662"/>
      <c r="D100" s="194"/>
      <c r="E100" s="1808"/>
      <c r="F100" s="867"/>
      <c r="G100" s="2141"/>
      <c r="H100" s="160"/>
      <c r="I100" s="353"/>
      <c r="J100" s="233"/>
      <c r="K100" s="241"/>
      <c r="L100" s="222"/>
      <c r="M100" s="1990"/>
      <c r="N100" s="393"/>
      <c r="O100" s="318"/>
      <c r="P100" s="331"/>
      <c r="Q100" s="145"/>
    </row>
    <row r="101" spans="1:17" ht="15.75" customHeight="1" x14ac:dyDescent="0.25">
      <c r="A101" s="653"/>
      <c r="B101" s="631"/>
      <c r="C101" s="72"/>
      <c r="D101" s="454" t="s">
        <v>217</v>
      </c>
      <c r="E101" s="169" t="s">
        <v>201</v>
      </c>
      <c r="F101" s="877" t="s">
        <v>418</v>
      </c>
      <c r="G101" s="110"/>
      <c r="H101" s="111"/>
      <c r="I101" s="354"/>
      <c r="J101" s="234"/>
      <c r="K101" s="242"/>
      <c r="L101" s="146"/>
      <c r="M101" s="405"/>
      <c r="N101" s="357"/>
      <c r="O101" s="234"/>
      <c r="P101" s="242"/>
      <c r="Q101" s="146"/>
    </row>
    <row r="102" spans="1:17" ht="15.75" customHeight="1" x14ac:dyDescent="0.25">
      <c r="A102" s="653"/>
      <c r="B102" s="631"/>
      <c r="C102" s="72"/>
      <c r="D102" s="632"/>
      <c r="E102" s="491" t="s">
        <v>294</v>
      </c>
      <c r="F102" s="878"/>
      <c r="G102" s="487"/>
      <c r="H102" s="480"/>
      <c r="I102" s="481"/>
      <c r="J102" s="482"/>
      <c r="K102" s="483"/>
      <c r="L102" s="488"/>
      <c r="M102" s="484"/>
      <c r="N102" s="485"/>
      <c r="O102" s="482"/>
      <c r="P102" s="489"/>
      <c r="Q102" s="488"/>
    </row>
    <row r="103" spans="1:17" ht="26.25" customHeight="1" x14ac:dyDescent="0.25">
      <c r="A103" s="653"/>
      <c r="B103" s="631"/>
      <c r="C103" s="72"/>
      <c r="D103" s="46" t="s">
        <v>46</v>
      </c>
      <c r="E103" s="99" t="s">
        <v>296</v>
      </c>
      <c r="F103" s="486"/>
      <c r="G103" s="621"/>
      <c r="H103" s="23" t="s">
        <v>68</v>
      </c>
      <c r="I103" s="490">
        <v>594</v>
      </c>
      <c r="J103" s="236"/>
      <c r="K103" s="236"/>
      <c r="L103" s="19"/>
      <c r="M103" s="403" t="s">
        <v>55</v>
      </c>
      <c r="N103" s="490">
        <v>2.6</v>
      </c>
      <c r="O103" s="236">
        <v>2.6</v>
      </c>
      <c r="P103" s="206">
        <v>2.6</v>
      </c>
      <c r="Q103" s="19">
        <v>2.6</v>
      </c>
    </row>
    <row r="104" spans="1:17" ht="15" customHeight="1" x14ac:dyDescent="0.25">
      <c r="A104" s="653"/>
      <c r="B104" s="631"/>
      <c r="C104" s="72"/>
      <c r="D104" s="46" t="s">
        <v>180</v>
      </c>
      <c r="E104" s="99" t="s">
        <v>297</v>
      </c>
      <c r="F104" s="638"/>
      <c r="G104" s="2136" t="s">
        <v>196</v>
      </c>
      <c r="H104" s="20" t="s">
        <v>50</v>
      </c>
      <c r="I104" s="339">
        <v>40</v>
      </c>
      <c r="J104" s="32"/>
      <c r="K104" s="206"/>
      <c r="L104" s="19"/>
      <c r="N104" s="493"/>
      <c r="O104" s="32"/>
      <c r="P104" s="206"/>
      <c r="Q104" s="19"/>
    </row>
    <row r="105" spans="1:17" ht="15.65" customHeight="1" x14ac:dyDescent="0.25">
      <c r="A105" s="653"/>
      <c r="B105" s="631"/>
      <c r="C105" s="72"/>
      <c r="D105" s="46" t="s">
        <v>202</v>
      </c>
      <c r="E105" s="51" t="s">
        <v>298</v>
      </c>
      <c r="F105" s="638"/>
      <c r="G105" s="2137"/>
      <c r="I105" s="434"/>
      <c r="J105" s="206"/>
      <c r="K105" s="206"/>
      <c r="L105" s="19"/>
      <c r="M105" s="657"/>
      <c r="N105" s="358"/>
      <c r="O105" s="32"/>
      <c r="P105" s="206"/>
      <c r="Q105" s="19"/>
    </row>
    <row r="106" spans="1:17" ht="16.5" customHeight="1" x14ac:dyDescent="0.25">
      <c r="A106" s="653"/>
      <c r="B106" s="631"/>
      <c r="C106" s="72"/>
      <c r="D106" s="46" t="s">
        <v>203</v>
      </c>
      <c r="E106" s="51" t="s">
        <v>299</v>
      </c>
      <c r="F106" s="638"/>
      <c r="G106" s="2137"/>
      <c r="H106" s="20"/>
      <c r="I106" s="339"/>
      <c r="J106" s="32"/>
      <c r="K106" s="206"/>
      <c r="L106" s="19"/>
      <c r="M106" s="657"/>
      <c r="N106" s="358"/>
      <c r="O106" s="32"/>
      <c r="P106" s="206"/>
      <c r="Q106" s="19"/>
    </row>
    <row r="107" spans="1:17" ht="15.65" customHeight="1" x14ac:dyDescent="0.25">
      <c r="A107" s="653"/>
      <c r="B107" s="631"/>
      <c r="C107" s="72"/>
      <c r="D107" s="46"/>
      <c r="E107" s="492" t="s">
        <v>295</v>
      </c>
      <c r="F107" s="638"/>
      <c r="G107" s="2137"/>
      <c r="H107" s="20"/>
      <c r="I107" s="338"/>
      <c r="J107" s="32"/>
      <c r="K107" s="206"/>
      <c r="L107" s="19"/>
      <c r="M107" s="657"/>
      <c r="N107" s="339"/>
      <c r="O107" s="32"/>
      <c r="P107" s="206"/>
      <c r="Q107" s="432"/>
    </row>
    <row r="108" spans="1:17" ht="26.25" customHeight="1" x14ac:dyDescent="0.25">
      <c r="A108" s="653"/>
      <c r="B108" s="631"/>
      <c r="C108" s="72"/>
      <c r="D108" s="46" t="s">
        <v>46</v>
      </c>
      <c r="E108" s="99" t="s">
        <v>300</v>
      </c>
      <c r="F108" s="638"/>
      <c r="G108" s="2137"/>
      <c r="H108" s="23" t="s">
        <v>22</v>
      </c>
      <c r="I108" s="339"/>
      <c r="J108" s="236">
        <v>20</v>
      </c>
      <c r="K108" s="236">
        <v>20</v>
      </c>
      <c r="L108" s="433">
        <v>20</v>
      </c>
      <c r="M108" s="657"/>
      <c r="N108" s="339"/>
      <c r="O108" s="206"/>
      <c r="P108" s="206"/>
      <c r="Q108" s="432"/>
    </row>
    <row r="109" spans="1:17" ht="27" customHeight="1" x14ac:dyDescent="0.25">
      <c r="A109" s="653"/>
      <c r="B109" s="631"/>
      <c r="C109" s="75"/>
      <c r="D109" s="46" t="s">
        <v>180</v>
      </c>
      <c r="E109" s="51" t="s">
        <v>296</v>
      </c>
      <c r="F109" s="638"/>
      <c r="G109" s="2137"/>
      <c r="H109" s="20" t="s">
        <v>68</v>
      </c>
      <c r="I109" s="339"/>
      <c r="J109" s="32">
        <v>590</v>
      </c>
      <c r="K109" s="206">
        <v>590</v>
      </c>
      <c r="L109" s="19">
        <v>590</v>
      </c>
      <c r="M109" s="2005"/>
      <c r="N109" s="358"/>
      <c r="O109" s="32"/>
      <c r="P109" s="206"/>
      <c r="Q109" s="19"/>
    </row>
    <row r="110" spans="1:17" ht="15.65" customHeight="1" x14ac:dyDescent="0.25">
      <c r="A110" s="653"/>
      <c r="B110" s="631"/>
      <c r="C110" s="75"/>
      <c r="D110" s="309" t="s">
        <v>202</v>
      </c>
      <c r="E110" s="773" t="s">
        <v>304</v>
      </c>
      <c r="F110" s="762"/>
      <c r="G110" s="621"/>
      <c r="H110" s="1819"/>
      <c r="I110" s="2193"/>
      <c r="J110" s="1813"/>
      <c r="K110" s="1813"/>
      <c r="L110" s="1814"/>
      <c r="M110" s="2005"/>
      <c r="N110" s="1982"/>
      <c r="O110" s="1813"/>
      <c r="P110" s="1813"/>
      <c r="Q110" s="1814"/>
    </row>
    <row r="111" spans="1:17" ht="15.65" customHeight="1" x14ac:dyDescent="0.25">
      <c r="A111" s="763"/>
      <c r="B111" s="761"/>
      <c r="C111" s="75"/>
      <c r="D111" s="193"/>
      <c r="E111" s="772" t="s">
        <v>373</v>
      </c>
      <c r="F111" s="762"/>
      <c r="G111" s="760"/>
      <c r="H111" s="1819"/>
      <c r="I111" s="2193"/>
      <c r="J111" s="1813"/>
      <c r="K111" s="1813"/>
      <c r="L111" s="1814"/>
      <c r="M111" s="2005"/>
      <c r="N111" s="1982"/>
      <c r="O111" s="1813"/>
      <c r="P111" s="1813"/>
      <c r="Q111" s="1814"/>
    </row>
    <row r="112" spans="1:17" ht="15.65" customHeight="1" x14ac:dyDescent="0.25">
      <c r="A112" s="763"/>
      <c r="B112" s="761"/>
      <c r="C112" s="75"/>
      <c r="D112" s="307" t="s">
        <v>46</v>
      </c>
      <c r="E112" s="99" t="s">
        <v>374</v>
      </c>
      <c r="F112" s="762"/>
      <c r="G112" s="760"/>
      <c r="H112" s="1819"/>
      <c r="I112" s="2193"/>
      <c r="J112" s="1813"/>
      <c r="K112" s="1813"/>
      <c r="L112" s="1814"/>
      <c r="M112" s="2005"/>
      <c r="N112" s="1982"/>
      <c r="O112" s="1813"/>
      <c r="P112" s="1813"/>
      <c r="Q112" s="1814"/>
    </row>
    <row r="113" spans="1:17" ht="15.65" customHeight="1" x14ac:dyDescent="0.25">
      <c r="A113" s="763"/>
      <c r="B113" s="761"/>
      <c r="C113" s="75"/>
      <c r="D113" s="307" t="s">
        <v>180</v>
      </c>
      <c r="E113" s="99" t="s">
        <v>375</v>
      </c>
      <c r="F113" s="762"/>
      <c r="G113" s="760"/>
      <c r="H113" s="1819"/>
      <c r="I113" s="2193"/>
      <c r="J113" s="1813"/>
      <c r="K113" s="1813"/>
      <c r="L113" s="1814"/>
      <c r="M113" s="2005"/>
      <c r="N113" s="1982"/>
      <c r="O113" s="1813"/>
      <c r="P113" s="1813"/>
      <c r="Q113" s="1814"/>
    </row>
    <row r="114" spans="1:17" ht="15.65" customHeight="1" x14ac:dyDescent="0.25">
      <c r="A114" s="763"/>
      <c r="B114" s="761"/>
      <c r="C114" s="75"/>
      <c r="D114" s="307" t="s">
        <v>202</v>
      </c>
      <c r="E114" s="774" t="s">
        <v>301</v>
      </c>
      <c r="F114" s="762"/>
      <c r="G114" s="760"/>
      <c r="H114" s="1819"/>
      <c r="I114" s="2193"/>
      <c r="J114" s="1813"/>
      <c r="K114" s="1813"/>
      <c r="L114" s="1814"/>
      <c r="M114" s="2005"/>
      <c r="N114" s="1982"/>
      <c r="O114" s="1813"/>
      <c r="P114" s="1813"/>
      <c r="Q114" s="1814"/>
    </row>
    <row r="115" spans="1:17" ht="15.65" customHeight="1" x14ac:dyDescent="0.25">
      <c r="A115" s="709"/>
      <c r="B115" s="707"/>
      <c r="C115" s="75"/>
      <c r="D115" s="307"/>
      <c r="E115" s="775" t="s">
        <v>352</v>
      </c>
      <c r="F115" s="708"/>
      <c r="G115" s="706"/>
      <c r="H115" s="1819"/>
      <c r="I115" s="2193"/>
      <c r="J115" s="1813"/>
      <c r="K115" s="1813"/>
      <c r="L115" s="1814"/>
      <c r="M115" s="2005"/>
      <c r="N115" s="1982"/>
      <c r="O115" s="1813"/>
      <c r="P115" s="1813"/>
      <c r="Q115" s="1814"/>
    </row>
    <row r="116" spans="1:17" ht="17.25" customHeight="1" x14ac:dyDescent="0.25">
      <c r="A116" s="653"/>
      <c r="B116" s="631"/>
      <c r="C116" s="479"/>
      <c r="D116" s="46" t="s">
        <v>46</v>
      </c>
      <c r="E116" s="494" t="s">
        <v>376</v>
      </c>
      <c r="F116" s="638"/>
      <c r="G116" s="621"/>
      <c r="H116" s="1819"/>
      <c r="I116" s="2193"/>
      <c r="J116" s="1813"/>
      <c r="K116" s="1813"/>
      <c r="L116" s="1814"/>
      <c r="M116" s="2005"/>
      <c r="N116" s="1982"/>
      <c r="O116" s="1813"/>
      <c r="P116" s="1813"/>
      <c r="Q116" s="1814"/>
    </row>
    <row r="117" spans="1:17" ht="17.25" customHeight="1" x14ac:dyDescent="0.25">
      <c r="A117" s="763"/>
      <c r="B117" s="761"/>
      <c r="C117" s="455"/>
      <c r="D117" s="193" t="s">
        <v>180</v>
      </c>
      <c r="E117" s="99" t="s">
        <v>377</v>
      </c>
      <c r="F117" s="762"/>
      <c r="G117" s="760"/>
      <c r="H117" s="1820"/>
      <c r="I117" s="2194"/>
      <c r="J117" s="1821"/>
      <c r="K117" s="1821"/>
      <c r="L117" s="1815"/>
      <c r="M117" s="2006"/>
      <c r="N117" s="1982"/>
      <c r="O117" s="1821"/>
      <c r="P117" s="1813"/>
      <c r="Q117" s="1815"/>
    </row>
    <row r="118" spans="1:17" ht="17.25" customHeight="1" x14ac:dyDescent="0.25">
      <c r="A118" s="763"/>
      <c r="B118" s="761"/>
      <c r="C118" s="455"/>
      <c r="D118" s="776" t="s">
        <v>202</v>
      </c>
      <c r="E118" s="778" t="s">
        <v>302</v>
      </c>
      <c r="F118" s="762"/>
      <c r="G118" s="760"/>
      <c r="H118" s="23" t="s">
        <v>68</v>
      </c>
      <c r="I118" s="490">
        <v>17</v>
      </c>
      <c r="J118" s="236"/>
      <c r="K118" s="236"/>
      <c r="L118" s="433">
        <v>100</v>
      </c>
      <c r="M118" s="406" t="s">
        <v>161</v>
      </c>
      <c r="N118" s="525">
        <v>1</v>
      </c>
      <c r="O118" s="32"/>
      <c r="P118" s="237"/>
      <c r="Q118" s="524"/>
    </row>
    <row r="119" spans="1:17" ht="17.25" customHeight="1" x14ac:dyDescent="0.25">
      <c r="A119" s="653"/>
      <c r="B119" s="631"/>
      <c r="C119" s="455"/>
      <c r="D119" s="771"/>
      <c r="E119" s="777"/>
      <c r="F119" s="639"/>
      <c r="G119" s="656"/>
      <c r="H119" s="124"/>
      <c r="I119" s="38"/>
      <c r="J119" s="32"/>
      <c r="K119" s="214"/>
      <c r="L119" s="456"/>
      <c r="M119" s="657" t="s">
        <v>353</v>
      </c>
      <c r="N119" s="378"/>
      <c r="O119" s="203"/>
      <c r="P119" s="203"/>
      <c r="Q119" s="445">
        <v>5</v>
      </c>
    </row>
    <row r="120" spans="1:17" ht="27.65" customHeight="1" x14ac:dyDescent="0.25">
      <c r="A120" s="653"/>
      <c r="B120" s="631"/>
      <c r="C120" s="72"/>
      <c r="D120" s="635" t="s">
        <v>218</v>
      </c>
      <c r="E120" s="1766" t="s">
        <v>70</v>
      </c>
      <c r="F120" s="873" t="s">
        <v>418</v>
      </c>
      <c r="G120" s="659"/>
      <c r="H120" s="123" t="s">
        <v>68</v>
      </c>
      <c r="I120" s="37">
        <f>260.3+141</f>
        <v>401.3</v>
      </c>
      <c r="J120" s="226">
        <v>516.5</v>
      </c>
      <c r="K120" s="213">
        <v>516.5</v>
      </c>
      <c r="L120" s="215">
        <v>516.5</v>
      </c>
      <c r="M120" s="641" t="s">
        <v>137</v>
      </c>
      <c r="N120" s="496" t="s">
        <v>136</v>
      </c>
      <c r="O120" s="319" t="s">
        <v>303</v>
      </c>
      <c r="P120" s="332" t="s">
        <v>303</v>
      </c>
      <c r="Q120" s="147" t="s">
        <v>303</v>
      </c>
    </row>
    <row r="121" spans="1:17" ht="26.25" customHeight="1" x14ac:dyDescent="0.25">
      <c r="A121" s="653"/>
      <c r="B121" s="631"/>
      <c r="C121" s="72"/>
      <c r="D121" s="193"/>
      <c r="E121" s="1767"/>
      <c r="F121" s="638"/>
      <c r="G121" s="659"/>
      <c r="H121" s="20" t="s">
        <v>22</v>
      </c>
      <c r="I121" s="339">
        <v>751.5</v>
      </c>
      <c r="J121" s="32">
        <v>665.3</v>
      </c>
      <c r="K121" s="206">
        <v>665.3</v>
      </c>
      <c r="L121" s="19">
        <v>665.3</v>
      </c>
      <c r="M121" s="406" t="s">
        <v>35</v>
      </c>
      <c r="N121" s="497" t="s">
        <v>247</v>
      </c>
      <c r="O121" s="315" t="s">
        <v>203</v>
      </c>
      <c r="P121" s="333" t="s">
        <v>203</v>
      </c>
      <c r="Q121" s="136" t="s">
        <v>203</v>
      </c>
    </row>
    <row r="122" spans="1:17" ht="15.75" customHeight="1" x14ac:dyDescent="0.25">
      <c r="A122" s="653"/>
      <c r="B122" s="631"/>
      <c r="C122" s="72"/>
      <c r="D122" s="193"/>
      <c r="E122" s="1767"/>
      <c r="F122" s="638"/>
      <c r="G122" s="659"/>
      <c r="H122" s="20"/>
      <c r="I122" s="339"/>
      <c r="J122" s="32"/>
      <c r="K122" s="206"/>
      <c r="L122" s="19"/>
      <c r="M122" s="406" t="s">
        <v>54</v>
      </c>
      <c r="N122" s="497" t="s">
        <v>132</v>
      </c>
      <c r="O122" s="315" t="s">
        <v>132</v>
      </c>
      <c r="P122" s="333" t="s">
        <v>132</v>
      </c>
      <c r="Q122" s="136" t="s">
        <v>132</v>
      </c>
    </row>
    <row r="123" spans="1:17" ht="29.25" customHeight="1" x14ac:dyDescent="0.25">
      <c r="A123" s="653"/>
      <c r="B123" s="631"/>
      <c r="C123" s="72"/>
      <c r="D123" s="194"/>
      <c r="E123" s="2033"/>
      <c r="F123" s="639"/>
      <c r="G123" s="130"/>
      <c r="H123" s="22"/>
      <c r="I123" s="38"/>
      <c r="J123" s="43"/>
      <c r="K123" s="214"/>
      <c r="L123" s="44"/>
      <c r="M123" s="642" t="s">
        <v>150</v>
      </c>
      <c r="N123" s="347" t="s">
        <v>151</v>
      </c>
      <c r="O123" s="646"/>
      <c r="P123" s="194"/>
      <c r="Q123" s="148"/>
    </row>
    <row r="124" spans="1:17" ht="15" customHeight="1" x14ac:dyDescent="0.25">
      <c r="A124" s="1753"/>
      <c r="B124" s="1790"/>
      <c r="C124" s="1755"/>
      <c r="D124" s="640" t="s">
        <v>219</v>
      </c>
      <c r="E124" s="1714" t="s">
        <v>44</v>
      </c>
      <c r="F124" s="873" t="s">
        <v>418</v>
      </c>
      <c r="G124" s="130"/>
      <c r="H124" s="20" t="s">
        <v>22</v>
      </c>
      <c r="I124" s="339">
        <f>500-100</f>
        <v>400</v>
      </c>
      <c r="J124" s="32">
        <v>400</v>
      </c>
      <c r="K124" s="206">
        <v>400</v>
      </c>
      <c r="L124" s="19">
        <v>700</v>
      </c>
      <c r="M124" s="1957" t="s">
        <v>134</v>
      </c>
      <c r="N124" s="496" t="s">
        <v>133</v>
      </c>
      <c r="O124" s="319" t="s">
        <v>344</v>
      </c>
      <c r="P124" s="190" t="s">
        <v>344</v>
      </c>
      <c r="Q124" s="147" t="s">
        <v>202</v>
      </c>
    </row>
    <row r="125" spans="1:17" ht="14.25" customHeight="1" x14ac:dyDescent="0.25">
      <c r="A125" s="1753"/>
      <c r="B125" s="1790"/>
      <c r="C125" s="1755"/>
      <c r="D125" s="194"/>
      <c r="E125" s="1715"/>
      <c r="F125" s="639"/>
      <c r="G125" s="130"/>
      <c r="H125" s="85"/>
      <c r="I125" s="355"/>
      <c r="J125" s="235"/>
      <c r="K125" s="243"/>
      <c r="L125" s="223"/>
      <c r="M125" s="2001"/>
      <c r="N125" s="202"/>
      <c r="O125" s="43"/>
      <c r="P125" s="214"/>
      <c r="Q125" s="44"/>
    </row>
    <row r="126" spans="1:17" ht="15.75" customHeight="1" x14ac:dyDescent="0.25">
      <c r="A126" s="1753"/>
      <c r="B126" s="1790"/>
      <c r="C126" s="1755"/>
      <c r="D126" s="2148" t="s">
        <v>220</v>
      </c>
      <c r="E126" s="1823" t="s">
        <v>127</v>
      </c>
      <c r="F126" s="873" t="s">
        <v>418</v>
      </c>
      <c r="G126" s="62"/>
      <c r="H126" s="23" t="s">
        <v>68</v>
      </c>
      <c r="I126" s="490">
        <f>315.6+168.9</f>
        <v>484.5</v>
      </c>
      <c r="J126" s="226">
        <v>404</v>
      </c>
      <c r="K126" s="213">
        <v>404</v>
      </c>
      <c r="L126" s="215">
        <v>404</v>
      </c>
      <c r="M126" s="403" t="s">
        <v>138</v>
      </c>
      <c r="N126" s="498" t="s">
        <v>234</v>
      </c>
      <c r="O126" s="311" t="s">
        <v>346</v>
      </c>
      <c r="P126" s="46" t="s">
        <v>345</v>
      </c>
      <c r="Q126" s="147" t="s">
        <v>345</v>
      </c>
    </row>
    <row r="127" spans="1:17" ht="15" customHeight="1" x14ac:dyDescent="0.25">
      <c r="A127" s="1753"/>
      <c r="B127" s="1790"/>
      <c r="C127" s="1755"/>
      <c r="D127" s="2149"/>
      <c r="E127" s="2172"/>
      <c r="F127" s="880"/>
      <c r="G127" s="62"/>
      <c r="H127" s="20" t="s">
        <v>59</v>
      </c>
      <c r="I127" s="339">
        <v>79.3</v>
      </c>
      <c r="J127" s="206"/>
      <c r="K127" s="206"/>
      <c r="L127" s="432"/>
      <c r="M127" s="406" t="s">
        <v>135</v>
      </c>
      <c r="N127" s="498" t="s">
        <v>291</v>
      </c>
      <c r="O127" s="311" t="s">
        <v>234</v>
      </c>
      <c r="P127" s="308" t="s">
        <v>46</v>
      </c>
      <c r="Q127" s="610" t="s">
        <v>46</v>
      </c>
    </row>
    <row r="128" spans="1:17" ht="14.25" customHeight="1" x14ac:dyDescent="0.25">
      <c r="A128" s="1753"/>
      <c r="B128" s="1790"/>
      <c r="C128" s="1755"/>
      <c r="D128" s="2149"/>
      <c r="E128" s="2173"/>
      <c r="F128" s="880"/>
      <c r="G128" s="62"/>
      <c r="H128" s="20" t="s">
        <v>50</v>
      </c>
      <c r="I128" s="339">
        <v>112.6</v>
      </c>
      <c r="J128" s="32"/>
      <c r="K128" s="206"/>
      <c r="L128" s="19"/>
      <c r="M128" s="414"/>
      <c r="N128" s="499"/>
      <c r="O128" s="611"/>
      <c r="P128" s="500"/>
      <c r="Q128" s="458"/>
    </row>
    <row r="129" spans="1:17" ht="13.5" customHeight="1" x14ac:dyDescent="0.25">
      <c r="A129" s="1753"/>
      <c r="B129" s="1790"/>
      <c r="C129" s="1755"/>
      <c r="D129" s="2174"/>
      <c r="E129" s="122"/>
      <c r="F129" s="881"/>
      <c r="G129" s="62"/>
      <c r="H129" s="3" t="s">
        <v>22</v>
      </c>
      <c r="I129" s="457"/>
      <c r="J129" s="214">
        <f>190-80+64.1+26</f>
        <v>200.1</v>
      </c>
      <c r="K129" s="206">
        <v>190</v>
      </c>
      <c r="L129" s="19">
        <v>190</v>
      </c>
      <c r="M129" s="404"/>
      <c r="N129" s="459"/>
      <c r="O129" s="646"/>
      <c r="P129" s="194"/>
      <c r="Q129" s="460"/>
    </row>
    <row r="130" spans="1:17" ht="15.75" customHeight="1" x14ac:dyDescent="0.25">
      <c r="A130" s="653"/>
      <c r="B130" s="631"/>
      <c r="C130" s="662"/>
      <c r="D130" s="640" t="s">
        <v>221</v>
      </c>
      <c r="E130" s="1822" t="s">
        <v>69</v>
      </c>
      <c r="F130" s="638"/>
      <c r="G130" s="621"/>
      <c r="H130" s="123" t="s">
        <v>22</v>
      </c>
      <c r="I130" s="37">
        <f>209+88.8</f>
        <v>297.8</v>
      </c>
      <c r="J130" s="226">
        <v>40</v>
      </c>
      <c r="K130" s="213">
        <v>396</v>
      </c>
      <c r="L130" s="215">
        <v>543</v>
      </c>
      <c r="M130" s="1957" t="s">
        <v>89</v>
      </c>
      <c r="N130" s="359">
        <v>4</v>
      </c>
      <c r="O130" s="211">
        <v>1</v>
      </c>
      <c r="P130" s="564">
        <v>6</v>
      </c>
      <c r="Q130" s="140">
        <v>4</v>
      </c>
    </row>
    <row r="131" spans="1:17" ht="16.5" customHeight="1" x14ac:dyDescent="0.25">
      <c r="A131" s="653"/>
      <c r="B131" s="631"/>
      <c r="C131" s="662"/>
      <c r="D131" s="193"/>
      <c r="E131" s="1822"/>
      <c r="F131" s="638"/>
      <c r="G131" s="621"/>
      <c r="H131" s="124" t="s">
        <v>50</v>
      </c>
      <c r="I131" s="38">
        <v>8.1</v>
      </c>
      <c r="J131" s="43"/>
      <c r="K131" s="214"/>
      <c r="L131" s="44"/>
      <c r="M131" s="2001"/>
      <c r="N131" s="350"/>
      <c r="O131" s="197"/>
      <c r="P131" s="207"/>
      <c r="Q131" s="142"/>
    </row>
    <row r="132" spans="1:17" ht="15" customHeight="1" x14ac:dyDescent="0.25">
      <c r="A132" s="672"/>
      <c r="B132" s="631"/>
      <c r="C132" s="75"/>
      <c r="D132" s="635" t="s">
        <v>222</v>
      </c>
      <c r="E132" s="1714" t="s">
        <v>34</v>
      </c>
      <c r="F132" s="637"/>
      <c r="G132" s="131"/>
      <c r="H132" s="18" t="s">
        <v>68</v>
      </c>
      <c r="I132" s="339">
        <v>70</v>
      </c>
      <c r="J132" s="32">
        <v>110</v>
      </c>
      <c r="K132" s="206">
        <v>110</v>
      </c>
      <c r="L132" s="19">
        <v>110</v>
      </c>
      <c r="M132" s="1957" t="s">
        <v>126</v>
      </c>
      <c r="N132" s="359">
        <v>15</v>
      </c>
      <c r="O132" s="211">
        <v>15</v>
      </c>
      <c r="P132" s="564">
        <v>15</v>
      </c>
      <c r="Q132" s="140">
        <v>15</v>
      </c>
    </row>
    <row r="133" spans="1:17" ht="16.5" customHeight="1" x14ac:dyDescent="0.25">
      <c r="A133" s="672"/>
      <c r="B133" s="631"/>
      <c r="C133" s="75"/>
      <c r="D133" s="193"/>
      <c r="E133" s="1756"/>
      <c r="F133" s="638"/>
      <c r="G133" s="621"/>
      <c r="H133" s="20" t="s">
        <v>22</v>
      </c>
      <c r="I133" s="339">
        <v>93.7</v>
      </c>
      <c r="J133" s="32">
        <v>83.4</v>
      </c>
      <c r="K133" s="206">
        <v>83.4</v>
      </c>
      <c r="L133" s="19">
        <v>83.4</v>
      </c>
      <c r="M133" s="2001"/>
      <c r="N133" s="350"/>
      <c r="O133" s="197"/>
      <c r="P133" s="207"/>
      <c r="Q133" s="142"/>
    </row>
    <row r="134" spans="1:17" ht="17.25" customHeight="1" x14ac:dyDescent="0.25">
      <c r="A134" s="672"/>
      <c r="B134" s="631"/>
      <c r="C134" s="75"/>
      <c r="D134" s="2148" t="s">
        <v>223</v>
      </c>
      <c r="E134" s="2177" t="s">
        <v>228</v>
      </c>
      <c r="F134" s="92" t="s">
        <v>41</v>
      </c>
      <c r="G134" s="131"/>
      <c r="H134" s="95" t="s">
        <v>68</v>
      </c>
      <c r="I134" s="37">
        <v>13.8</v>
      </c>
      <c r="J134" s="226"/>
      <c r="K134" s="213"/>
      <c r="L134" s="215"/>
      <c r="N134" s="501">
        <v>1</v>
      </c>
      <c r="O134" s="312"/>
      <c r="P134" s="208"/>
      <c r="Q134" s="143"/>
    </row>
    <row r="135" spans="1:17" ht="26.25" customHeight="1" x14ac:dyDescent="0.25">
      <c r="A135" s="672"/>
      <c r="B135" s="631"/>
      <c r="C135" s="662"/>
      <c r="D135" s="2174"/>
      <c r="E135" s="2178"/>
      <c r="F135" s="639"/>
      <c r="G135" s="621"/>
      <c r="H135" s="96" t="s">
        <v>68</v>
      </c>
      <c r="I135" s="38"/>
      <c r="J135" s="43">
        <v>22.1</v>
      </c>
      <c r="K135" s="214"/>
      <c r="L135" s="44"/>
      <c r="M135" s="461" t="s">
        <v>123</v>
      </c>
      <c r="N135" s="350"/>
      <c r="O135" s="197">
        <v>100</v>
      </c>
      <c r="P135" s="207"/>
      <c r="Q135" s="142"/>
    </row>
    <row r="136" spans="1:17" ht="13.5" customHeight="1" x14ac:dyDescent="0.25">
      <c r="A136" s="672"/>
      <c r="B136" s="654"/>
      <c r="C136" s="71"/>
      <c r="D136" s="2148" t="s">
        <v>224</v>
      </c>
      <c r="E136" s="1714" t="s">
        <v>229</v>
      </c>
      <c r="F136" s="92" t="s">
        <v>41</v>
      </c>
      <c r="G136" s="105"/>
      <c r="H136" s="97" t="s">
        <v>59</v>
      </c>
      <c r="I136" s="37">
        <v>5</v>
      </c>
      <c r="J136" s="226"/>
      <c r="K136" s="213"/>
      <c r="L136" s="215"/>
      <c r="M136" s="400" t="s">
        <v>162</v>
      </c>
      <c r="N136" s="596">
        <v>1</v>
      </c>
      <c r="O136" s="597"/>
      <c r="P136" s="598"/>
      <c r="Q136" s="599"/>
    </row>
    <row r="137" spans="1:17" ht="25.5" customHeight="1" x14ac:dyDescent="0.25">
      <c r="A137" s="672"/>
      <c r="B137" s="654"/>
      <c r="C137" s="71"/>
      <c r="D137" s="2174"/>
      <c r="E137" s="1715"/>
      <c r="F137" s="168"/>
      <c r="G137" s="105"/>
      <c r="H137" s="98" t="s">
        <v>22</v>
      </c>
      <c r="I137" s="38"/>
      <c r="J137" s="43">
        <f>300-150</f>
        <v>150</v>
      </c>
      <c r="K137" s="214">
        <f>128+150</f>
        <v>278</v>
      </c>
      <c r="L137" s="44"/>
      <c r="M137" s="399" t="s">
        <v>163</v>
      </c>
      <c r="N137" s="566"/>
      <c r="O137" s="567">
        <v>35</v>
      </c>
      <c r="P137" s="203">
        <v>100</v>
      </c>
      <c r="Q137" s="568"/>
    </row>
    <row r="138" spans="1:17" ht="15.75" customHeight="1" x14ac:dyDescent="0.25">
      <c r="A138" s="672"/>
      <c r="B138" s="631"/>
      <c r="C138" s="662"/>
      <c r="D138" s="640" t="s">
        <v>278</v>
      </c>
      <c r="E138" s="629" t="s">
        <v>147</v>
      </c>
      <c r="F138" s="92" t="s">
        <v>41</v>
      </c>
      <c r="G138" s="621"/>
      <c r="H138" s="89" t="s">
        <v>68</v>
      </c>
      <c r="I138" s="490">
        <f>10.4-1.2</f>
        <v>9.1999999999999993</v>
      </c>
      <c r="J138" s="502"/>
      <c r="K138" s="236"/>
      <c r="L138" s="90"/>
      <c r="M138" s="401" t="s">
        <v>40</v>
      </c>
      <c r="N138" s="391">
        <v>3</v>
      </c>
      <c r="O138" s="196"/>
      <c r="P138" s="275"/>
      <c r="Q138" s="198"/>
    </row>
    <row r="139" spans="1:17" ht="26.25" customHeight="1" x14ac:dyDescent="0.25">
      <c r="A139" s="655"/>
      <c r="B139" s="633"/>
      <c r="C139" s="632"/>
      <c r="D139" s="634"/>
      <c r="E139" s="91" t="s">
        <v>305</v>
      </c>
      <c r="F139" s="1829"/>
      <c r="G139" s="88"/>
      <c r="H139" s="710" t="s">
        <v>68</v>
      </c>
      <c r="I139" s="340"/>
      <c r="J139" s="206"/>
      <c r="K139" s="236">
        <v>96.8</v>
      </c>
      <c r="L139" s="524"/>
      <c r="M139" s="401" t="s">
        <v>350</v>
      </c>
      <c r="N139" s="712"/>
      <c r="O139" s="713"/>
      <c r="P139" s="713">
        <v>100</v>
      </c>
      <c r="Q139" s="561"/>
    </row>
    <row r="140" spans="1:17" ht="27.5" customHeight="1" x14ac:dyDescent="0.25">
      <c r="A140" s="655"/>
      <c r="B140" s="633"/>
      <c r="C140" s="632"/>
      <c r="D140" s="634"/>
      <c r="E140" s="91" t="s">
        <v>306</v>
      </c>
      <c r="F140" s="1829"/>
      <c r="G140" s="88"/>
      <c r="H140" s="710" t="s">
        <v>68</v>
      </c>
      <c r="I140" s="680"/>
      <c r="J140" s="711"/>
      <c r="K140" s="711"/>
      <c r="L140" s="32">
        <v>151.30000000000001</v>
      </c>
      <c r="M140" s="401" t="s">
        <v>351</v>
      </c>
      <c r="N140" s="348"/>
      <c r="O140" s="463"/>
      <c r="P140" s="463"/>
      <c r="Q140" s="714">
        <v>100</v>
      </c>
    </row>
    <row r="141" spans="1:17" ht="17.25" customHeight="1" x14ac:dyDescent="0.25">
      <c r="A141" s="672"/>
      <c r="B141" s="654"/>
      <c r="C141" s="71"/>
      <c r="D141" s="2148" t="s">
        <v>289</v>
      </c>
      <c r="E141" s="1714" t="s">
        <v>164</v>
      </c>
      <c r="F141" s="92" t="s">
        <v>41</v>
      </c>
      <c r="G141" s="105"/>
      <c r="H141" s="97" t="s">
        <v>68</v>
      </c>
      <c r="I141" s="37">
        <f>20.6+1.2</f>
        <v>21.8</v>
      </c>
      <c r="J141" s="502"/>
      <c r="K141" s="502"/>
      <c r="L141" s="215"/>
      <c r="M141" s="402" t="s">
        <v>63</v>
      </c>
      <c r="N141" s="601">
        <v>1</v>
      </c>
      <c r="O141" s="356"/>
      <c r="P141" s="334"/>
      <c r="Q141" s="602"/>
    </row>
    <row r="142" spans="1:17" ht="31.25" customHeight="1" x14ac:dyDescent="0.25">
      <c r="A142" s="672"/>
      <c r="B142" s="654"/>
      <c r="C142" s="71"/>
      <c r="D142" s="2174"/>
      <c r="E142" s="1715"/>
      <c r="F142" s="168"/>
      <c r="G142" s="105"/>
      <c r="H142" s="600" t="s">
        <v>68</v>
      </c>
      <c r="I142" s="378"/>
      <c r="J142" s="43"/>
      <c r="K142" s="214"/>
      <c r="L142" s="438">
        <v>100</v>
      </c>
      <c r="M142" s="461" t="s">
        <v>262</v>
      </c>
      <c r="N142" s="350"/>
      <c r="O142" s="203"/>
      <c r="P142" s="203"/>
      <c r="Q142" s="142">
        <v>5</v>
      </c>
    </row>
    <row r="143" spans="1:17" ht="14.25" customHeight="1" x14ac:dyDescent="0.25">
      <c r="A143" s="672"/>
      <c r="B143" s="654"/>
      <c r="C143" s="71"/>
      <c r="D143" s="2148" t="s">
        <v>317</v>
      </c>
      <c r="E143" s="1714" t="s">
        <v>165</v>
      </c>
      <c r="F143" s="92"/>
      <c r="G143" s="105"/>
      <c r="H143" s="97" t="s">
        <v>68</v>
      </c>
      <c r="I143" s="37">
        <v>5.3</v>
      </c>
      <c r="J143" s="226">
        <v>5.3</v>
      </c>
      <c r="K143" s="213">
        <v>5.3</v>
      </c>
      <c r="L143" s="215">
        <v>5.3</v>
      </c>
      <c r="M143" s="623" t="s">
        <v>166</v>
      </c>
      <c r="N143" s="503">
        <v>10</v>
      </c>
      <c r="O143" s="356">
        <v>10</v>
      </c>
      <c r="P143" s="334">
        <v>10</v>
      </c>
      <c r="Q143" s="323">
        <v>10</v>
      </c>
    </row>
    <row r="144" spans="1:17" ht="15" customHeight="1" x14ac:dyDescent="0.25">
      <c r="A144" s="672"/>
      <c r="B144" s="654"/>
      <c r="C144" s="71"/>
      <c r="D144" s="2174"/>
      <c r="E144" s="1715"/>
      <c r="F144" s="168"/>
      <c r="G144" s="185"/>
      <c r="H144" s="98" t="s">
        <v>22</v>
      </c>
      <c r="I144" s="38">
        <v>1.1000000000000001</v>
      </c>
      <c r="J144" s="43"/>
      <c r="K144" s="214"/>
      <c r="L144" s="44"/>
      <c r="M144" s="399"/>
      <c r="N144" s="350"/>
      <c r="O144" s="197"/>
      <c r="P144" s="207"/>
      <c r="Q144" s="142"/>
    </row>
    <row r="145" spans="1:17" ht="15" customHeight="1" x14ac:dyDescent="0.25">
      <c r="A145" s="672"/>
      <c r="B145" s="654"/>
      <c r="C145" s="71"/>
      <c r="D145" s="640" t="s">
        <v>322</v>
      </c>
      <c r="E145" s="1714" t="s">
        <v>323</v>
      </c>
      <c r="F145" s="92" t="s">
        <v>41</v>
      </c>
      <c r="G145" s="2144" t="s">
        <v>194</v>
      </c>
      <c r="H145" s="534" t="s">
        <v>22</v>
      </c>
      <c r="I145" s="339"/>
      <c r="J145" s="32"/>
      <c r="K145" s="206">
        <v>100</v>
      </c>
      <c r="L145" s="19">
        <v>200</v>
      </c>
      <c r="M145" s="402" t="s">
        <v>324</v>
      </c>
      <c r="N145" s="349"/>
      <c r="O145" s="200"/>
      <c r="P145" s="209">
        <v>10</v>
      </c>
      <c r="Q145" s="141">
        <v>40</v>
      </c>
    </row>
    <row r="146" spans="1:17" ht="15" customHeight="1" x14ac:dyDescent="0.25">
      <c r="A146" s="672"/>
      <c r="B146" s="654"/>
      <c r="C146" s="71"/>
      <c r="D146" s="640"/>
      <c r="E146" s="1756"/>
      <c r="F146" s="554"/>
      <c r="G146" s="2136"/>
      <c r="H146" s="20" t="s">
        <v>50</v>
      </c>
      <c r="I146" s="339"/>
      <c r="J146" s="32"/>
      <c r="K146" s="206"/>
      <c r="L146" s="19"/>
      <c r="M146" s="408"/>
      <c r="N146" s="349"/>
      <c r="O146" s="200"/>
      <c r="P146" s="209"/>
      <c r="Q146" s="141"/>
    </row>
    <row r="147" spans="1:17" ht="15" customHeight="1" x14ac:dyDescent="0.25">
      <c r="A147" s="672"/>
      <c r="B147" s="654"/>
      <c r="C147" s="71"/>
      <c r="D147" s="640"/>
      <c r="E147" s="1715"/>
      <c r="F147" s="643"/>
      <c r="G147" s="2136"/>
      <c r="H147" s="96" t="s">
        <v>68</v>
      </c>
      <c r="I147" s="38"/>
      <c r="J147" s="214"/>
      <c r="K147" s="214">
        <v>100</v>
      </c>
      <c r="L147" s="19">
        <v>300</v>
      </c>
      <c r="M147" s="399"/>
      <c r="N147" s="681"/>
      <c r="O147" s="207"/>
      <c r="P147" s="207"/>
      <c r="Q147" s="545"/>
    </row>
    <row r="148" spans="1:17" ht="15" customHeight="1" x14ac:dyDescent="0.25">
      <c r="A148" s="672"/>
      <c r="B148" s="654"/>
      <c r="C148" s="71"/>
      <c r="D148" s="635" t="s">
        <v>326</v>
      </c>
      <c r="E148" s="1714" t="s">
        <v>325</v>
      </c>
      <c r="F148" s="92" t="s">
        <v>41</v>
      </c>
      <c r="G148" s="2136"/>
      <c r="H148" s="97" t="s">
        <v>22</v>
      </c>
      <c r="I148" s="339"/>
      <c r="J148" s="32"/>
      <c r="K148" s="206">
        <f>50-20</f>
        <v>30</v>
      </c>
      <c r="L148" s="522">
        <v>50</v>
      </c>
      <c r="M148" s="593" t="s">
        <v>63</v>
      </c>
      <c r="N148" s="501"/>
      <c r="O148" s="208"/>
      <c r="P148" s="209"/>
      <c r="Q148" s="141">
        <v>1</v>
      </c>
    </row>
    <row r="149" spans="1:17" ht="15" customHeight="1" x14ac:dyDescent="0.25">
      <c r="A149" s="672"/>
      <c r="B149" s="654"/>
      <c r="C149" s="71"/>
      <c r="D149" s="640"/>
      <c r="E149" s="1756"/>
      <c r="F149" s="554"/>
      <c r="G149" s="2136"/>
      <c r="H149" s="551"/>
      <c r="I149" s="339"/>
      <c r="J149" s="32"/>
      <c r="K149" s="206"/>
      <c r="L149" s="19"/>
      <c r="M149" s="398" t="s">
        <v>324</v>
      </c>
      <c r="N149" s="349"/>
      <c r="O149" s="200"/>
      <c r="P149" s="275"/>
      <c r="Q149" s="476">
        <v>100</v>
      </c>
    </row>
    <row r="150" spans="1:17" ht="15" customHeight="1" x14ac:dyDescent="0.25">
      <c r="A150" s="672"/>
      <c r="B150" s="654"/>
      <c r="C150" s="71"/>
      <c r="D150" s="636"/>
      <c r="E150" s="1715"/>
      <c r="F150" s="554"/>
      <c r="G150" s="2136"/>
      <c r="H150" s="96"/>
      <c r="I150" s="38"/>
      <c r="J150" s="43"/>
      <c r="K150" s="214"/>
      <c r="L150" s="44"/>
      <c r="M150" s="399"/>
      <c r="N150" s="350"/>
      <c r="O150" s="197"/>
      <c r="P150" s="207"/>
      <c r="Q150" s="142"/>
    </row>
    <row r="151" spans="1:17" ht="15" customHeight="1" x14ac:dyDescent="0.25">
      <c r="A151" s="672"/>
      <c r="B151" s="654"/>
      <c r="C151" s="71"/>
      <c r="D151" s="640" t="s">
        <v>327</v>
      </c>
      <c r="E151" s="1714" t="s">
        <v>358</v>
      </c>
      <c r="F151" s="92" t="s">
        <v>41</v>
      </c>
      <c r="G151" s="2136"/>
      <c r="H151" s="534" t="s">
        <v>22</v>
      </c>
      <c r="I151" s="339"/>
      <c r="J151" s="32">
        <v>5</v>
      </c>
      <c r="K151" s="206">
        <v>37.799999999999997</v>
      </c>
      <c r="L151" s="522">
        <v>357.2</v>
      </c>
      <c r="M151" s="398" t="s">
        <v>63</v>
      </c>
      <c r="N151" s="501"/>
      <c r="O151" s="200"/>
      <c r="P151" s="208">
        <v>1</v>
      </c>
      <c r="Q151" s="465"/>
    </row>
    <row r="152" spans="1:17" ht="15.75" customHeight="1" x14ac:dyDescent="0.25">
      <c r="A152" s="672"/>
      <c r="B152" s="654"/>
      <c r="C152" s="71"/>
      <c r="D152" s="640"/>
      <c r="E152" s="1756"/>
      <c r="F152" s="554"/>
      <c r="G152" s="2136"/>
      <c r="H152" s="551"/>
      <c r="I152" s="339"/>
      <c r="J152" s="32"/>
      <c r="K152" s="206"/>
      <c r="L152" s="19"/>
      <c r="M152" s="555" t="s">
        <v>324</v>
      </c>
      <c r="N152" s="349"/>
      <c r="O152" s="275"/>
      <c r="P152" s="209"/>
      <c r="Q152" s="141">
        <v>100</v>
      </c>
    </row>
    <row r="153" spans="1:17" ht="14.25" customHeight="1" x14ac:dyDescent="0.25">
      <c r="A153" s="672"/>
      <c r="B153" s="654"/>
      <c r="C153" s="71"/>
      <c r="D153" s="636"/>
      <c r="E153" s="1715"/>
      <c r="F153" s="554"/>
      <c r="G153" s="2136"/>
      <c r="H153" s="96"/>
      <c r="I153" s="38"/>
      <c r="J153" s="43"/>
      <c r="K153" s="214"/>
      <c r="L153" s="44"/>
      <c r="M153" s="399"/>
      <c r="N153" s="350"/>
      <c r="O153" s="197"/>
      <c r="P153" s="207"/>
      <c r="Q153" s="142"/>
    </row>
    <row r="154" spans="1:17" ht="17" customHeight="1" x14ac:dyDescent="0.25">
      <c r="A154" s="672"/>
      <c r="B154" s="654"/>
      <c r="C154" s="71"/>
      <c r="D154" s="212" t="s">
        <v>329</v>
      </c>
      <c r="E154" s="629" t="s">
        <v>328</v>
      </c>
      <c r="F154" s="92" t="s">
        <v>41</v>
      </c>
      <c r="G154" s="2145"/>
      <c r="H154" s="534" t="s">
        <v>22</v>
      </c>
      <c r="I154" s="344"/>
      <c r="J154" s="32">
        <v>5</v>
      </c>
      <c r="K154" s="206">
        <v>35</v>
      </c>
      <c r="L154" s="19"/>
      <c r="M154" s="572" t="s">
        <v>63</v>
      </c>
      <c r="N154" s="764"/>
      <c r="O154" s="204"/>
      <c r="P154" s="209">
        <v>1</v>
      </c>
      <c r="Q154" s="765"/>
    </row>
    <row r="155" spans="1:17" ht="39" customHeight="1" x14ac:dyDescent="0.25">
      <c r="A155" s="755"/>
      <c r="B155" s="758"/>
      <c r="C155" s="71"/>
      <c r="D155" s="759" t="s">
        <v>355</v>
      </c>
      <c r="E155" s="779" t="s">
        <v>370</v>
      </c>
      <c r="F155" s="822"/>
      <c r="G155" s="577"/>
      <c r="H155" s="97"/>
      <c r="I155" s="339"/>
      <c r="J155" s="502"/>
      <c r="K155" s="502"/>
      <c r="L155" s="522"/>
      <c r="M155" s="398"/>
      <c r="N155" s="501"/>
      <c r="O155" s="200"/>
      <c r="P155" s="564"/>
      <c r="Q155" s="465"/>
    </row>
    <row r="156" spans="1:17" ht="21" customHeight="1" x14ac:dyDescent="0.25">
      <c r="A156" s="755"/>
      <c r="B156" s="758"/>
      <c r="C156" s="71"/>
      <c r="D156" s="759"/>
      <c r="E156" s="1827" t="s">
        <v>371</v>
      </c>
      <c r="F156" s="823"/>
      <c r="G156" s="2182" t="s">
        <v>194</v>
      </c>
      <c r="H156" s="832" t="s">
        <v>50</v>
      </c>
      <c r="I156" s="490"/>
      <c r="J156" s="32">
        <v>35</v>
      </c>
      <c r="K156" s="817"/>
      <c r="L156" s="433"/>
      <c r="M156" s="555" t="s">
        <v>324</v>
      </c>
      <c r="N156" s="833"/>
      <c r="O156" s="275">
        <v>100</v>
      </c>
      <c r="P156" s="275"/>
      <c r="Q156" s="476"/>
    </row>
    <row r="157" spans="1:17" ht="21" customHeight="1" x14ac:dyDescent="0.25">
      <c r="A157" s="755"/>
      <c r="B157" s="758"/>
      <c r="C157" s="71"/>
      <c r="D157" s="759"/>
      <c r="E157" s="1828"/>
      <c r="F157" s="823"/>
      <c r="G157" s="2183"/>
      <c r="H157" s="834" t="s">
        <v>68</v>
      </c>
      <c r="I157" s="338"/>
      <c r="J157" s="32">
        <v>265</v>
      </c>
      <c r="K157" s="818"/>
      <c r="L157" s="19"/>
      <c r="M157" s="835"/>
      <c r="N157" s="526"/>
      <c r="O157" s="300"/>
      <c r="P157" s="209"/>
      <c r="Q157" s="589"/>
    </row>
    <row r="158" spans="1:17" ht="15.75" customHeight="1" x14ac:dyDescent="0.25">
      <c r="A158" s="766"/>
      <c r="B158" s="768"/>
      <c r="C158" s="71"/>
      <c r="D158" s="769"/>
      <c r="E158" s="1827" t="s">
        <v>372</v>
      </c>
      <c r="F158" s="823"/>
      <c r="G158" s="2182" t="s">
        <v>105</v>
      </c>
      <c r="H158" s="832" t="s">
        <v>68</v>
      </c>
      <c r="I158" s="820"/>
      <c r="J158" s="236">
        <v>24.2</v>
      </c>
      <c r="K158" s="817"/>
      <c r="L158" s="433"/>
      <c r="M158" s="555" t="s">
        <v>378</v>
      </c>
      <c r="N158" s="349"/>
      <c r="O158" s="200">
        <v>100</v>
      </c>
      <c r="P158" s="275"/>
      <c r="Q158" s="476"/>
    </row>
    <row r="159" spans="1:17" ht="15.75" customHeight="1" x14ac:dyDescent="0.25">
      <c r="A159" s="766"/>
      <c r="B159" s="768"/>
      <c r="C159" s="71"/>
      <c r="D159" s="769"/>
      <c r="E159" s="1756"/>
      <c r="F159" s="770"/>
      <c r="G159" s="2136"/>
      <c r="H159" s="834" t="s">
        <v>50</v>
      </c>
      <c r="I159" s="820"/>
      <c r="J159" s="818">
        <v>69.599999999999994</v>
      </c>
      <c r="K159" s="817"/>
      <c r="L159" s="819"/>
      <c r="M159" s="835"/>
      <c r="N159" s="349"/>
      <c r="O159" s="200"/>
      <c r="P159" s="300"/>
      <c r="Q159" s="836"/>
    </row>
    <row r="160" spans="1:17" ht="21" customHeight="1" x14ac:dyDescent="0.25">
      <c r="A160" s="766"/>
      <c r="B160" s="768"/>
      <c r="C160" s="71"/>
      <c r="D160" s="769"/>
      <c r="E160" s="1756"/>
      <c r="F160" s="770"/>
      <c r="G160" s="2182" t="s">
        <v>196</v>
      </c>
      <c r="H160" s="832" t="s">
        <v>50</v>
      </c>
      <c r="I160" s="490"/>
      <c r="J160" s="236">
        <v>8</v>
      </c>
      <c r="K160" s="236"/>
      <c r="L160" s="433"/>
      <c r="M160" s="555" t="s">
        <v>379</v>
      </c>
      <c r="N160" s="837"/>
      <c r="O160" s="275">
        <v>100</v>
      </c>
      <c r="P160" s="275"/>
      <c r="Q160" s="141"/>
    </row>
    <row r="161" spans="1:17" ht="21" customHeight="1" x14ac:dyDescent="0.25">
      <c r="A161" s="755"/>
      <c r="B161" s="758"/>
      <c r="C161" s="71"/>
      <c r="D161" s="759"/>
      <c r="E161" s="1715"/>
      <c r="F161" s="767"/>
      <c r="G161" s="2145"/>
      <c r="H161" s="534"/>
      <c r="I161" s="38"/>
      <c r="J161" s="214"/>
      <c r="K161" s="214"/>
      <c r="L161" s="456"/>
      <c r="M161" s="780"/>
      <c r="N161" s="681"/>
      <c r="O161" s="207"/>
      <c r="P161" s="207"/>
      <c r="Q161" s="545"/>
    </row>
    <row r="162" spans="1:17" ht="15" customHeight="1" x14ac:dyDescent="0.25">
      <c r="A162" s="672"/>
      <c r="B162" s="631"/>
      <c r="C162" s="71"/>
      <c r="D162" s="635" t="s">
        <v>369</v>
      </c>
      <c r="E162" s="705" t="s">
        <v>337</v>
      </c>
      <c r="F162" s="92" t="s">
        <v>41</v>
      </c>
      <c r="G162" s="756"/>
      <c r="H162" s="97" t="s">
        <v>22</v>
      </c>
      <c r="I162" s="37"/>
      <c r="J162" s="213"/>
      <c r="K162" s="213"/>
      <c r="L162" s="522"/>
      <c r="M162" s="398" t="s">
        <v>324</v>
      </c>
      <c r="N162" s="527"/>
      <c r="O162" s="564"/>
      <c r="P162" s="564"/>
      <c r="Q162" s="563"/>
    </row>
    <row r="163" spans="1:17" ht="15" customHeight="1" x14ac:dyDescent="0.25">
      <c r="A163" s="672"/>
      <c r="B163" s="631"/>
      <c r="C163" s="71"/>
      <c r="D163" s="640"/>
      <c r="E163" s="704"/>
      <c r="F163" s="554"/>
      <c r="G163" s="757"/>
      <c r="H163" s="534" t="s">
        <v>121</v>
      </c>
      <c r="I163" s="38"/>
      <c r="J163" s="32"/>
      <c r="K163" s="206"/>
      <c r="L163" s="19"/>
      <c r="M163" s="398"/>
      <c r="N163" s="349"/>
      <c r="O163" s="207"/>
      <c r="P163" s="209"/>
      <c r="Q163" s="545"/>
    </row>
    <row r="164" spans="1:17" ht="14.25" customHeight="1" thickBot="1" x14ac:dyDescent="0.3">
      <c r="A164" s="21"/>
      <c r="B164" s="104"/>
      <c r="C164" s="45"/>
      <c r="D164" s="73"/>
      <c r="E164" s="68"/>
      <c r="F164" s="514"/>
      <c r="G164" s="535"/>
      <c r="H164" s="518" t="s">
        <v>5</v>
      </c>
      <c r="I164" s="361">
        <f>SUM(I16:I163)</f>
        <v>24498.400000000001</v>
      </c>
      <c r="J164" s="337">
        <f>SUM(J16:J163)</f>
        <v>26497.8</v>
      </c>
      <c r="K164" s="337">
        <f>SUM(K16:K163)</f>
        <v>33614.6</v>
      </c>
      <c r="L164" s="523">
        <f>SUM(L16:L163)</f>
        <v>24278.3</v>
      </c>
      <c r="M164" s="536"/>
      <c r="N164" s="360"/>
      <c r="O164" s="288"/>
      <c r="P164" s="310"/>
      <c r="Q164" s="70"/>
    </row>
    <row r="165" spans="1:17" ht="14.25" customHeight="1" thickBot="1" x14ac:dyDescent="0.3">
      <c r="A165" s="24" t="s">
        <v>4</v>
      </c>
      <c r="B165" s="56" t="s">
        <v>4</v>
      </c>
      <c r="C165" s="1839" t="s">
        <v>7</v>
      </c>
      <c r="D165" s="1840"/>
      <c r="E165" s="1840"/>
      <c r="F165" s="1840"/>
      <c r="G165" s="1840"/>
      <c r="H165" s="1841"/>
      <c r="I165" s="362">
        <f t="shared" ref="I165:L165" si="0">I164</f>
        <v>24498.400000000001</v>
      </c>
      <c r="J165" s="25">
        <f>J164</f>
        <v>26497.8</v>
      </c>
      <c r="K165" s="25">
        <f t="shared" si="0"/>
        <v>33614.6</v>
      </c>
      <c r="L165" s="225">
        <f t="shared" si="0"/>
        <v>24278.3</v>
      </c>
      <c r="M165" s="622"/>
      <c r="N165" s="320"/>
      <c r="O165" s="363"/>
      <c r="P165" s="335"/>
      <c r="Q165" s="149"/>
    </row>
    <row r="166" spans="1:17" ht="14.25" customHeight="1" thickBot="1" x14ac:dyDescent="0.3">
      <c r="A166" s="24" t="s">
        <v>4</v>
      </c>
      <c r="B166" s="56" t="s">
        <v>6</v>
      </c>
      <c r="C166" s="1842" t="s">
        <v>28</v>
      </c>
      <c r="D166" s="1842"/>
      <c r="E166" s="1842"/>
      <c r="F166" s="1842"/>
      <c r="G166" s="1842"/>
      <c r="H166" s="1842"/>
      <c r="I166" s="1843"/>
      <c r="J166" s="1843"/>
      <c r="K166" s="1843"/>
      <c r="L166" s="1843"/>
      <c r="M166" s="1842"/>
      <c r="N166" s="1844"/>
      <c r="O166" s="1844"/>
      <c r="P166" s="1844"/>
      <c r="Q166" s="1845"/>
    </row>
    <row r="167" spans="1:17" ht="15.65" customHeight="1" x14ac:dyDescent="0.25">
      <c r="A167" s="121" t="s">
        <v>4</v>
      </c>
      <c r="B167" s="55" t="s">
        <v>6</v>
      </c>
      <c r="C167" s="69" t="s">
        <v>4</v>
      </c>
      <c r="D167" s="113"/>
      <c r="E167" s="35" t="s">
        <v>47</v>
      </c>
      <c r="F167" s="807" t="s">
        <v>205</v>
      </c>
      <c r="G167" s="76"/>
      <c r="H167" s="26"/>
      <c r="I167" s="367"/>
      <c r="J167" s="364"/>
      <c r="K167" s="249"/>
      <c r="L167" s="245"/>
      <c r="M167" s="420"/>
      <c r="N167" s="376"/>
      <c r="O167" s="83"/>
      <c r="P167" s="296"/>
      <c r="Q167" s="150"/>
    </row>
    <row r="168" spans="1:17" ht="18" customHeight="1" x14ac:dyDescent="0.25">
      <c r="A168" s="653"/>
      <c r="B168" s="654"/>
      <c r="C168" s="662"/>
      <c r="D168" s="640" t="s">
        <v>4</v>
      </c>
      <c r="E168" s="647" t="s">
        <v>43</v>
      </c>
      <c r="F168" s="848"/>
      <c r="G168" s="2136" t="s">
        <v>105</v>
      </c>
      <c r="H168" s="64"/>
      <c r="I168" s="368"/>
      <c r="J168" s="287"/>
      <c r="K168" s="250"/>
      <c r="L168" s="151"/>
      <c r="M168" s="464"/>
      <c r="O168" s="508"/>
      <c r="P168" s="508"/>
      <c r="Q168" s="509"/>
    </row>
    <row r="169" spans="1:17" ht="16.5" customHeight="1" x14ac:dyDescent="0.25">
      <c r="A169" s="653"/>
      <c r="B169" s="654"/>
      <c r="C169" s="662"/>
      <c r="D169" s="193"/>
      <c r="E169" s="1846" t="s">
        <v>279</v>
      </c>
      <c r="F169" s="823" t="s">
        <v>178</v>
      </c>
      <c r="G169" s="2170"/>
      <c r="H169" s="27" t="s">
        <v>22</v>
      </c>
      <c r="I169" s="339">
        <f>2861.6+194+10+57-399.3-116.3+116.3-10-371.9-6.5+399.3-88.9-112.1-180</f>
        <v>2353.1999999999998</v>
      </c>
      <c r="J169" s="32">
        <f>4900+62.4-434.6-17.9-405</f>
        <v>4104.8999999999996</v>
      </c>
      <c r="K169" s="206">
        <f>5048.4+62.4-60.9</f>
        <v>5049.8999999999996</v>
      </c>
      <c r="L169" s="19">
        <f>5333.4+62.4-279.1</f>
        <v>5116.7</v>
      </c>
      <c r="M169" s="406" t="s">
        <v>36</v>
      </c>
      <c r="N169" s="504">
        <v>5.3</v>
      </c>
      <c r="O169" s="228">
        <v>4</v>
      </c>
      <c r="P169" s="237">
        <v>4.8</v>
      </c>
      <c r="Q169" s="218">
        <v>5</v>
      </c>
    </row>
    <row r="170" spans="1:17" ht="16.5" customHeight="1" x14ac:dyDescent="0.25">
      <c r="A170" s="653"/>
      <c r="B170" s="654"/>
      <c r="C170" s="662"/>
      <c r="D170" s="193"/>
      <c r="E170" s="1846"/>
      <c r="F170" s="831"/>
      <c r="G170" s="2170"/>
      <c r="H170" s="27" t="s">
        <v>50</v>
      </c>
      <c r="I170" s="339">
        <f>2000-230</f>
        <v>1770</v>
      </c>
      <c r="J170" s="32">
        <v>422.9</v>
      </c>
      <c r="K170" s="206"/>
      <c r="L170" s="19"/>
      <c r="M170" s="421" t="s">
        <v>85</v>
      </c>
      <c r="N170" s="506">
        <v>2.4</v>
      </c>
      <c r="O170" s="32">
        <v>3</v>
      </c>
      <c r="P170" s="297">
        <v>3</v>
      </c>
      <c r="Q170" s="217">
        <v>3</v>
      </c>
    </row>
    <row r="171" spans="1:17" ht="24.75" customHeight="1" x14ac:dyDescent="0.25">
      <c r="A171" s="653"/>
      <c r="B171" s="654"/>
      <c r="C171" s="662"/>
      <c r="D171" s="193"/>
      <c r="E171" s="170" t="s">
        <v>280</v>
      </c>
      <c r="F171" s="628"/>
      <c r="G171" s="667"/>
      <c r="H171" s="27" t="s">
        <v>57</v>
      </c>
      <c r="I171" s="339">
        <f>201.6-120.7</f>
        <v>80.900000000000006</v>
      </c>
      <c r="J171" s="32">
        <f>165.6-102.4-33.3</f>
        <v>29.9</v>
      </c>
      <c r="K171" s="206">
        <f>160-100</f>
        <v>60</v>
      </c>
      <c r="L171" s="19">
        <f>160-100</f>
        <v>60</v>
      </c>
      <c r="M171" s="406" t="s">
        <v>148</v>
      </c>
      <c r="N171" s="505">
        <v>2</v>
      </c>
      <c r="O171" s="237">
        <v>2</v>
      </c>
      <c r="P171" s="237">
        <v>2</v>
      </c>
      <c r="Q171" s="682">
        <v>2</v>
      </c>
    </row>
    <row r="172" spans="1:17" ht="26.25" customHeight="1" x14ac:dyDescent="0.25">
      <c r="A172" s="653"/>
      <c r="B172" s="654"/>
      <c r="C172" s="662"/>
      <c r="D172" s="193"/>
      <c r="E172" s="60" t="s">
        <v>281</v>
      </c>
      <c r="F172" s="628"/>
      <c r="G172" s="667"/>
      <c r="H172" s="27"/>
      <c r="I172" s="339"/>
      <c r="J172" s="32"/>
      <c r="K172" s="206"/>
      <c r="L172" s="19"/>
      <c r="M172" s="421" t="s">
        <v>86</v>
      </c>
      <c r="N172" s="507" t="s">
        <v>284</v>
      </c>
      <c r="O172" s="227">
        <v>23</v>
      </c>
      <c r="P172" s="298">
        <v>23</v>
      </c>
      <c r="Q172" s="524">
        <v>23</v>
      </c>
    </row>
    <row r="173" spans="1:17" ht="26.25" customHeight="1" x14ac:dyDescent="0.25">
      <c r="A173" s="653"/>
      <c r="B173" s="654"/>
      <c r="C173" s="662"/>
      <c r="D173" s="193"/>
      <c r="E173" s="661" t="s">
        <v>282</v>
      </c>
      <c r="F173" s="628"/>
      <c r="G173" s="667"/>
      <c r="H173" s="27"/>
      <c r="I173" s="339"/>
      <c r="J173" s="32"/>
      <c r="K173" s="206"/>
      <c r="L173" s="19"/>
      <c r="M173" s="403" t="s">
        <v>145</v>
      </c>
      <c r="N173" s="349">
        <v>2</v>
      </c>
      <c r="O173" s="196">
        <v>3</v>
      </c>
      <c r="P173" s="275">
        <v>4</v>
      </c>
      <c r="Q173" s="141">
        <v>4</v>
      </c>
    </row>
    <row r="174" spans="1:17" ht="15.75" customHeight="1" x14ac:dyDescent="0.25">
      <c r="A174" s="653"/>
      <c r="B174" s="654"/>
      <c r="C174" s="662"/>
      <c r="D174" s="193"/>
      <c r="E174" s="1830" t="s">
        <v>283</v>
      </c>
      <c r="F174" s="628"/>
      <c r="G174" s="116"/>
      <c r="H174" s="27"/>
      <c r="I174" s="339"/>
      <c r="J174" s="32"/>
      <c r="K174" s="206"/>
      <c r="L174" s="19"/>
      <c r="M174" s="1958"/>
      <c r="N174" s="349"/>
      <c r="O174" s="209"/>
      <c r="P174" s="209"/>
      <c r="Q174" s="141"/>
    </row>
    <row r="175" spans="1:17" ht="26.25" customHeight="1" x14ac:dyDescent="0.25">
      <c r="A175" s="653"/>
      <c r="B175" s="654"/>
      <c r="C175" s="662"/>
      <c r="D175" s="194"/>
      <c r="E175" s="1808"/>
      <c r="F175" s="643"/>
      <c r="G175" s="116"/>
      <c r="H175" s="27"/>
      <c r="I175" s="369"/>
      <c r="J175" s="365"/>
      <c r="K175" s="251"/>
      <c r="L175" s="246"/>
      <c r="M175" s="2063"/>
      <c r="N175" s="349"/>
      <c r="O175" s="200"/>
      <c r="P175" s="209"/>
      <c r="Q175" s="141"/>
    </row>
    <row r="176" spans="1:17" ht="14.25" customHeight="1" x14ac:dyDescent="0.25">
      <c r="A176" s="653"/>
      <c r="B176" s="654"/>
      <c r="C176" s="662"/>
      <c r="D176" s="640" t="s">
        <v>6</v>
      </c>
      <c r="E176" s="188" t="s">
        <v>92</v>
      </c>
      <c r="F176" s="668"/>
      <c r="G176" s="2144" t="s">
        <v>105</v>
      </c>
      <c r="H176" s="29"/>
      <c r="I176" s="370"/>
      <c r="J176" s="366"/>
      <c r="K176" s="252"/>
      <c r="L176" s="247"/>
      <c r="M176" s="641"/>
      <c r="N176" s="416"/>
      <c r="O176" s="373"/>
      <c r="P176" s="299"/>
      <c r="Q176" s="289"/>
    </row>
    <row r="177" spans="1:17" ht="42.75" customHeight="1" x14ac:dyDescent="0.25">
      <c r="A177" s="653"/>
      <c r="B177" s="654"/>
      <c r="C177" s="662"/>
      <c r="D177" s="193"/>
      <c r="E177" s="189" t="s">
        <v>181</v>
      </c>
      <c r="F177" s="668"/>
      <c r="G177" s="2136"/>
      <c r="H177" s="42" t="s">
        <v>22</v>
      </c>
      <c r="I177" s="338"/>
      <c r="J177" s="227"/>
      <c r="K177" s="205"/>
      <c r="L177" s="216"/>
      <c r="M177" s="419" t="s">
        <v>91</v>
      </c>
      <c r="N177" s="394"/>
      <c r="O177" s="342"/>
      <c r="P177" s="300"/>
      <c r="Q177" s="290"/>
    </row>
    <row r="178" spans="1:17" ht="16.5" customHeight="1" x14ac:dyDescent="0.25">
      <c r="A178" s="653"/>
      <c r="B178" s="654"/>
      <c r="C178" s="662"/>
      <c r="D178" s="193"/>
      <c r="E178" s="1832" t="s">
        <v>243</v>
      </c>
      <c r="F178" s="668"/>
      <c r="G178" s="621"/>
      <c r="H178" s="23" t="s">
        <v>22</v>
      </c>
      <c r="I178" s="490">
        <v>1868.9</v>
      </c>
      <c r="J178" s="236">
        <v>938</v>
      </c>
      <c r="K178" s="236"/>
      <c r="L178" s="217"/>
      <c r="M178" s="649" t="s">
        <v>91</v>
      </c>
      <c r="N178" s="391">
        <v>58</v>
      </c>
      <c r="O178" s="196">
        <v>58</v>
      </c>
      <c r="P178" s="275"/>
      <c r="Q178" s="198"/>
    </row>
    <row r="179" spans="1:17" ht="16.5" customHeight="1" x14ac:dyDescent="0.25">
      <c r="A179" s="653"/>
      <c r="B179" s="654"/>
      <c r="C179" s="662"/>
      <c r="D179" s="193"/>
      <c r="E179" s="1833"/>
      <c r="F179" s="668"/>
      <c r="G179" s="621"/>
      <c r="H179" s="27" t="s">
        <v>50</v>
      </c>
      <c r="I179" s="339">
        <v>230</v>
      </c>
      <c r="J179" s="32"/>
      <c r="K179" s="206"/>
      <c r="L179" s="19"/>
      <c r="M179" s="670"/>
      <c r="N179" s="349"/>
      <c r="O179" s="200"/>
      <c r="P179" s="209"/>
      <c r="Q179" s="141"/>
    </row>
    <row r="180" spans="1:17" ht="16.5" customHeight="1" x14ac:dyDescent="0.25">
      <c r="A180" s="653"/>
      <c r="B180" s="654"/>
      <c r="C180" s="662"/>
      <c r="D180" s="193"/>
      <c r="E180" s="1834"/>
      <c r="F180" s="668"/>
      <c r="G180" s="621"/>
      <c r="H180" s="42" t="s">
        <v>57</v>
      </c>
      <c r="I180" s="338">
        <v>146</v>
      </c>
      <c r="J180" s="227"/>
      <c r="K180" s="205"/>
      <c r="L180" s="216"/>
      <c r="M180" s="419"/>
      <c r="N180" s="394"/>
      <c r="O180" s="342"/>
      <c r="P180" s="300"/>
      <c r="Q180" s="290"/>
    </row>
    <row r="181" spans="1:17" ht="27" customHeight="1" x14ac:dyDescent="0.25">
      <c r="A181" s="653"/>
      <c r="B181" s="654"/>
      <c r="C181" s="662"/>
      <c r="D181" s="193"/>
      <c r="E181" s="1835" t="s">
        <v>93</v>
      </c>
      <c r="F181" s="668"/>
      <c r="G181" s="621"/>
      <c r="H181" s="27" t="s">
        <v>22</v>
      </c>
      <c r="I181" s="339">
        <v>93.4</v>
      </c>
      <c r="J181" s="32">
        <v>93.4</v>
      </c>
      <c r="K181" s="206">
        <v>93.4</v>
      </c>
      <c r="L181" s="19">
        <v>93.4</v>
      </c>
      <c r="M181" s="670" t="s">
        <v>112</v>
      </c>
      <c r="N181" s="511">
        <v>18</v>
      </c>
      <c r="O181" s="374">
        <v>18</v>
      </c>
      <c r="P181" s="301">
        <v>18</v>
      </c>
      <c r="Q181" s="291">
        <v>18</v>
      </c>
    </row>
    <row r="182" spans="1:17" ht="14.25" customHeight="1" x14ac:dyDescent="0.25">
      <c r="A182" s="653"/>
      <c r="B182" s="654"/>
      <c r="C182" s="662"/>
      <c r="D182" s="193"/>
      <c r="E182" s="1836"/>
      <c r="F182" s="668"/>
      <c r="G182" s="621"/>
      <c r="H182" s="42"/>
      <c r="I182" s="338"/>
      <c r="J182" s="227"/>
      <c r="K182" s="205"/>
      <c r="L182" s="216"/>
      <c r="M182" s="674"/>
      <c r="N182" s="394"/>
      <c r="O182" s="342"/>
      <c r="P182" s="300"/>
      <c r="Q182" s="290"/>
    </row>
    <row r="183" spans="1:17" ht="16.5" customHeight="1" x14ac:dyDescent="0.25">
      <c r="A183" s="653"/>
      <c r="B183" s="654"/>
      <c r="C183" s="662"/>
      <c r="D183" s="193"/>
      <c r="E183" s="1837" t="s">
        <v>244</v>
      </c>
      <c r="F183" s="831" t="s">
        <v>178</v>
      </c>
      <c r="G183" s="821"/>
      <c r="H183" s="27" t="s">
        <v>22</v>
      </c>
      <c r="I183" s="339">
        <v>50.2</v>
      </c>
      <c r="J183" s="32">
        <v>70</v>
      </c>
      <c r="K183" s="206">
        <v>70</v>
      </c>
      <c r="L183" s="19">
        <v>70</v>
      </c>
      <c r="M183" s="1958" t="s">
        <v>359</v>
      </c>
      <c r="N183" s="349">
        <v>2</v>
      </c>
      <c r="O183" s="200">
        <v>2</v>
      </c>
      <c r="P183" s="209">
        <v>2</v>
      </c>
      <c r="Q183" s="141">
        <v>2</v>
      </c>
    </row>
    <row r="184" spans="1:17" ht="26.25" customHeight="1" x14ac:dyDescent="0.25">
      <c r="A184" s="653"/>
      <c r="B184" s="654"/>
      <c r="C184" s="662"/>
      <c r="D184" s="194"/>
      <c r="E184" s="1838"/>
      <c r="F184" s="668"/>
      <c r="G184" s="621"/>
      <c r="H184" s="28"/>
      <c r="I184" s="38"/>
      <c r="J184" s="43"/>
      <c r="K184" s="214"/>
      <c r="L184" s="44"/>
      <c r="M184" s="2001"/>
      <c r="N184" s="350"/>
      <c r="O184" s="197"/>
      <c r="P184" s="207"/>
      <c r="Q184" s="142"/>
    </row>
    <row r="185" spans="1:17" ht="18" customHeight="1" x14ac:dyDescent="0.25">
      <c r="A185" s="1753"/>
      <c r="B185" s="1790"/>
      <c r="C185" s="1755"/>
      <c r="D185" s="2149" t="s">
        <v>25</v>
      </c>
      <c r="E185" s="1775" t="s">
        <v>37</v>
      </c>
      <c r="F185" s="1856"/>
      <c r="G185" s="2144" t="s">
        <v>105</v>
      </c>
      <c r="H185" s="27" t="s">
        <v>22</v>
      </c>
      <c r="I185" s="339">
        <v>59.5</v>
      </c>
      <c r="J185" s="32">
        <v>59.5</v>
      </c>
      <c r="K185" s="206">
        <v>62</v>
      </c>
      <c r="L185" s="19">
        <v>65</v>
      </c>
      <c r="M185" s="2009" t="s">
        <v>45</v>
      </c>
      <c r="N185" s="2062">
        <v>7</v>
      </c>
      <c r="O185" s="2195" t="s">
        <v>204</v>
      </c>
      <c r="P185" s="2179" t="s">
        <v>204</v>
      </c>
      <c r="Q185" s="1853"/>
    </row>
    <row r="186" spans="1:17" ht="18" customHeight="1" x14ac:dyDescent="0.25">
      <c r="A186" s="1753"/>
      <c r="B186" s="1790"/>
      <c r="C186" s="1755"/>
      <c r="D186" s="2149"/>
      <c r="E186" s="1855"/>
      <c r="F186" s="1857"/>
      <c r="G186" s="2136"/>
      <c r="H186" s="28"/>
      <c r="I186" s="38"/>
      <c r="J186" s="43"/>
      <c r="K186" s="214"/>
      <c r="L186" s="44"/>
      <c r="M186" s="2010"/>
      <c r="N186" s="2061"/>
      <c r="O186" s="1850"/>
      <c r="P186" s="1852"/>
      <c r="Q186" s="1854"/>
    </row>
    <row r="187" spans="1:17" ht="18" customHeight="1" x14ac:dyDescent="0.25">
      <c r="A187" s="1753"/>
      <c r="B187" s="1754"/>
      <c r="C187" s="1755"/>
      <c r="D187" s="2148" t="s">
        <v>29</v>
      </c>
      <c r="E187" s="1858" t="s">
        <v>140</v>
      </c>
      <c r="F187" s="1856"/>
      <c r="G187" s="2144" t="s">
        <v>105</v>
      </c>
      <c r="H187" s="29" t="s">
        <v>22</v>
      </c>
      <c r="I187" s="37">
        <f>213.8-81.7+81.7-56.2-25.5</f>
        <v>132.1</v>
      </c>
      <c r="J187" s="226">
        <v>120</v>
      </c>
      <c r="K187" s="213">
        <v>120</v>
      </c>
      <c r="L187" s="215">
        <v>130</v>
      </c>
      <c r="M187" s="641" t="s">
        <v>97</v>
      </c>
      <c r="N187" s="359">
        <v>4</v>
      </c>
      <c r="O187" s="211">
        <v>4</v>
      </c>
      <c r="P187" s="564">
        <v>4</v>
      </c>
      <c r="Q187" s="465">
        <v>4</v>
      </c>
    </row>
    <row r="188" spans="1:17" ht="18.75" customHeight="1" x14ac:dyDescent="0.25">
      <c r="A188" s="1753"/>
      <c r="B188" s="1754"/>
      <c r="C188" s="1755"/>
      <c r="D188" s="2149"/>
      <c r="E188" s="1822"/>
      <c r="F188" s="1857"/>
      <c r="G188" s="2136"/>
      <c r="H188" s="27"/>
      <c r="I188" s="339"/>
      <c r="J188" s="32"/>
      <c r="K188" s="206"/>
      <c r="L188" s="19"/>
      <c r="M188" s="406" t="s">
        <v>263</v>
      </c>
      <c r="N188" s="395">
        <v>1</v>
      </c>
      <c r="O188" s="343">
        <v>1</v>
      </c>
      <c r="P188" s="302">
        <v>1</v>
      </c>
      <c r="Q188" s="153">
        <v>1</v>
      </c>
    </row>
    <row r="189" spans="1:17" ht="32" customHeight="1" x14ac:dyDescent="0.25">
      <c r="A189" s="653"/>
      <c r="B189" s="654"/>
      <c r="C189" s="662"/>
      <c r="D189" s="47"/>
      <c r="E189" s="647"/>
      <c r="F189" s="1857"/>
      <c r="G189" s="621"/>
      <c r="H189" s="27"/>
      <c r="I189" s="339"/>
      <c r="J189" s="32"/>
      <c r="K189" s="206"/>
      <c r="L189" s="19"/>
      <c r="M189" s="403" t="s">
        <v>264</v>
      </c>
      <c r="N189" s="391">
        <v>1</v>
      </c>
      <c r="O189" s="196">
        <v>1</v>
      </c>
      <c r="P189" s="302">
        <v>1</v>
      </c>
      <c r="Q189" s="467">
        <v>1</v>
      </c>
    </row>
    <row r="190" spans="1:17" ht="15.65" customHeight="1" x14ac:dyDescent="0.25">
      <c r="A190" s="653"/>
      <c r="B190" s="654"/>
      <c r="C190" s="662"/>
      <c r="D190" s="47"/>
      <c r="E190" s="647"/>
      <c r="F190" s="1859"/>
      <c r="G190" s="621"/>
      <c r="H190" s="28"/>
      <c r="I190" s="38"/>
      <c r="J190" s="43"/>
      <c r="K190" s="214"/>
      <c r="L190" s="44"/>
      <c r="M190" s="418" t="s">
        <v>265</v>
      </c>
      <c r="N190" s="444">
        <v>1</v>
      </c>
      <c r="O190" s="203">
        <v>1</v>
      </c>
      <c r="P190" s="203">
        <v>1</v>
      </c>
      <c r="Q190" s="466">
        <v>1</v>
      </c>
    </row>
    <row r="191" spans="1:17" ht="19.5" customHeight="1" x14ac:dyDescent="0.25">
      <c r="A191" s="1753"/>
      <c r="B191" s="1754"/>
      <c r="C191" s="1755"/>
      <c r="D191" s="2150" t="s">
        <v>30</v>
      </c>
      <c r="E191" s="1775" t="s">
        <v>80</v>
      </c>
      <c r="F191" s="1856" t="s">
        <v>144</v>
      </c>
      <c r="G191" s="2144" t="s">
        <v>105</v>
      </c>
      <c r="H191" s="27" t="s">
        <v>57</v>
      </c>
      <c r="I191" s="339">
        <v>188.7</v>
      </c>
      <c r="J191" s="32"/>
      <c r="K191" s="206"/>
      <c r="L191" s="19"/>
      <c r="M191" s="1958" t="s">
        <v>124</v>
      </c>
      <c r="N191" s="512">
        <v>100</v>
      </c>
      <c r="O191" s="371"/>
      <c r="P191" s="303"/>
      <c r="Q191" s="292"/>
    </row>
    <row r="192" spans="1:17" ht="20.25" customHeight="1" x14ac:dyDescent="0.25">
      <c r="A192" s="1753"/>
      <c r="B192" s="1754"/>
      <c r="C192" s="1755"/>
      <c r="D192" s="2151"/>
      <c r="E192" s="1855"/>
      <c r="F192" s="1859"/>
      <c r="G192" s="2136"/>
      <c r="H192" s="28"/>
      <c r="I192" s="38"/>
      <c r="J192" s="43"/>
      <c r="K192" s="214"/>
      <c r="L192" s="44"/>
      <c r="M192" s="2063"/>
      <c r="N192" s="683"/>
      <c r="O192" s="372"/>
      <c r="P192" s="304"/>
      <c r="Q192" s="293"/>
    </row>
    <row r="193" spans="1:17" ht="20.149999999999999" customHeight="1" x14ac:dyDescent="0.25">
      <c r="A193" s="672"/>
      <c r="B193" s="654"/>
      <c r="C193" s="72"/>
      <c r="D193" s="640" t="s">
        <v>31</v>
      </c>
      <c r="E193" s="1775" t="s">
        <v>230</v>
      </c>
      <c r="F193" s="176"/>
      <c r="G193" s="2144" t="s">
        <v>105</v>
      </c>
      <c r="H193" s="27" t="s">
        <v>57</v>
      </c>
      <c r="I193" s="339">
        <v>47</v>
      </c>
      <c r="J193" s="32"/>
      <c r="K193" s="206"/>
      <c r="L193" s="19"/>
      <c r="M193" s="1957" t="s">
        <v>158</v>
      </c>
      <c r="N193" s="359">
        <v>100</v>
      </c>
      <c r="O193" s="211">
        <v>100</v>
      </c>
      <c r="P193" s="564"/>
      <c r="Q193" s="140"/>
    </row>
    <row r="194" spans="1:17" ht="20.149999999999999" customHeight="1" x14ac:dyDescent="0.25">
      <c r="A194" s="672"/>
      <c r="B194" s="654"/>
      <c r="C194" s="72"/>
      <c r="D194" s="194"/>
      <c r="E194" s="1855"/>
      <c r="F194" s="176"/>
      <c r="G194" s="2145"/>
      <c r="H194" s="27" t="s">
        <v>59</v>
      </c>
      <c r="I194" s="38"/>
      <c r="J194" s="43">
        <v>34.9</v>
      </c>
      <c r="K194" s="214"/>
      <c r="L194" s="44"/>
      <c r="M194" s="2001"/>
      <c r="N194" s="350"/>
      <c r="O194" s="197"/>
      <c r="P194" s="207"/>
      <c r="Q194" s="142"/>
    </row>
    <row r="195" spans="1:17" ht="14.25" customHeight="1" x14ac:dyDescent="0.25">
      <c r="A195" s="655"/>
      <c r="B195" s="127"/>
      <c r="C195" s="632"/>
      <c r="D195" s="640" t="s">
        <v>32</v>
      </c>
      <c r="E195" s="1775" t="s">
        <v>78</v>
      </c>
      <c r="F195" s="1856" t="s">
        <v>118</v>
      </c>
      <c r="G195" s="2136" t="s">
        <v>233</v>
      </c>
      <c r="H195" s="123" t="s">
        <v>57</v>
      </c>
      <c r="I195" s="339">
        <v>52.7</v>
      </c>
      <c r="J195" s="32">
        <v>15.5</v>
      </c>
      <c r="K195" s="206"/>
      <c r="L195" s="19"/>
      <c r="M195" s="417" t="s">
        <v>125</v>
      </c>
      <c r="N195" s="375">
        <v>4</v>
      </c>
      <c r="O195" s="312"/>
      <c r="P195" s="208"/>
      <c r="Q195" s="143"/>
    </row>
    <row r="196" spans="1:17" ht="15.75" customHeight="1" x14ac:dyDescent="0.25">
      <c r="A196" s="672"/>
      <c r="B196" s="654"/>
      <c r="C196" s="72"/>
      <c r="D196" s="193"/>
      <c r="E196" s="1776"/>
      <c r="F196" s="1857"/>
      <c r="G196" s="2137"/>
      <c r="H196" s="27" t="s">
        <v>59</v>
      </c>
      <c r="I196" s="338"/>
      <c r="J196" s="32">
        <v>8.1999999999999993</v>
      </c>
      <c r="K196" s="206"/>
      <c r="L196" s="19"/>
      <c r="M196" s="657" t="s">
        <v>106</v>
      </c>
      <c r="N196" s="513">
        <v>7</v>
      </c>
      <c r="O196" s="200">
        <v>4</v>
      </c>
      <c r="P196" s="305"/>
      <c r="Q196" s="294"/>
    </row>
    <row r="197" spans="1:17" ht="27" customHeight="1" x14ac:dyDescent="0.25">
      <c r="A197" s="672"/>
      <c r="B197" s="654"/>
      <c r="C197" s="72"/>
      <c r="D197" s="194"/>
      <c r="E197" s="87"/>
      <c r="F197" s="830" t="s">
        <v>402</v>
      </c>
      <c r="G197" s="107" t="s">
        <v>105</v>
      </c>
      <c r="H197" s="84" t="s">
        <v>57</v>
      </c>
      <c r="I197" s="378"/>
      <c r="J197" s="612"/>
      <c r="K197" s="253">
        <v>50.4</v>
      </c>
      <c r="L197" s="248">
        <v>50.4</v>
      </c>
      <c r="M197" s="410" t="s">
        <v>79</v>
      </c>
      <c r="N197" s="422"/>
      <c r="O197" s="613"/>
      <c r="P197" s="306">
        <v>7</v>
      </c>
      <c r="Q197" s="152">
        <v>7</v>
      </c>
    </row>
    <row r="198" spans="1:17" ht="27" customHeight="1" x14ac:dyDescent="0.25">
      <c r="A198" s="655"/>
      <c r="B198" s="127"/>
      <c r="C198" s="468"/>
      <c r="D198" s="635" t="s">
        <v>101</v>
      </c>
      <c r="E198" s="1775" t="s">
        <v>128</v>
      </c>
      <c r="F198" s="627" t="s">
        <v>41</v>
      </c>
      <c r="G198" s="2144" t="s">
        <v>194</v>
      </c>
      <c r="H198" s="171" t="s">
        <v>57</v>
      </c>
      <c r="I198" s="37">
        <f>37+65.5</f>
        <v>102.5</v>
      </c>
      <c r="J198" s="226"/>
      <c r="K198" s="213">
        <v>20</v>
      </c>
      <c r="L198" s="215"/>
      <c r="M198" s="417" t="s">
        <v>40</v>
      </c>
      <c r="N198" s="594" t="s">
        <v>46</v>
      </c>
      <c r="O198" s="676"/>
      <c r="P198" s="594" t="s">
        <v>203</v>
      </c>
      <c r="Q198" s="595"/>
    </row>
    <row r="199" spans="1:17" ht="18" customHeight="1" x14ac:dyDescent="0.25">
      <c r="A199" s="65"/>
      <c r="B199" s="127"/>
      <c r="C199" s="106"/>
      <c r="D199" s="193"/>
      <c r="E199" s="1765"/>
      <c r="F199" s="628"/>
      <c r="G199" s="2146"/>
      <c r="H199" s="172" t="s">
        <v>50</v>
      </c>
      <c r="I199" s="339">
        <v>1.8</v>
      </c>
      <c r="J199" s="206"/>
      <c r="K199" s="206"/>
      <c r="L199" s="432"/>
      <c r="M199" s="1989" t="s">
        <v>172</v>
      </c>
      <c r="N199" s="560" t="s">
        <v>180</v>
      </c>
      <c r="O199" s="677"/>
      <c r="P199" s="614"/>
      <c r="Q199" s="458"/>
    </row>
    <row r="200" spans="1:17" ht="18" customHeight="1" x14ac:dyDescent="0.25">
      <c r="A200" s="65"/>
      <c r="B200" s="127"/>
      <c r="C200" s="106"/>
      <c r="D200" s="193"/>
      <c r="E200" s="1765"/>
      <c r="F200" s="628"/>
      <c r="G200" s="2146"/>
      <c r="H200" s="27" t="s">
        <v>59</v>
      </c>
      <c r="I200" s="339"/>
      <c r="J200" s="32">
        <v>5.3</v>
      </c>
      <c r="K200" s="206"/>
      <c r="L200" s="19"/>
      <c r="M200" s="2135"/>
      <c r="N200" s="510"/>
      <c r="O200" s="311"/>
      <c r="P200" s="308"/>
      <c r="Q200" s="184"/>
    </row>
    <row r="201" spans="1:17" ht="29.25" customHeight="1" x14ac:dyDescent="0.25">
      <c r="A201" s="65"/>
      <c r="B201" s="127"/>
      <c r="C201" s="106"/>
      <c r="D201" s="194"/>
      <c r="E201" s="101" t="s">
        <v>285</v>
      </c>
      <c r="F201" s="643"/>
      <c r="G201" s="2147"/>
      <c r="H201" s="173"/>
      <c r="I201" s="38"/>
      <c r="J201" s="43"/>
      <c r="K201" s="214"/>
      <c r="L201" s="44"/>
      <c r="M201" s="418" t="s">
        <v>129</v>
      </c>
      <c r="N201" s="540"/>
      <c r="O201" s="379" t="s">
        <v>46</v>
      </c>
      <c r="P201" s="309"/>
      <c r="Q201" s="295"/>
    </row>
    <row r="202" spans="1:17" ht="28.25" customHeight="1" x14ac:dyDescent="0.25">
      <c r="A202" s="653"/>
      <c r="B202" s="654"/>
      <c r="C202" s="662"/>
      <c r="D202" s="129" t="s">
        <v>182</v>
      </c>
      <c r="E202" s="1756" t="s">
        <v>186</v>
      </c>
      <c r="F202" s="827" t="s">
        <v>403</v>
      </c>
      <c r="G202" s="1908" t="s">
        <v>105</v>
      </c>
      <c r="H202" s="27" t="s">
        <v>22</v>
      </c>
      <c r="I202" s="339"/>
      <c r="J202" s="32"/>
      <c r="K202" s="206"/>
      <c r="L202" s="19"/>
      <c r="M202" s="657" t="s">
        <v>185</v>
      </c>
      <c r="N202" s="349">
        <v>1</v>
      </c>
      <c r="O202" s="200"/>
      <c r="P202" s="208"/>
      <c r="Q202" s="141"/>
    </row>
    <row r="203" spans="1:17" ht="29.75" customHeight="1" x14ac:dyDescent="0.25">
      <c r="A203" s="653"/>
      <c r="B203" s="654"/>
      <c r="C203" s="662"/>
      <c r="D203" s="192"/>
      <c r="E203" s="1715"/>
      <c r="F203" s="825" t="s">
        <v>153</v>
      </c>
      <c r="G203" s="2145"/>
      <c r="H203" s="28"/>
      <c r="I203" s="38"/>
      <c r="J203" s="43"/>
      <c r="K203" s="214"/>
      <c r="L203" s="44"/>
      <c r="M203" s="418" t="s">
        <v>266</v>
      </c>
      <c r="N203" s="444"/>
      <c r="O203" s="309">
        <v>4</v>
      </c>
      <c r="P203" s="194">
        <v>4</v>
      </c>
      <c r="Q203" s="445"/>
    </row>
    <row r="204" spans="1:17" ht="15" customHeight="1" x14ac:dyDescent="0.25">
      <c r="A204" s="653"/>
      <c r="B204" s="654"/>
      <c r="C204" s="662"/>
      <c r="D204" s="129" t="s">
        <v>100</v>
      </c>
      <c r="E204" s="1756" t="s">
        <v>239</v>
      </c>
      <c r="F204" s="627"/>
      <c r="G204" s="2144" t="s">
        <v>52</v>
      </c>
      <c r="H204" s="27" t="s">
        <v>22</v>
      </c>
      <c r="I204" s="339">
        <v>335.3</v>
      </c>
      <c r="J204" s="32"/>
      <c r="K204" s="206"/>
      <c r="L204" s="19"/>
      <c r="M204" s="1957" t="s">
        <v>236</v>
      </c>
      <c r="N204" s="359">
        <v>1</v>
      </c>
      <c r="O204" s="211"/>
      <c r="P204" s="564"/>
      <c r="Q204" s="140"/>
    </row>
    <row r="205" spans="1:17" ht="36.75" customHeight="1" x14ac:dyDescent="0.25">
      <c r="A205" s="653"/>
      <c r="B205" s="654"/>
      <c r="C205" s="662"/>
      <c r="D205" s="192"/>
      <c r="E205" s="1715"/>
      <c r="F205" s="643"/>
      <c r="G205" s="2145"/>
      <c r="H205" s="28"/>
      <c r="I205" s="38"/>
      <c r="J205" s="43"/>
      <c r="K205" s="214"/>
      <c r="L205" s="44"/>
      <c r="M205" s="2001"/>
      <c r="N205" s="684"/>
      <c r="O205" s="516"/>
      <c r="P205" s="305"/>
      <c r="Q205" s="517"/>
    </row>
    <row r="206" spans="1:17" ht="17.75" customHeight="1" x14ac:dyDescent="0.25">
      <c r="A206" s="653"/>
      <c r="B206" s="654"/>
      <c r="C206" s="75"/>
      <c r="D206" s="2150" t="s">
        <v>187</v>
      </c>
      <c r="E206" s="1714" t="s">
        <v>307</v>
      </c>
      <c r="F206" s="182" t="s">
        <v>417</v>
      </c>
      <c r="G206" s="2144" t="s">
        <v>105</v>
      </c>
      <c r="H206" s="27" t="s">
        <v>57</v>
      </c>
      <c r="I206" s="339"/>
      <c r="J206" s="213">
        <v>60</v>
      </c>
      <c r="K206" s="206">
        <v>300</v>
      </c>
      <c r="L206" s="522"/>
      <c r="M206" s="412" t="s">
        <v>331</v>
      </c>
      <c r="N206" s="685"/>
      <c r="O206" s="519">
        <v>1</v>
      </c>
      <c r="P206" s="520"/>
      <c r="Q206" s="521"/>
    </row>
    <row r="207" spans="1:17" ht="17.75" customHeight="1" x14ac:dyDescent="0.25">
      <c r="A207" s="653"/>
      <c r="B207" s="654"/>
      <c r="C207" s="75"/>
      <c r="D207" s="2151"/>
      <c r="E207" s="1715"/>
      <c r="F207" s="871" t="s">
        <v>41</v>
      </c>
      <c r="G207" s="2145"/>
      <c r="H207" s="28"/>
      <c r="I207" s="38"/>
      <c r="J207" s="43"/>
      <c r="K207" s="214"/>
      <c r="L207" s="44"/>
      <c r="M207" s="410" t="s">
        <v>308</v>
      </c>
      <c r="N207" s="686"/>
      <c r="O207" s="306"/>
      <c r="P207" s="306">
        <v>100</v>
      </c>
      <c r="Q207" s="556"/>
    </row>
    <row r="208" spans="1:17" ht="15" customHeight="1" x14ac:dyDescent="0.25">
      <c r="A208" s="653"/>
      <c r="B208" s="654"/>
      <c r="C208" s="662"/>
      <c r="D208" s="635" t="s">
        <v>188</v>
      </c>
      <c r="E208" s="663" t="s">
        <v>330</v>
      </c>
      <c r="F208" s="182" t="s">
        <v>417</v>
      </c>
      <c r="G208" s="2144" t="s">
        <v>195</v>
      </c>
      <c r="H208" s="27" t="s">
        <v>57</v>
      </c>
      <c r="I208" s="339"/>
      <c r="J208" s="32"/>
      <c r="K208" s="206">
        <f>2250-1125</f>
        <v>1125</v>
      </c>
      <c r="L208" s="19">
        <v>1125</v>
      </c>
      <c r="M208" s="624" t="s">
        <v>332</v>
      </c>
      <c r="N208" s="687"/>
      <c r="O208" s="558"/>
      <c r="P208" s="558">
        <v>10</v>
      </c>
      <c r="Q208" s="294"/>
    </row>
    <row r="209" spans="1:17" ht="17.75" customHeight="1" x14ac:dyDescent="0.25">
      <c r="A209" s="653"/>
      <c r="B209" s="654"/>
      <c r="C209" s="662"/>
      <c r="D209" s="640"/>
      <c r="E209" s="557"/>
      <c r="F209" s="870" t="s">
        <v>41</v>
      </c>
      <c r="G209" s="2136"/>
      <c r="H209" s="27" t="s">
        <v>38</v>
      </c>
      <c r="I209" s="339"/>
      <c r="J209" s="32"/>
      <c r="K209" s="206">
        <f>2750-1375</f>
        <v>1375</v>
      </c>
      <c r="L209" s="19">
        <v>1375</v>
      </c>
      <c r="M209" s="624"/>
      <c r="N209" s="688"/>
      <c r="O209" s="305"/>
      <c r="P209" s="305"/>
      <c r="Q209" s="294"/>
    </row>
    <row r="210" spans="1:17" ht="17.75" customHeight="1" x14ac:dyDescent="0.25">
      <c r="A210" s="653"/>
      <c r="B210" s="654"/>
      <c r="C210" s="662"/>
      <c r="D210" s="636"/>
      <c r="E210" s="664"/>
      <c r="F210" s="873" t="s">
        <v>418</v>
      </c>
      <c r="G210" s="219"/>
      <c r="H210" s="27"/>
      <c r="I210" s="339"/>
      <c r="J210" s="32"/>
      <c r="K210" s="206"/>
      <c r="L210" s="19"/>
      <c r="M210" s="624"/>
      <c r="N210" s="689"/>
      <c r="O210" s="516"/>
      <c r="P210" s="516"/>
      <c r="Q210" s="294"/>
    </row>
    <row r="211" spans="1:17" ht="18" customHeight="1" thickBot="1" x14ac:dyDescent="0.3">
      <c r="A211" s="103"/>
      <c r="B211" s="54"/>
      <c r="C211" s="67"/>
      <c r="D211" s="100"/>
      <c r="E211" s="68"/>
      <c r="F211" s="514"/>
      <c r="G211" s="535"/>
      <c r="H211" s="518" t="s">
        <v>5</v>
      </c>
      <c r="I211" s="515">
        <f>SUM(I168:I210)</f>
        <v>7512.2</v>
      </c>
      <c r="J211" s="337">
        <f>SUM(J168:J210)</f>
        <v>5962.5</v>
      </c>
      <c r="K211" s="337">
        <f>SUM(K168:K210)</f>
        <v>8325.7000000000007</v>
      </c>
      <c r="L211" s="523">
        <f>SUM(L168:L210)</f>
        <v>8085.5</v>
      </c>
      <c r="M211" s="536"/>
      <c r="N211" s="288"/>
      <c r="O211" s="288"/>
      <c r="P211" s="288"/>
      <c r="Q211" s="70"/>
    </row>
    <row r="212" spans="1:17" ht="14.25" customHeight="1" thickBot="1" x14ac:dyDescent="0.3">
      <c r="A212" s="30" t="s">
        <v>4</v>
      </c>
      <c r="B212" s="56" t="s">
        <v>6</v>
      </c>
      <c r="C212" s="1839" t="s">
        <v>7</v>
      </c>
      <c r="D212" s="1840"/>
      <c r="E212" s="1840"/>
      <c r="F212" s="1840"/>
      <c r="G212" s="1840"/>
      <c r="H212" s="1840"/>
      <c r="I212" s="362">
        <f>I211</f>
        <v>7512.2</v>
      </c>
      <c r="J212" s="377">
        <f t="shared" ref="J212:L212" si="1">J211</f>
        <v>5962.5</v>
      </c>
      <c r="K212" s="25">
        <f t="shared" si="1"/>
        <v>8325.7000000000007</v>
      </c>
      <c r="L212" s="225">
        <f t="shared" si="1"/>
        <v>8085.5</v>
      </c>
      <c r="M212" s="1862"/>
      <c r="N212" s="1863"/>
      <c r="O212" s="1863"/>
      <c r="P212" s="1863"/>
      <c r="Q212" s="1864"/>
    </row>
    <row r="213" spans="1:17" ht="18" customHeight="1" thickBot="1" x14ac:dyDescent="0.3">
      <c r="A213" s="24" t="s">
        <v>4</v>
      </c>
      <c r="B213" s="56" t="s">
        <v>25</v>
      </c>
      <c r="C213" s="1844" t="s">
        <v>75</v>
      </c>
      <c r="D213" s="1865"/>
      <c r="E213" s="1865"/>
      <c r="F213" s="1865"/>
      <c r="G213" s="1865"/>
      <c r="H213" s="1865"/>
      <c r="I213" s="1865"/>
      <c r="J213" s="1865"/>
      <c r="K213" s="1865"/>
      <c r="L213" s="1865"/>
      <c r="M213" s="1865"/>
      <c r="N213" s="1865"/>
      <c r="O213" s="1865"/>
      <c r="P213" s="1865"/>
      <c r="Q213" s="1866"/>
    </row>
    <row r="214" spans="1:17" ht="27" customHeight="1" x14ac:dyDescent="0.25">
      <c r="A214" s="121" t="s">
        <v>4</v>
      </c>
      <c r="B214" s="55" t="s">
        <v>25</v>
      </c>
      <c r="C214" s="69" t="s">
        <v>4</v>
      </c>
      <c r="D214" s="126"/>
      <c r="E214" s="49" t="s">
        <v>73</v>
      </c>
      <c r="F214" s="129" t="s">
        <v>118</v>
      </c>
      <c r="G214" s="50"/>
      <c r="H214" s="31"/>
      <c r="I214" s="39"/>
      <c r="J214" s="380"/>
      <c r="K214" s="261"/>
      <c r="L214" s="254"/>
      <c r="M214" s="423"/>
      <c r="N214" s="254"/>
      <c r="O214" s="380"/>
      <c r="P214" s="261"/>
      <c r="Q214" s="272"/>
    </row>
    <row r="215" spans="1:17" ht="40.25" customHeight="1" x14ac:dyDescent="0.25">
      <c r="A215" s="653"/>
      <c r="B215" s="654"/>
      <c r="C215" s="662"/>
      <c r="D215" s="635" t="s">
        <v>4</v>
      </c>
      <c r="E215" s="1714" t="s">
        <v>71</v>
      </c>
      <c r="F215" s="822" t="s">
        <v>205</v>
      </c>
      <c r="G215" s="620" t="s">
        <v>196</v>
      </c>
      <c r="H215" s="528" t="s">
        <v>57</v>
      </c>
      <c r="I215" s="529">
        <v>9.6999999999999993</v>
      </c>
      <c r="J215" s="90"/>
      <c r="K215" s="236"/>
      <c r="L215" s="530"/>
      <c r="M215" s="417" t="s">
        <v>139</v>
      </c>
      <c r="N215" s="501">
        <v>60</v>
      </c>
      <c r="O215" s="564"/>
      <c r="P215" s="275"/>
      <c r="Q215" s="198"/>
    </row>
    <row r="216" spans="1:17" ht="15" customHeight="1" x14ac:dyDescent="0.25">
      <c r="A216" s="653"/>
      <c r="B216" s="654"/>
      <c r="C216" s="662"/>
      <c r="D216" s="640"/>
      <c r="E216" s="1756"/>
      <c r="F216" s="671"/>
      <c r="G216" s="2182" t="s">
        <v>105</v>
      </c>
      <c r="H216" s="20" t="s">
        <v>57</v>
      </c>
      <c r="I216" s="339">
        <f>194.7-30+9.7+26.4-9.7+8.9</f>
        <v>200</v>
      </c>
      <c r="J216" s="236">
        <v>349.1</v>
      </c>
      <c r="K216" s="236">
        <v>430</v>
      </c>
      <c r="L216" s="19">
        <v>450</v>
      </c>
      <c r="M216" s="624" t="s">
        <v>76</v>
      </c>
      <c r="N216" s="340">
        <v>14.5</v>
      </c>
      <c r="O216" s="237">
        <v>15.3</v>
      </c>
      <c r="P216" s="237">
        <v>15.3</v>
      </c>
      <c r="Q216" s="524">
        <v>15.3</v>
      </c>
    </row>
    <row r="217" spans="1:17" ht="15" customHeight="1" x14ac:dyDescent="0.25">
      <c r="A217" s="653"/>
      <c r="B217" s="654"/>
      <c r="C217" s="662"/>
      <c r="D217" s="640"/>
      <c r="E217" s="1756"/>
      <c r="F217" s="671"/>
      <c r="G217" s="2136"/>
      <c r="H217" s="20" t="s">
        <v>22</v>
      </c>
      <c r="I217" s="339">
        <v>206.7</v>
      </c>
      <c r="J217" s="32">
        <v>207.6</v>
      </c>
      <c r="K217" s="206">
        <f>55.9+75.2</f>
        <v>131.1</v>
      </c>
      <c r="L217" s="19">
        <f>55.9+75.2</f>
        <v>131.1</v>
      </c>
      <c r="M217" s="424" t="s">
        <v>139</v>
      </c>
      <c r="N217" s="358"/>
      <c r="O217" s="237">
        <v>20</v>
      </c>
      <c r="P217" s="206">
        <v>20</v>
      </c>
      <c r="Q217" s="524">
        <v>20</v>
      </c>
    </row>
    <row r="218" spans="1:17" ht="27.65" customHeight="1" x14ac:dyDescent="0.25">
      <c r="A218" s="653"/>
      <c r="B218" s="654"/>
      <c r="C218" s="662"/>
      <c r="D218" s="640"/>
      <c r="E218" s="1756"/>
      <c r="F218" s="671"/>
      <c r="G218" s="2136"/>
      <c r="H218" s="20" t="s">
        <v>68</v>
      </c>
      <c r="I218" s="339">
        <v>364.3</v>
      </c>
      <c r="J218" s="32">
        <v>218.4</v>
      </c>
      <c r="K218" s="206">
        <v>100</v>
      </c>
      <c r="L218" s="19">
        <v>100</v>
      </c>
      <c r="M218" s="424" t="s">
        <v>33</v>
      </c>
      <c r="N218" s="525">
        <v>75</v>
      </c>
      <c r="O218" s="200">
        <v>89</v>
      </c>
      <c r="P218" s="274">
        <v>92</v>
      </c>
      <c r="Q218" s="469">
        <v>95</v>
      </c>
    </row>
    <row r="219" spans="1:17" ht="26.15" customHeight="1" x14ac:dyDescent="0.25">
      <c r="A219" s="653"/>
      <c r="B219" s="654"/>
      <c r="C219" s="662"/>
      <c r="D219" s="640"/>
      <c r="E219" s="1756"/>
      <c r="F219" s="671"/>
      <c r="G219" s="2197"/>
      <c r="I219" s="434"/>
      <c r="J219" s="531"/>
      <c r="K219" s="531"/>
      <c r="L219" s="532"/>
      <c r="M219" s="424" t="s">
        <v>235</v>
      </c>
      <c r="N219" s="395">
        <v>7</v>
      </c>
      <c r="O219" s="343">
        <v>7</v>
      </c>
      <c r="P219" s="274">
        <v>7</v>
      </c>
      <c r="Q219" s="144">
        <v>7</v>
      </c>
    </row>
    <row r="220" spans="1:17" ht="26.25" customHeight="1" x14ac:dyDescent="0.25">
      <c r="A220" s="653"/>
      <c r="B220" s="654"/>
      <c r="C220" s="662"/>
      <c r="D220" s="640"/>
      <c r="E220" s="648"/>
      <c r="F220" s="176"/>
      <c r="G220" s="2197"/>
      <c r="H220" s="20"/>
      <c r="I220" s="339"/>
      <c r="J220" s="32"/>
      <c r="K220" s="206"/>
      <c r="L220" s="19"/>
      <c r="M220" s="424" t="s">
        <v>146</v>
      </c>
      <c r="N220" s="395">
        <v>100</v>
      </c>
      <c r="O220" s="343"/>
      <c r="P220" s="274"/>
      <c r="Q220" s="144"/>
    </row>
    <row r="221" spans="1:17" ht="26.25" customHeight="1" x14ac:dyDescent="0.25">
      <c r="A221" s="653"/>
      <c r="B221" s="654"/>
      <c r="C221" s="662"/>
      <c r="D221" s="640"/>
      <c r="E221" s="648"/>
      <c r="F221" s="176"/>
      <c r="G221" s="630"/>
      <c r="H221" s="20"/>
      <c r="I221" s="339"/>
      <c r="J221" s="32"/>
      <c r="K221" s="206"/>
      <c r="L221" s="19"/>
      <c r="M221" s="424" t="s">
        <v>349</v>
      </c>
      <c r="N221" s="391"/>
      <c r="O221" s="196">
        <v>1</v>
      </c>
      <c r="P221" s="275"/>
      <c r="Q221" s="198"/>
    </row>
    <row r="222" spans="1:17" ht="16.5" customHeight="1" x14ac:dyDescent="0.25">
      <c r="A222" s="653"/>
      <c r="B222" s="654"/>
      <c r="C222" s="662"/>
      <c r="D222" s="640"/>
      <c r="E222" s="648"/>
      <c r="F222" s="176"/>
      <c r="G222" s="186"/>
      <c r="H222" s="20"/>
      <c r="I222" s="339"/>
      <c r="J222" s="32"/>
      <c r="K222" s="206"/>
      <c r="L222" s="19"/>
      <c r="M222" s="673" t="s">
        <v>159</v>
      </c>
      <c r="N222" s="391">
        <v>7</v>
      </c>
      <c r="O222" s="196"/>
      <c r="P222" s="275"/>
      <c r="Q222" s="198"/>
    </row>
    <row r="223" spans="1:17" ht="18" customHeight="1" x14ac:dyDescent="0.25">
      <c r="A223" s="653"/>
      <c r="B223" s="654"/>
      <c r="C223" s="662"/>
      <c r="D223" s="636"/>
      <c r="E223" s="644"/>
      <c r="F223" s="177"/>
      <c r="G223" s="187"/>
      <c r="H223" s="124"/>
      <c r="I223" s="38"/>
      <c r="J223" s="43"/>
      <c r="K223" s="214"/>
      <c r="L223" s="44"/>
      <c r="M223" s="410" t="s">
        <v>160</v>
      </c>
      <c r="N223" s="566">
        <v>3</v>
      </c>
      <c r="O223" s="567">
        <v>6</v>
      </c>
      <c r="P223" s="203"/>
      <c r="Q223" s="568"/>
    </row>
    <row r="224" spans="1:17" ht="15" customHeight="1" x14ac:dyDescent="0.25">
      <c r="A224" s="653"/>
      <c r="B224" s="654"/>
      <c r="C224" s="662"/>
      <c r="D224" s="640" t="s">
        <v>6</v>
      </c>
      <c r="E224" s="626" t="s">
        <v>53</v>
      </c>
      <c r="F224" s="178"/>
      <c r="G224" s="2180" t="s">
        <v>240</v>
      </c>
      <c r="H224" s="20" t="s">
        <v>68</v>
      </c>
      <c r="I224" s="339">
        <v>117.4</v>
      </c>
      <c r="J224" s="32">
        <v>100</v>
      </c>
      <c r="K224" s="206">
        <v>110</v>
      </c>
      <c r="L224" s="19">
        <v>110</v>
      </c>
      <c r="M224" s="624" t="s">
        <v>60</v>
      </c>
      <c r="N224" s="392" t="s">
        <v>46</v>
      </c>
      <c r="O224" s="645" t="s">
        <v>309</v>
      </c>
      <c r="P224" s="193" t="s">
        <v>309</v>
      </c>
      <c r="Q224" s="195" t="s">
        <v>309</v>
      </c>
    </row>
    <row r="225" spans="1:17" ht="15" customHeight="1" x14ac:dyDescent="0.25">
      <c r="A225" s="653"/>
      <c r="B225" s="654"/>
      <c r="C225" s="662"/>
      <c r="D225" s="640"/>
      <c r="E225" s="626"/>
      <c r="F225" s="178"/>
      <c r="G225" s="2181"/>
      <c r="H225" s="20" t="s">
        <v>57</v>
      </c>
      <c r="I225" s="339">
        <v>1.1000000000000001</v>
      </c>
      <c r="J225" s="32">
        <v>10.6</v>
      </c>
      <c r="K225" s="206">
        <v>11.7</v>
      </c>
      <c r="L225" s="32">
        <v>11.7</v>
      </c>
      <c r="M225" s="624"/>
      <c r="N225" s="349"/>
      <c r="O225" s="200"/>
      <c r="P225" s="209"/>
      <c r="Q225" s="141"/>
    </row>
    <row r="226" spans="1:17" ht="25.5" customHeight="1" x14ac:dyDescent="0.25">
      <c r="A226" s="653"/>
      <c r="B226" s="654"/>
      <c r="C226" s="662"/>
      <c r="D226" s="635" t="s">
        <v>25</v>
      </c>
      <c r="E226" s="1867" t="s">
        <v>77</v>
      </c>
      <c r="F226" s="179"/>
      <c r="G226" s="2196" t="s">
        <v>196</v>
      </c>
      <c r="H226" s="123" t="s">
        <v>57</v>
      </c>
      <c r="I226" s="37">
        <v>8</v>
      </c>
      <c r="J226" s="226">
        <v>8</v>
      </c>
      <c r="K226" s="213">
        <v>8</v>
      </c>
      <c r="L226" s="224">
        <v>8</v>
      </c>
      <c r="M226" s="412" t="s">
        <v>292</v>
      </c>
      <c r="N226" s="359">
        <v>14</v>
      </c>
      <c r="O226" s="211">
        <v>14</v>
      </c>
      <c r="P226" s="564">
        <v>14</v>
      </c>
      <c r="Q226" s="140">
        <v>14</v>
      </c>
    </row>
    <row r="227" spans="1:17" ht="15.75" customHeight="1" x14ac:dyDescent="0.25">
      <c r="A227" s="653"/>
      <c r="B227" s="654"/>
      <c r="C227" s="662"/>
      <c r="D227" s="636"/>
      <c r="E227" s="1838"/>
      <c r="F227" s="180"/>
      <c r="G227" s="2180"/>
      <c r="H227" s="124"/>
      <c r="I227" s="38"/>
      <c r="J227" s="43"/>
      <c r="K227" s="214"/>
      <c r="L227" s="43"/>
      <c r="M227" s="407"/>
      <c r="N227" s="350"/>
      <c r="O227" s="197"/>
      <c r="P227" s="207"/>
      <c r="Q227" s="142"/>
    </row>
    <row r="228" spans="1:17" ht="18.75" customHeight="1" x14ac:dyDescent="0.25">
      <c r="A228" s="672"/>
      <c r="B228" s="654"/>
      <c r="C228" s="72"/>
      <c r="D228" s="640" t="s">
        <v>29</v>
      </c>
      <c r="E228" s="1822" t="s">
        <v>90</v>
      </c>
      <c r="F228" s="628" t="s">
        <v>41</v>
      </c>
      <c r="G228" s="2180"/>
      <c r="H228" s="20" t="s">
        <v>22</v>
      </c>
      <c r="I228" s="339">
        <v>54.5</v>
      </c>
      <c r="J228" s="32">
        <v>45</v>
      </c>
      <c r="K228" s="206">
        <v>45</v>
      </c>
      <c r="L228" s="32">
        <v>45</v>
      </c>
      <c r="M228" s="2011" t="s">
        <v>293</v>
      </c>
      <c r="N228" s="348">
        <v>15</v>
      </c>
      <c r="O228" s="317">
        <v>10</v>
      </c>
      <c r="P228" s="328">
        <v>10</v>
      </c>
      <c r="Q228" s="138">
        <v>10</v>
      </c>
    </row>
    <row r="229" spans="1:17" ht="13.5" customHeight="1" x14ac:dyDescent="0.25">
      <c r="A229" s="672"/>
      <c r="B229" s="654"/>
      <c r="C229" s="71"/>
      <c r="D229" s="636"/>
      <c r="E229" s="1871"/>
      <c r="F229" s="643"/>
      <c r="G229" s="2181"/>
      <c r="H229" s="124"/>
      <c r="I229" s="38"/>
      <c r="J229" s="43"/>
      <c r="K229" s="214"/>
      <c r="L229" s="202"/>
      <c r="M229" s="2012"/>
      <c r="N229" s="690"/>
      <c r="O229" s="381"/>
      <c r="P229" s="276"/>
      <c r="Q229" s="154"/>
    </row>
    <row r="230" spans="1:17" ht="19.5" customHeight="1" x14ac:dyDescent="0.25">
      <c r="A230" s="653"/>
      <c r="B230" s="654"/>
      <c r="C230" s="662"/>
      <c r="D230" s="635" t="s">
        <v>30</v>
      </c>
      <c r="E230" s="1775" t="s">
        <v>72</v>
      </c>
      <c r="F230" s="627"/>
      <c r="G230" s="2144" t="s">
        <v>105</v>
      </c>
      <c r="H230" s="123" t="s">
        <v>57</v>
      </c>
      <c r="I230" s="37">
        <v>594.70000000000005</v>
      </c>
      <c r="J230" s="226">
        <v>610.4</v>
      </c>
      <c r="K230" s="213">
        <v>636</v>
      </c>
      <c r="L230" s="226">
        <v>660</v>
      </c>
      <c r="M230" s="412" t="s">
        <v>84</v>
      </c>
      <c r="N230" s="533">
        <v>172</v>
      </c>
      <c r="O230" s="336">
        <v>173</v>
      </c>
      <c r="P230" s="277">
        <v>173</v>
      </c>
      <c r="Q230" s="137">
        <v>173</v>
      </c>
    </row>
    <row r="231" spans="1:17" ht="19.5" customHeight="1" x14ac:dyDescent="0.25">
      <c r="A231" s="672"/>
      <c r="B231" s="654"/>
      <c r="C231" s="75"/>
      <c r="D231" s="636"/>
      <c r="E231" s="1808"/>
      <c r="F231" s="643"/>
      <c r="G231" s="2136"/>
      <c r="H231" s="124" t="s">
        <v>59</v>
      </c>
      <c r="I231" s="38">
        <v>31.3</v>
      </c>
      <c r="J231" s="43">
        <v>15.7</v>
      </c>
      <c r="K231" s="214">
        <v>20</v>
      </c>
      <c r="L231" s="43">
        <v>26</v>
      </c>
      <c r="M231" s="407"/>
      <c r="N231" s="346"/>
      <c r="O231" s="314"/>
      <c r="P231" s="278"/>
      <c r="Q231" s="135"/>
    </row>
    <row r="232" spans="1:17" ht="27.65" customHeight="1" x14ac:dyDescent="0.25">
      <c r="A232" s="672"/>
      <c r="B232" s="654"/>
      <c r="C232" s="72"/>
      <c r="D232" s="640" t="s">
        <v>31</v>
      </c>
      <c r="E232" s="647" t="s">
        <v>231</v>
      </c>
      <c r="F232" s="627"/>
      <c r="G232" s="2145"/>
      <c r="H232" s="119" t="s">
        <v>57</v>
      </c>
      <c r="I232" s="344">
        <f>30-26.4</f>
        <v>3.6</v>
      </c>
      <c r="J232" s="229"/>
      <c r="K232" s="238"/>
      <c r="L232" s="471"/>
      <c r="M232" s="470" t="s">
        <v>225</v>
      </c>
      <c r="N232" s="348">
        <v>30</v>
      </c>
      <c r="O232" s="317"/>
      <c r="P232" s="328"/>
      <c r="Q232" s="138"/>
    </row>
    <row r="233" spans="1:17" ht="30" customHeight="1" x14ac:dyDescent="0.25">
      <c r="A233" s="672"/>
      <c r="B233" s="654"/>
      <c r="C233" s="71"/>
      <c r="D233" s="212" t="s">
        <v>32</v>
      </c>
      <c r="E233" s="472" t="s">
        <v>286</v>
      </c>
      <c r="F233" s="159"/>
      <c r="G233" s="691"/>
      <c r="H233" s="124"/>
      <c r="I233" s="38"/>
      <c r="J233" s="43"/>
      <c r="K233" s="214"/>
      <c r="L233" s="202"/>
      <c r="M233" s="428" t="s">
        <v>267</v>
      </c>
      <c r="N233" s="692"/>
      <c r="O233" s="569">
        <v>10</v>
      </c>
      <c r="P233" s="570">
        <v>10</v>
      </c>
      <c r="Q233" s="571"/>
    </row>
    <row r="234" spans="1:17" ht="17.25" customHeight="1" x14ac:dyDescent="0.25">
      <c r="A234" s="1753"/>
      <c r="B234" s="1790"/>
      <c r="C234" s="1870"/>
      <c r="D234" s="2184" t="s">
        <v>101</v>
      </c>
      <c r="E234" s="1858" t="s">
        <v>141</v>
      </c>
      <c r="F234" s="874" t="s">
        <v>118</v>
      </c>
      <c r="G234" s="2144" t="s">
        <v>52</v>
      </c>
      <c r="H234" s="18" t="s">
        <v>22</v>
      </c>
      <c r="I234" s="339">
        <f>140.7+5.6-10</f>
        <v>136.30000000000001</v>
      </c>
      <c r="J234" s="32">
        <v>139.1</v>
      </c>
      <c r="K234" s="206">
        <v>139.1</v>
      </c>
      <c r="L234" s="19">
        <v>139.1</v>
      </c>
      <c r="M234" s="624" t="s">
        <v>56</v>
      </c>
      <c r="N234" s="426">
        <v>18</v>
      </c>
      <c r="O234" s="286">
        <v>18</v>
      </c>
      <c r="P234" s="279">
        <v>18</v>
      </c>
      <c r="Q234" s="153">
        <v>18</v>
      </c>
    </row>
    <row r="235" spans="1:17" ht="21.75" customHeight="1" x14ac:dyDescent="0.25">
      <c r="A235" s="1753"/>
      <c r="B235" s="1790"/>
      <c r="C235" s="1870"/>
      <c r="D235" s="2185"/>
      <c r="E235" s="1871"/>
      <c r="F235" s="873" t="s">
        <v>418</v>
      </c>
      <c r="G235" s="2145"/>
      <c r="H235" s="22"/>
      <c r="I235" s="693"/>
      <c r="J235" s="255"/>
      <c r="K235" s="262"/>
      <c r="L235" s="255"/>
      <c r="M235" s="428" t="s">
        <v>61</v>
      </c>
      <c r="N235" s="351">
        <v>7</v>
      </c>
      <c r="O235" s="201">
        <v>7</v>
      </c>
      <c r="P235" s="204">
        <v>7</v>
      </c>
      <c r="Q235" s="164">
        <v>7</v>
      </c>
    </row>
    <row r="236" spans="1:17" ht="30" customHeight="1" x14ac:dyDescent="0.25">
      <c r="A236" s="672"/>
      <c r="B236" s="654"/>
      <c r="C236" s="71"/>
      <c r="D236" s="212" t="s">
        <v>182</v>
      </c>
      <c r="E236" s="472" t="s">
        <v>310</v>
      </c>
      <c r="F236" s="159"/>
      <c r="G236" s="230" t="s">
        <v>105</v>
      </c>
      <c r="H236" s="124" t="s">
        <v>57</v>
      </c>
      <c r="I236" s="38"/>
      <c r="J236" s="43"/>
      <c r="K236" s="214">
        <v>40</v>
      </c>
      <c r="L236" s="202"/>
      <c r="M236" s="428" t="s">
        <v>185</v>
      </c>
      <c r="N236" s="573"/>
      <c r="O236" s="569"/>
      <c r="P236" s="570">
        <v>1</v>
      </c>
      <c r="Q236" s="571"/>
    </row>
    <row r="237" spans="1:17" ht="39.65" customHeight="1" x14ac:dyDescent="0.25">
      <c r="A237" s="672"/>
      <c r="B237" s="654"/>
      <c r="C237" s="71"/>
      <c r="D237" s="212" t="s">
        <v>100</v>
      </c>
      <c r="E237" s="472" t="s">
        <v>311</v>
      </c>
      <c r="F237" s="159"/>
      <c r="G237" s="230"/>
      <c r="H237" s="124" t="s">
        <v>57</v>
      </c>
      <c r="I237" s="38"/>
      <c r="J237" s="43"/>
      <c r="K237" s="214">
        <v>20</v>
      </c>
      <c r="L237" s="202">
        <v>20</v>
      </c>
      <c r="M237" s="428" t="s">
        <v>312</v>
      </c>
      <c r="N237" s="573"/>
      <c r="O237" s="569"/>
      <c r="P237" s="570">
        <v>50</v>
      </c>
      <c r="Q237" s="571">
        <v>100</v>
      </c>
    </row>
    <row r="238" spans="1:17" ht="30" customHeight="1" x14ac:dyDescent="0.25">
      <c r="A238" s="672"/>
      <c r="B238" s="654"/>
      <c r="C238" s="71"/>
      <c r="D238" s="212" t="s">
        <v>187</v>
      </c>
      <c r="E238" s="472" t="s">
        <v>313</v>
      </c>
      <c r="F238" s="159"/>
      <c r="G238" s="729"/>
      <c r="H238" s="124" t="s">
        <v>57</v>
      </c>
      <c r="I238" s="38"/>
      <c r="J238" s="43">
        <v>20</v>
      </c>
      <c r="K238" s="214">
        <v>10</v>
      </c>
      <c r="L238" s="202">
        <v>10</v>
      </c>
      <c r="M238" s="428" t="s">
        <v>314</v>
      </c>
      <c r="N238" s="573"/>
      <c r="O238" s="569">
        <v>14</v>
      </c>
      <c r="P238" s="570">
        <v>7</v>
      </c>
      <c r="Q238" s="571">
        <v>7</v>
      </c>
    </row>
    <row r="239" spans="1:17" ht="15" customHeight="1" thickBot="1" x14ac:dyDescent="0.3">
      <c r="A239" s="21"/>
      <c r="B239" s="104"/>
      <c r="C239" s="73"/>
      <c r="D239" s="73"/>
      <c r="E239" s="694"/>
      <c r="F239" s="181"/>
      <c r="G239" s="695"/>
      <c r="H239" s="41" t="s">
        <v>5</v>
      </c>
      <c r="I239" s="361">
        <f>SUM(I215:I238)</f>
        <v>1727.6</v>
      </c>
      <c r="J239" s="45">
        <f>SUM(J215:J238)</f>
        <v>1723.9</v>
      </c>
      <c r="K239" s="244">
        <f>SUM(K215:K238)</f>
        <v>1700.9</v>
      </c>
      <c r="L239" s="45">
        <f>SUM(L215:L238)</f>
        <v>1710.9</v>
      </c>
      <c r="M239" s="429"/>
      <c r="N239" s="284"/>
      <c r="O239" s="284"/>
      <c r="P239" s="281"/>
      <c r="Q239" s="285"/>
    </row>
    <row r="240" spans="1:17" ht="13.5" customHeight="1" x14ac:dyDescent="0.25">
      <c r="A240" s="128" t="s">
        <v>4</v>
      </c>
      <c r="B240" s="120" t="s">
        <v>25</v>
      </c>
      <c r="C240" s="80" t="s">
        <v>6</v>
      </c>
      <c r="D240" s="126"/>
      <c r="E240" s="1878" t="s">
        <v>184</v>
      </c>
      <c r="F240" s="1880"/>
      <c r="G240" s="696"/>
      <c r="H240" s="79"/>
      <c r="I240" s="385"/>
      <c r="J240" s="256"/>
      <c r="K240" s="263"/>
      <c r="L240" s="256"/>
      <c r="M240" s="430"/>
      <c r="N240" s="427"/>
      <c r="O240" s="282"/>
      <c r="P240" s="283"/>
      <c r="Q240" s="155"/>
    </row>
    <row r="241" spans="1:17" ht="11.15" customHeight="1" x14ac:dyDescent="0.25">
      <c r="A241" s="655"/>
      <c r="B241" s="633"/>
      <c r="C241" s="632"/>
      <c r="D241" s="636"/>
      <c r="E241" s="1807"/>
      <c r="F241" s="1882"/>
      <c r="G241" s="697"/>
      <c r="H241" s="78"/>
      <c r="I241" s="386"/>
      <c r="J241" s="257"/>
      <c r="K241" s="264"/>
      <c r="L241" s="257"/>
      <c r="M241" s="625"/>
      <c r="N241" s="202"/>
      <c r="O241" s="43"/>
      <c r="P241" s="214"/>
      <c r="Q241" s="44"/>
    </row>
    <row r="242" spans="1:17" ht="15" customHeight="1" x14ac:dyDescent="0.25">
      <c r="A242" s="1868"/>
      <c r="B242" s="1869"/>
      <c r="C242" s="1870"/>
      <c r="D242" s="635" t="s">
        <v>4</v>
      </c>
      <c r="E242" s="1775" t="s">
        <v>347</v>
      </c>
      <c r="F242" s="827" t="s">
        <v>197</v>
      </c>
      <c r="G242" s="574" t="s">
        <v>199</v>
      </c>
      <c r="H242" s="123" t="s">
        <v>38</v>
      </c>
      <c r="I242" s="37">
        <v>628.20000000000005</v>
      </c>
      <c r="J242" s="226"/>
      <c r="K242" s="213"/>
      <c r="L242" s="226"/>
      <c r="M242" s="1999" t="s">
        <v>104</v>
      </c>
      <c r="N242" s="359">
        <v>1</v>
      </c>
      <c r="O242" s="211"/>
      <c r="P242" s="564"/>
      <c r="Q242" s="140"/>
    </row>
    <row r="243" spans="1:17" ht="14.25" customHeight="1" x14ac:dyDescent="0.25">
      <c r="A243" s="1868"/>
      <c r="B243" s="1869"/>
      <c r="C243" s="1870"/>
      <c r="D243" s="640"/>
      <c r="E243" s="1776"/>
      <c r="F243" s="828" t="s">
        <v>118</v>
      </c>
      <c r="G243" s="186"/>
      <c r="H243" s="20" t="s">
        <v>57</v>
      </c>
      <c r="I243" s="339">
        <f>393.9+31.3</f>
        <v>425.2</v>
      </c>
      <c r="J243" s="32"/>
      <c r="K243" s="206"/>
      <c r="L243" s="32"/>
      <c r="M243" s="2000"/>
      <c r="N243" s="547"/>
      <c r="O243" s="473"/>
      <c r="P243" s="474"/>
      <c r="Q243" s="475"/>
    </row>
    <row r="244" spans="1:17" ht="14.25" customHeight="1" x14ac:dyDescent="0.25">
      <c r="A244" s="1868"/>
      <c r="B244" s="1869"/>
      <c r="C244" s="1870"/>
      <c r="D244" s="640"/>
      <c r="E244" s="1807"/>
      <c r="F244" s="823" t="s">
        <v>205</v>
      </c>
      <c r="G244" s="868"/>
      <c r="H244" s="20" t="s">
        <v>59</v>
      </c>
      <c r="I244" s="339">
        <f>186.6-31.3</f>
        <v>155.30000000000001</v>
      </c>
      <c r="J244" s="32"/>
      <c r="K244" s="206"/>
      <c r="L244" s="32"/>
      <c r="M244" s="1989" t="s">
        <v>174</v>
      </c>
      <c r="N244" s="349">
        <v>100</v>
      </c>
      <c r="O244" s="200"/>
      <c r="P244" s="209"/>
      <c r="Q244" s="141"/>
    </row>
    <row r="245" spans="1:17" ht="17.25" customHeight="1" x14ac:dyDescent="0.25">
      <c r="A245" s="1868"/>
      <c r="B245" s="1869"/>
      <c r="C245" s="1870"/>
      <c r="D245" s="640"/>
      <c r="E245" s="1808"/>
      <c r="F245" s="210"/>
      <c r="G245" s="187"/>
      <c r="H245" s="124" t="s">
        <v>50</v>
      </c>
      <c r="I245" s="339">
        <v>30</v>
      </c>
      <c r="J245" s="214">
        <v>1</v>
      </c>
      <c r="K245" s="206"/>
      <c r="L245" s="32"/>
      <c r="M245" s="1981"/>
      <c r="N245" s="349"/>
      <c r="O245" s="200"/>
      <c r="P245" s="209"/>
      <c r="Q245" s="545"/>
    </row>
    <row r="246" spans="1:17" ht="19.5" customHeight="1" x14ac:dyDescent="0.25">
      <c r="A246" s="655"/>
      <c r="B246" s="633"/>
      <c r="C246" s="632"/>
      <c r="D246" s="2148" t="s">
        <v>6</v>
      </c>
      <c r="E246" s="576" t="s">
        <v>338</v>
      </c>
      <c r="F246" s="435" t="s">
        <v>197</v>
      </c>
      <c r="G246" s="186"/>
      <c r="H246" s="119"/>
      <c r="I246" s="37"/>
      <c r="J246" s="32"/>
      <c r="K246" s="213"/>
      <c r="L246" s="522"/>
      <c r="M246" s="586"/>
      <c r="N246" s="587"/>
      <c r="O246" s="581"/>
      <c r="P246" s="581"/>
      <c r="Q246" s="583"/>
    </row>
    <row r="247" spans="1:17" ht="24" customHeight="1" x14ac:dyDescent="0.25">
      <c r="A247" s="655"/>
      <c r="B247" s="633"/>
      <c r="C247" s="632"/>
      <c r="D247" s="2149"/>
      <c r="E247" s="2186" t="s">
        <v>339</v>
      </c>
      <c r="F247" s="436"/>
      <c r="G247" s="2144" t="s">
        <v>105</v>
      </c>
      <c r="H247" s="123" t="s">
        <v>22</v>
      </c>
      <c r="I247" s="37"/>
      <c r="J247" s="213">
        <f>269.5-267.8</f>
        <v>1.7</v>
      </c>
      <c r="K247" s="213">
        <f>115.5+154</f>
        <v>269.5</v>
      </c>
      <c r="L247" s="522"/>
      <c r="M247" s="2200" t="s">
        <v>290</v>
      </c>
      <c r="N247" s="2198"/>
      <c r="O247" s="698">
        <v>30</v>
      </c>
      <c r="P247" s="699">
        <v>100</v>
      </c>
      <c r="Q247" s="583"/>
    </row>
    <row r="248" spans="1:17" ht="24" customHeight="1" x14ac:dyDescent="0.25">
      <c r="A248" s="655"/>
      <c r="B248" s="633"/>
      <c r="C248" s="632"/>
      <c r="D248" s="2149"/>
      <c r="E248" s="1874"/>
      <c r="F248" s="436"/>
      <c r="G248" s="2136"/>
      <c r="H248" s="534" t="s">
        <v>57</v>
      </c>
      <c r="I248" s="339"/>
      <c r="J248" s="206">
        <v>113.8</v>
      </c>
      <c r="K248" s="206"/>
      <c r="L248" s="432"/>
      <c r="M248" s="1997"/>
      <c r="N248" s="2199"/>
      <c r="O248" s="700"/>
      <c r="P248" s="701"/>
      <c r="Q248" s="584"/>
    </row>
    <row r="249" spans="1:17" ht="24" customHeight="1" x14ac:dyDescent="0.25">
      <c r="A249" s="655"/>
      <c r="B249" s="633"/>
      <c r="C249" s="632"/>
      <c r="D249" s="2149"/>
      <c r="E249" s="1875"/>
      <c r="F249" s="436"/>
      <c r="G249" s="2136"/>
      <c r="H249" s="548" t="s">
        <v>38</v>
      </c>
      <c r="I249" s="339"/>
      <c r="J249" s="205">
        <f>1130.5-646</f>
        <v>484.5</v>
      </c>
      <c r="K249" s="205">
        <f>484.5+646</f>
        <v>1130.5</v>
      </c>
      <c r="L249" s="495"/>
      <c r="M249" s="413"/>
      <c r="N249" s="580"/>
      <c r="O249" s="582"/>
      <c r="P249" s="582"/>
      <c r="Q249" s="585"/>
    </row>
    <row r="250" spans="1:17" ht="19.25" customHeight="1" x14ac:dyDescent="0.25">
      <c r="A250" s="655"/>
      <c r="B250" s="633"/>
      <c r="C250" s="632"/>
      <c r="D250" s="2149"/>
      <c r="E250" s="1889" t="s">
        <v>341</v>
      </c>
      <c r="F250" s="436"/>
      <c r="G250" s="2136"/>
      <c r="H250" s="615" t="s">
        <v>22</v>
      </c>
      <c r="I250" s="490"/>
      <c r="J250" s="702"/>
      <c r="K250" s="720">
        <v>133.1</v>
      </c>
      <c r="L250" s="721">
        <v>133.1</v>
      </c>
      <c r="M250" s="562" t="s">
        <v>342</v>
      </c>
      <c r="N250" s="738"/>
      <c r="O250" s="588">
        <v>100</v>
      </c>
      <c r="P250" s="209"/>
      <c r="Q250" s="589"/>
    </row>
    <row r="251" spans="1:17" ht="19.25" customHeight="1" x14ac:dyDescent="0.25">
      <c r="A251" s="730"/>
      <c r="B251" s="732"/>
      <c r="C251" s="731"/>
      <c r="D251" s="2149"/>
      <c r="E251" s="1890"/>
      <c r="F251" s="436"/>
      <c r="G251" s="2136"/>
      <c r="H251" s="20" t="s">
        <v>59</v>
      </c>
      <c r="I251" s="339"/>
      <c r="J251" s="701">
        <v>363.6</v>
      </c>
      <c r="K251" s="735"/>
      <c r="L251" s="736"/>
      <c r="M251" s="408" t="s">
        <v>343</v>
      </c>
      <c r="N251" s="740"/>
      <c r="O251" s="275">
        <v>11</v>
      </c>
      <c r="P251" s="275">
        <v>12</v>
      </c>
      <c r="Q251" s="476">
        <v>12</v>
      </c>
    </row>
    <row r="252" spans="1:17" ht="19.25" customHeight="1" x14ac:dyDescent="0.25">
      <c r="A252" s="655"/>
      <c r="B252" s="633"/>
      <c r="C252" s="632"/>
      <c r="D252" s="2149"/>
      <c r="E252" s="1891"/>
      <c r="F252" s="436"/>
      <c r="G252" s="2145"/>
      <c r="H252" s="616" t="s">
        <v>57</v>
      </c>
      <c r="I252" s="590"/>
      <c r="J252" s="734">
        <v>179.5</v>
      </c>
      <c r="K252" s="606"/>
      <c r="L252" s="607"/>
      <c r="M252" s="408"/>
      <c r="N252" s="739"/>
      <c r="O252" s="209"/>
      <c r="P252" s="209"/>
      <c r="Q252" s="545"/>
    </row>
    <row r="253" spans="1:17" ht="41.75" customHeight="1" x14ac:dyDescent="0.25">
      <c r="A253" s="655"/>
      <c r="B253" s="633"/>
      <c r="C253" s="632"/>
      <c r="D253" s="2149"/>
      <c r="E253" s="575" t="s">
        <v>340</v>
      </c>
      <c r="F253" s="436"/>
      <c r="G253" s="577" t="s">
        <v>194</v>
      </c>
      <c r="H253" s="20" t="s">
        <v>22</v>
      </c>
      <c r="I253" s="339"/>
      <c r="J253" s="32">
        <f>694.8-320-320-39.9</f>
        <v>14.9</v>
      </c>
      <c r="K253" s="213">
        <v>1130</v>
      </c>
      <c r="L253" s="522"/>
      <c r="M253" s="733" t="s">
        <v>290</v>
      </c>
      <c r="N253" s="578"/>
      <c r="O253" s="564">
        <v>30</v>
      </c>
      <c r="P253" s="564">
        <v>100</v>
      </c>
      <c r="Q253" s="584"/>
    </row>
    <row r="254" spans="1:17" ht="21" customHeight="1" x14ac:dyDescent="0.25">
      <c r="A254" s="716"/>
      <c r="B254" s="718"/>
      <c r="C254" s="717"/>
      <c r="D254" s="2149"/>
      <c r="E254" s="719"/>
      <c r="F254" s="436"/>
      <c r="G254" s="2201" t="s">
        <v>199</v>
      </c>
      <c r="H254" s="20" t="s">
        <v>57</v>
      </c>
      <c r="I254" s="339"/>
      <c r="J254" s="32">
        <v>455.1</v>
      </c>
      <c r="K254" s="206"/>
      <c r="L254" s="432"/>
      <c r="M254" s="408"/>
      <c r="N254" s="579"/>
      <c r="O254" s="209"/>
      <c r="P254" s="209"/>
      <c r="Q254" s="584"/>
    </row>
    <row r="255" spans="1:17" ht="21" customHeight="1" x14ac:dyDescent="0.25">
      <c r="A255" s="655"/>
      <c r="B255" s="633"/>
      <c r="C255" s="632"/>
      <c r="D255" s="2174"/>
      <c r="E255" s="550"/>
      <c r="F255" s="546"/>
      <c r="G255" s="2141"/>
      <c r="H255" s="124" t="s">
        <v>59</v>
      </c>
      <c r="I255" s="38"/>
      <c r="J255" s="214"/>
      <c r="K255" s="214"/>
      <c r="L255" s="456"/>
      <c r="M255" s="408"/>
      <c r="N255" s="579"/>
      <c r="O255" s="741"/>
      <c r="P255" s="741"/>
      <c r="Q255" s="742"/>
    </row>
    <row r="256" spans="1:17" ht="29.75" customHeight="1" x14ac:dyDescent="0.25">
      <c r="A256" s="1868"/>
      <c r="B256" s="1869"/>
      <c r="C256" s="1870"/>
      <c r="D256" s="640" t="s">
        <v>25</v>
      </c>
      <c r="E256" s="1776" t="s">
        <v>102</v>
      </c>
      <c r="F256" s="827" t="s">
        <v>198</v>
      </c>
      <c r="G256" s="665" t="s">
        <v>199</v>
      </c>
      <c r="H256" s="20" t="s">
        <v>22</v>
      </c>
      <c r="I256" s="339">
        <v>3.8</v>
      </c>
      <c r="J256" s="32"/>
      <c r="K256" s="206"/>
      <c r="L256" s="32"/>
      <c r="M256" s="400" t="s">
        <v>103</v>
      </c>
      <c r="N256" s="501">
        <v>1</v>
      </c>
      <c r="O256" s="208"/>
      <c r="P256" s="208"/>
      <c r="Q256" s="589"/>
    </row>
    <row r="257" spans="1:17" ht="18" customHeight="1" x14ac:dyDescent="0.25">
      <c r="A257" s="1868"/>
      <c r="B257" s="1869"/>
      <c r="C257" s="1870"/>
      <c r="D257" s="640"/>
      <c r="E257" s="1776"/>
      <c r="F257" s="117" t="s">
        <v>153</v>
      </c>
      <c r="G257" s="2182" t="s">
        <v>241</v>
      </c>
      <c r="H257" s="20" t="s">
        <v>50</v>
      </c>
      <c r="I257" s="339">
        <v>202.6</v>
      </c>
      <c r="J257" s="32">
        <v>11.8</v>
      </c>
      <c r="K257" s="206"/>
      <c r="L257" s="32"/>
      <c r="M257" s="737" t="s">
        <v>335</v>
      </c>
      <c r="N257" s="394"/>
      <c r="O257" s="274">
        <v>1</v>
      </c>
      <c r="P257" s="300"/>
      <c r="Q257" s="469"/>
    </row>
    <row r="258" spans="1:17" ht="19.5" customHeight="1" x14ac:dyDescent="0.25">
      <c r="A258" s="1868"/>
      <c r="B258" s="1869"/>
      <c r="C258" s="1870"/>
      <c r="D258" s="640"/>
      <c r="E258" s="1855"/>
      <c r="F258" s="869" t="s">
        <v>205</v>
      </c>
      <c r="G258" s="2145"/>
      <c r="H258" s="20" t="s">
        <v>38</v>
      </c>
      <c r="I258" s="339">
        <v>328.8</v>
      </c>
      <c r="J258" s="32">
        <f>61.7+16.6</f>
        <v>78.3</v>
      </c>
      <c r="K258" s="206"/>
      <c r="L258" s="32"/>
      <c r="M258" s="399" t="s">
        <v>94</v>
      </c>
      <c r="N258" s="350">
        <v>1</v>
      </c>
      <c r="O258" s="197"/>
      <c r="P258" s="207"/>
      <c r="Q258" s="142"/>
    </row>
    <row r="259" spans="1:17" ht="14.25" customHeight="1" x14ac:dyDescent="0.25">
      <c r="A259" s="1753"/>
      <c r="B259" s="1790"/>
      <c r="C259" s="1870"/>
      <c r="D259" s="2184" t="s">
        <v>29</v>
      </c>
      <c r="E259" s="1775" t="s">
        <v>149</v>
      </c>
      <c r="F259" s="1886" t="s">
        <v>400</v>
      </c>
      <c r="G259" s="2144" t="s">
        <v>238</v>
      </c>
      <c r="H259" s="123" t="s">
        <v>22</v>
      </c>
      <c r="I259" s="37">
        <v>2.1</v>
      </c>
      <c r="J259" s="226"/>
      <c r="K259" s="213">
        <v>1.4</v>
      </c>
      <c r="L259" s="215"/>
      <c r="M259" s="623" t="s">
        <v>316</v>
      </c>
      <c r="N259" s="496" t="s">
        <v>46</v>
      </c>
      <c r="O259" s="319"/>
      <c r="P259" s="190" t="s">
        <v>46</v>
      </c>
      <c r="Q259" s="147"/>
    </row>
    <row r="260" spans="1:17" ht="14.25" customHeight="1" x14ac:dyDescent="0.25">
      <c r="A260" s="1753"/>
      <c r="B260" s="1790"/>
      <c r="C260" s="1870"/>
      <c r="D260" s="2189"/>
      <c r="E260" s="1776"/>
      <c r="F260" s="1887"/>
      <c r="G260" s="2136"/>
      <c r="H260" s="20" t="s">
        <v>50</v>
      </c>
      <c r="I260" s="339">
        <v>0.7</v>
      </c>
      <c r="J260" s="32">
        <f>6.1-1.1</f>
        <v>5</v>
      </c>
      <c r="K260" s="206"/>
      <c r="L260" s="19"/>
      <c r="M260" s="408"/>
      <c r="N260" s="392"/>
      <c r="O260" s="645"/>
      <c r="P260" s="193"/>
      <c r="Q260" s="195"/>
    </row>
    <row r="261" spans="1:17" ht="19.5" customHeight="1" x14ac:dyDescent="0.25">
      <c r="A261" s="1753"/>
      <c r="B261" s="1790"/>
      <c r="C261" s="1870"/>
      <c r="D261" s="2189"/>
      <c r="E261" s="1776"/>
      <c r="F261" s="1888"/>
      <c r="G261" s="2145"/>
      <c r="H261" s="124" t="s">
        <v>207</v>
      </c>
      <c r="I261" s="38">
        <f>4.3+11.4</f>
        <v>15.7</v>
      </c>
      <c r="J261" s="43">
        <f>34.2-5.6</f>
        <v>28.6</v>
      </c>
      <c r="K261" s="214">
        <v>8.3000000000000007</v>
      </c>
      <c r="L261" s="44"/>
      <c r="M261" s="399"/>
      <c r="N261" s="425"/>
      <c r="O261" s="387"/>
      <c r="P261" s="280"/>
      <c r="Q261" s="273"/>
    </row>
    <row r="262" spans="1:17" ht="14.25" customHeight="1" x14ac:dyDescent="0.25">
      <c r="A262" s="1753"/>
      <c r="B262" s="1790"/>
      <c r="C262" s="1870"/>
      <c r="D262" s="2184" t="s">
        <v>30</v>
      </c>
      <c r="E262" s="1775" t="s">
        <v>287</v>
      </c>
      <c r="F262" s="1886" t="s">
        <v>400</v>
      </c>
      <c r="G262" s="2187" t="s">
        <v>200</v>
      </c>
      <c r="H262" s="20" t="s">
        <v>38</v>
      </c>
      <c r="I262" s="339">
        <v>40</v>
      </c>
      <c r="J262" s="32">
        <v>36.5</v>
      </c>
      <c r="K262" s="206">
        <v>42.6</v>
      </c>
      <c r="L262" s="32"/>
      <c r="M262" s="408" t="s">
        <v>152</v>
      </c>
      <c r="N262" s="426"/>
      <c r="O262" s="286"/>
      <c r="P262" s="279">
        <v>1</v>
      </c>
      <c r="Q262" s="153"/>
    </row>
    <row r="263" spans="1:17" ht="13.5" customHeight="1" x14ac:dyDescent="0.25">
      <c r="A263" s="1753"/>
      <c r="B263" s="1790"/>
      <c r="C263" s="1870"/>
      <c r="D263" s="2189"/>
      <c r="E263" s="1776"/>
      <c r="F263" s="1887"/>
      <c r="G263" s="2188"/>
      <c r="H263" s="20"/>
      <c r="I263" s="339"/>
      <c r="J263" s="32"/>
      <c r="K263" s="206"/>
      <c r="L263" s="32"/>
      <c r="M263" s="408"/>
      <c r="N263" s="349"/>
      <c r="O263" s="200"/>
      <c r="P263" s="209"/>
      <c r="Q263" s="141"/>
    </row>
    <row r="264" spans="1:17" ht="14.25" customHeight="1" x14ac:dyDescent="0.3">
      <c r="A264" s="1753"/>
      <c r="B264" s="1790"/>
      <c r="C264" s="1870"/>
      <c r="D264" s="2185"/>
      <c r="E264" s="1855"/>
      <c r="F264" s="1888"/>
      <c r="G264" s="183"/>
      <c r="H264" s="124"/>
      <c r="I264" s="38"/>
      <c r="J264" s="43"/>
      <c r="K264" s="214"/>
      <c r="L264" s="43"/>
      <c r="M264" s="399"/>
      <c r="N264" s="350"/>
      <c r="O264" s="197"/>
      <c r="P264" s="207"/>
      <c r="Q264" s="142"/>
    </row>
    <row r="265" spans="1:17" ht="17.75" customHeight="1" x14ac:dyDescent="0.25">
      <c r="A265" s="1753"/>
      <c r="B265" s="1790"/>
      <c r="C265" s="1870"/>
      <c r="D265" s="2184" t="s">
        <v>31</v>
      </c>
      <c r="E265" s="1775" t="s">
        <v>113</v>
      </c>
      <c r="F265" s="829" t="s">
        <v>205</v>
      </c>
      <c r="G265" s="2144" t="s">
        <v>105</v>
      </c>
      <c r="H265" s="123" t="s">
        <v>57</v>
      </c>
      <c r="I265" s="37">
        <f>22+17.9</f>
        <v>39.9</v>
      </c>
      <c r="J265" s="226">
        <v>57.2</v>
      </c>
      <c r="K265" s="213">
        <v>57.2</v>
      </c>
      <c r="L265" s="226">
        <v>57.2</v>
      </c>
      <c r="M265" s="417" t="s">
        <v>116</v>
      </c>
      <c r="N265" s="375">
        <v>8</v>
      </c>
      <c r="O265" s="312">
        <v>16</v>
      </c>
      <c r="P265" s="208">
        <v>16</v>
      </c>
      <c r="Q265" s="143">
        <v>16</v>
      </c>
    </row>
    <row r="266" spans="1:17" ht="29.75" customHeight="1" x14ac:dyDescent="0.25">
      <c r="A266" s="1753"/>
      <c r="B266" s="1790"/>
      <c r="C266" s="1870"/>
      <c r="D266" s="2189"/>
      <c r="E266" s="1776"/>
      <c r="F266" s="831" t="s">
        <v>153</v>
      </c>
      <c r="G266" s="2136"/>
      <c r="H266" s="20"/>
      <c r="I266" s="339"/>
      <c r="J266" s="32"/>
      <c r="K266" s="206"/>
      <c r="L266" s="32"/>
      <c r="M266" s="408" t="s">
        <v>232</v>
      </c>
      <c r="N266" s="349">
        <v>5</v>
      </c>
      <c r="O266" s="200">
        <v>5</v>
      </c>
      <c r="P266" s="209">
        <v>5</v>
      </c>
      <c r="Q266" s="141">
        <v>5</v>
      </c>
    </row>
    <row r="267" spans="1:17" ht="17.75" customHeight="1" x14ac:dyDescent="0.25">
      <c r="A267" s="1753"/>
      <c r="B267" s="1790"/>
      <c r="C267" s="1870"/>
      <c r="D267" s="2185"/>
      <c r="E267" s="1855"/>
      <c r="F267" s="873" t="s">
        <v>418</v>
      </c>
      <c r="G267" s="2145"/>
      <c r="H267" s="124" t="s">
        <v>57</v>
      </c>
      <c r="I267" s="38"/>
      <c r="J267" s="43">
        <v>40.9</v>
      </c>
      <c r="K267" s="214"/>
      <c r="L267" s="43"/>
      <c r="M267" s="603" t="s">
        <v>315</v>
      </c>
      <c r="N267" s="604"/>
      <c r="O267" s="203">
        <v>8</v>
      </c>
      <c r="P267" s="605"/>
      <c r="Q267" s="445"/>
    </row>
    <row r="268" spans="1:17" ht="16.5" customHeight="1" x14ac:dyDescent="0.25">
      <c r="A268" s="1753"/>
      <c r="B268" s="1790"/>
      <c r="C268" s="1870"/>
      <c r="D268" s="2184" t="s">
        <v>32</v>
      </c>
      <c r="E268" s="1775" t="s">
        <v>245</v>
      </c>
      <c r="F268" s="822" t="s">
        <v>205</v>
      </c>
      <c r="G268" s="2144" t="s">
        <v>105</v>
      </c>
      <c r="H268" s="123" t="s">
        <v>22</v>
      </c>
      <c r="I268" s="37">
        <v>1.8</v>
      </c>
      <c r="J268" s="226">
        <v>3.4</v>
      </c>
      <c r="K268" s="213">
        <v>3.4</v>
      </c>
      <c r="L268" s="226">
        <v>3.4</v>
      </c>
      <c r="M268" s="1957" t="s">
        <v>246</v>
      </c>
      <c r="N268" s="359">
        <v>3</v>
      </c>
      <c r="O268" s="211">
        <v>3</v>
      </c>
      <c r="P268" s="564">
        <v>3</v>
      </c>
      <c r="Q268" s="140">
        <v>3</v>
      </c>
    </row>
    <row r="269" spans="1:17" ht="23.75" customHeight="1" x14ac:dyDescent="0.25">
      <c r="A269" s="1753"/>
      <c r="B269" s="1790"/>
      <c r="C269" s="1870"/>
      <c r="D269" s="2185"/>
      <c r="E269" s="1855"/>
      <c r="F269" s="858" t="s">
        <v>153</v>
      </c>
      <c r="G269" s="2145"/>
      <c r="H269" s="124"/>
      <c r="I269" s="38"/>
      <c r="J269" s="43"/>
      <c r="K269" s="214"/>
      <c r="L269" s="43"/>
      <c r="M269" s="2001"/>
      <c r="N269" s="350"/>
      <c r="O269" s="197"/>
      <c r="P269" s="207"/>
      <c r="Q269" s="142"/>
    </row>
    <row r="270" spans="1:17" ht="13.5" customHeight="1" thickBot="1" x14ac:dyDescent="0.3">
      <c r="A270" s="21"/>
      <c r="B270" s="104"/>
      <c r="C270" s="73"/>
      <c r="D270" s="73"/>
      <c r="E270" s="694"/>
      <c r="F270" s="181"/>
      <c r="G270" s="695"/>
      <c r="H270" s="41" t="s">
        <v>5</v>
      </c>
      <c r="I270" s="361">
        <f>SUM(I242:I269)</f>
        <v>1874.1</v>
      </c>
      <c r="J270" s="45">
        <f>SUM(J242:J269)</f>
        <v>1875.8</v>
      </c>
      <c r="K270" s="244">
        <f>SUM(K242:K269)</f>
        <v>2776</v>
      </c>
      <c r="L270" s="45">
        <f>SUM(L242:L269)</f>
        <v>193.7</v>
      </c>
      <c r="M270" s="74"/>
      <c r="N270" s="284"/>
      <c r="O270" s="281"/>
      <c r="P270" s="281"/>
      <c r="Q270" s="102"/>
    </row>
    <row r="271" spans="1:17" ht="14.25" customHeight="1" thickBot="1" x14ac:dyDescent="0.3">
      <c r="A271" s="30" t="s">
        <v>4</v>
      </c>
      <c r="B271" s="25" t="s">
        <v>25</v>
      </c>
      <c r="C271" s="1840" t="s">
        <v>7</v>
      </c>
      <c r="D271" s="1840"/>
      <c r="E271" s="1840"/>
      <c r="F271" s="1840"/>
      <c r="G271" s="1840"/>
      <c r="H271" s="1841"/>
      <c r="I271" s="48">
        <f>I270+I239</f>
        <v>3601.7</v>
      </c>
      <c r="J271" s="382">
        <f>J270+J239</f>
        <v>3599.7</v>
      </c>
      <c r="K271" s="104">
        <f t="shared" ref="K271:L271" si="2">K270+K239</f>
        <v>4476.8999999999996</v>
      </c>
      <c r="L271" s="258">
        <f t="shared" si="2"/>
        <v>1904.6</v>
      </c>
      <c r="M271" s="1862"/>
      <c r="N271" s="1863"/>
      <c r="O271" s="1863"/>
      <c r="P271" s="1863"/>
      <c r="Q271" s="1864"/>
    </row>
    <row r="272" spans="1:17" ht="14.25" customHeight="1" thickBot="1" x14ac:dyDescent="0.3">
      <c r="A272" s="30" t="s">
        <v>4</v>
      </c>
      <c r="B272" s="1909" t="s">
        <v>8</v>
      </c>
      <c r="C272" s="1910"/>
      <c r="D272" s="1910"/>
      <c r="E272" s="1910"/>
      <c r="F272" s="1910"/>
      <c r="G272" s="1910"/>
      <c r="H272" s="1911"/>
      <c r="I272" s="103">
        <f>I271+I212+I165</f>
        <v>35612.300000000003</v>
      </c>
      <c r="J272" s="383">
        <f>J271+J212+J165</f>
        <v>36060</v>
      </c>
      <c r="K272" s="265">
        <f>K271+K212+K165</f>
        <v>46417.2</v>
      </c>
      <c r="L272" s="259">
        <f>L271+L212+L165</f>
        <v>34268.400000000001</v>
      </c>
      <c r="M272" s="1912"/>
      <c r="N272" s="1912"/>
      <c r="O272" s="1912"/>
      <c r="P272" s="1912"/>
      <c r="Q272" s="1913"/>
    </row>
    <row r="273" spans="1:21" ht="15" customHeight="1" thickBot="1" x14ac:dyDescent="0.3">
      <c r="A273" s="33" t="s">
        <v>31</v>
      </c>
      <c r="B273" s="1914" t="s">
        <v>48</v>
      </c>
      <c r="C273" s="1915"/>
      <c r="D273" s="1915"/>
      <c r="E273" s="1915"/>
      <c r="F273" s="1915"/>
      <c r="G273" s="1915"/>
      <c r="H273" s="1916"/>
      <c r="I273" s="33">
        <f>SUM(I272)</f>
        <v>35612.300000000003</v>
      </c>
      <c r="J273" s="384">
        <f>SUM(J272)</f>
        <v>36060</v>
      </c>
      <c r="K273" s="266">
        <f t="shared" ref="K273:L273" si="3">SUM(K272)</f>
        <v>46417.2</v>
      </c>
      <c r="L273" s="260">
        <f t="shared" si="3"/>
        <v>34268.400000000001</v>
      </c>
      <c r="M273" s="1917"/>
      <c r="N273" s="1917"/>
      <c r="O273" s="1917"/>
      <c r="P273" s="1917"/>
      <c r="Q273" s="1918"/>
    </row>
    <row r="274" spans="1:21" ht="20.25" customHeight="1" x14ac:dyDescent="0.25">
      <c r="A274" s="1950" t="s">
        <v>336</v>
      </c>
      <c r="B274" s="1950"/>
      <c r="C274" s="1950"/>
      <c r="D274" s="1950"/>
      <c r="E274" s="1950"/>
      <c r="F274" s="1950"/>
      <c r="G274" s="1950"/>
      <c r="H274" s="608"/>
      <c r="I274" s="608"/>
      <c r="J274" s="608"/>
      <c r="K274" s="608"/>
      <c r="L274" s="608"/>
      <c r="M274" s="34"/>
      <c r="N274" s="34"/>
      <c r="O274" s="34"/>
      <c r="P274" s="34"/>
      <c r="Q274" s="34"/>
    </row>
    <row r="275" spans="1:21" ht="14.25" customHeight="1" x14ac:dyDescent="0.25">
      <c r="A275" s="478"/>
      <c r="B275" s="478"/>
      <c r="C275" s="478"/>
      <c r="D275" s="478"/>
      <c r="E275" s="478"/>
      <c r="F275" s="478"/>
      <c r="G275" s="478"/>
      <c r="H275" s="478"/>
      <c r="I275" s="478"/>
      <c r="J275" s="34"/>
      <c r="K275" s="34"/>
      <c r="L275" s="34"/>
      <c r="M275" s="34"/>
      <c r="N275" s="34"/>
      <c r="O275" s="34"/>
      <c r="P275" s="34"/>
      <c r="Q275" s="34"/>
    </row>
    <row r="276" spans="1:21" s="5" customFormat="1" ht="15" customHeight="1" thickBot="1" x14ac:dyDescent="0.3">
      <c r="A276" s="1951" t="s">
        <v>11</v>
      </c>
      <c r="B276" s="1951"/>
      <c r="C276" s="1951"/>
      <c r="D276" s="1951"/>
      <c r="E276" s="1951"/>
      <c r="F276" s="1951"/>
      <c r="G276" s="1951"/>
      <c r="H276" s="1951"/>
      <c r="I276" s="1951"/>
      <c r="J276" s="1951"/>
      <c r="K276" s="1951"/>
      <c r="L276" s="1951"/>
      <c r="M276" s="34"/>
      <c r="N276" s="34"/>
      <c r="O276" s="34"/>
      <c r="P276" s="34"/>
      <c r="Q276" s="34"/>
      <c r="R276" s="1"/>
      <c r="S276" s="1"/>
      <c r="T276" s="1"/>
      <c r="U276" s="1"/>
    </row>
    <row r="277" spans="1:21" ht="51" customHeight="1" thickBot="1" x14ac:dyDescent="0.3">
      <c r="A277" s="1895" t="s">
        <v>9</v>
      </c>
      <c r="B277" s="1896"/>
      <c r="C277" s="1896"/>
      <c r="D277" s="1896"/>
      <c r="E277" s="1896"/>
      <c r="F277" s="1896"/>
      <c r="G277" s="1896"/>
      <c r="H277" s="1897"/>
      <c r="I277" s="477" t="s">
        <v>288</v>
      </c>
      <c r="J277" s="477" t="s">
        <v>269</v>
      </c>
      <c r="K277" s="477" t="s">
        <v>270</v>
      </c>
      <c r="L277" s="477" t="s">
        <v>271</v>
      </c>
      <c r="M277" s="10"/>
      <c r="N277" s="10"/>
      <c r="O277" s="10"/>
      <c r="P277" s="10"/>
      <c r="Q277" s="10"/>
    </row>
    <row r="278" spans="1:21" ht="14.25" customHeight="1" x14ac:dyDescent="0.25">
      <c r="A278" s="1898" t="s">
        <v>12</v>
      </c>
      <c r="B278" s="1899"/>
      <c r="C278" s="1899"/>
      <c r="D278" s="1899"/>
      <c r="E278" s="1899"/>
      <c r="F278" s="1899"/>
      <c r="G278" s="1899"/>
      <c r="H278" s="1900"/>
      <c r="I278" s="94">
        <f>I279+I291+I292+I293+I289</f>
        <v>31988.2</v>
      </c>
      <c r="J278" s="94">
        <f>J279+J291+J292+J293+J289+J290</f>
        <v>20722.5</v>
      </c>
      <c r="K278" s="94">
        <f t="shared" ref="K278:L278" si="4">K279+K291+K292+K293+K289+K290</f>
        <v>27252.5</v>
      </c>
      <c r="L278" s="94">
        <f t="shared" si="4"/>
        <v>18939.599999999999</v>
      </c>
      <c r="M278" s="10"/>
      <c r="N278" s="10"/>
      <c r="O278" s="10"/>
      <c r="P278" s="10"/>
      <c r="Q278" s="10"/>
    </row>
    <row r="279" spans="1:21" ht="16.5" customHeight="1" x14ac:dyDescent="0.25">
      <c r="A279" s="1901" t="s">
        <v>62</v>
      </c>
      <c r="B279" s="1902"/>
      <c r="C279" s="1902"/>
      <c r="D279" s="1902"/>
      <c r="E279" s="1902"/>
      <c r="F279" s="1902"/>
      <c r="G279" s="1902"/>
      <c r="H279" s="1903"/>
      <c r="I279" s="93">
        <f>SUM(I280:I288)</f>
        <v>25821.200000000001</v>
      </c>
      <c r="J279" s="93">
        <f t="shared" ref="J279:L279" si="5">SUM(J280:J288)</f>
        <v>19159.400000000001</v>
      </c>
      <c r="K279" s="93">
        <f t="shared" si="5"/>
        <v>27232.5</v>
      </c>
      <c r="L279" s="267">
        <f t="shared" si="5"/>
        <v>18913.599999999999</v>
      </c>
      <c r="M279" s="10"/>
      <c r="N279" s="10"/>
      <c r="O279" s="10"/>
      <c r="P279" s="10"/>
      <c r="Q279" s="10"/>
    </row>
    <row r="280" spans="1:21" ht="14.25" customHeight="1" x14ac:dyDescent="0.25">
      <c r="A280" s="1904" t="s">
        <v>17</v>
      </c>
      <c r="B280" s="1905"/>
      <c r="C280" s="1905"/>
      <c r="D280" s="1905"/>
      <c r="E280" s="1905"/>
      <c r="F280" s="1905"/>
      <c r="G280" s="1905"/>
      <c r="H280" s="1906"/>
      <c r="I280" s="124">
        <f>SUMIF(H16:H273,"SB",I16:I273)</f>
        <v>9157.9</v>
      </c>
      <c r="J280" s="124">
        <f>SUMIF(H16:H273,"SB",J16:J273)</f>
        <v>9657.9</v>
      </c>
      <c r="K280" s="124">
        <f>SUMIF(H16:H273,"SB",K16:K273)</f>
        <v>11173.6</v>
      </c>
      <c r="L280" s="44">
        <f>SUMIF(H16:H273,"SB",L16:L273)</f>
        <v>10076.700000000001</v>
      </c>
      <c r="M280" s="16"/>
      <c r="N280" s="10"/>
      <c r="O280" s="10"/>
      <c r="P280" s="10"/>
      <c r="Q280" s="10"/>
    </row>
    <row r="281" spans="1:21" ht="14.25" customHeight="1" x14ac:dyDescent="0.25">
      <c r="A281" s="1941" t="s">
        <v>364</v>
      </c>
      <c r="B281" s="1942"/>
      <c r="C281" s="1942"/>
      <c r="D281" s="1942"/>
      <c r="E281" s="1942"/>
      <c r="F281" s="1942"/>
      <c r="G281" s="1942"/>
      <c r="H281" s="1943"/>
      <c r="I281" s="124">
        <f>SUMIF(H16:H273,"SB(K)",I16:I273)</f>
        <v>0</v>
      </c>
      <c r="J281" s="124">
        <f>SUMIF(H16:H273,"SB(P)",J16:J273)</f>
        <v>358</v>
      </c>
      <c r="K281" s="124">
        <f>SUMIF(H16:H273,"SB(P)",K16:K273)</f>
        <v>0</v>
      </c>
      <c r="L281" s="44">
        <f>SUMIF(H16:H273,"SB(P)",L16:L273)</f>
        <v>0</v>
      </c>
      <c r="M281" s="16"/>
      <c r="N281" s="10"/>
      <c r="O281" s="10"/>
      <c r="P281" s="10"/>
      <c r="Q281" s="10"/>
    </row>
    <row r="282" spans="1:21" ht="14.25" customHeight="1" x14ac:dyDescent="0.25">
      <c r="A282" s="1941" t="s">
        <v>368</v>
      </c>
      <c r="B282" s="1942"/>
      <c r="C282" s="1942"/>
      <c r="D282" s="1942"/>
      <c r="E282" s="1942"/>
      <c r="F282" s="1942"/>
      <c r="G282" s="1942"/>
      <c r="H282" s="1943"/>
      <c r="I282" s="124">
        <f>SUMIF(H16:H273,"SB(P)",I16:I273)</f>
        <v>0</v>
      </c>
      <c r="J282" s="124">
        <f>SUMIF(H16:H273,"SB(K)",J16:J273)</f>
        <v>414.1</v>
      </c>
      <c r="K282" s="124">
        <f>SUMIF(H16:H273,"SB(K)",K16:K273)</f>
        <v>0</v>
      </c>
      <c r="L282" s="44">
        <f>SUMIF(H16:H273,"SB(K)",L16:L273)</f>
        <v>0</v>
      </c>
      <c r="M282" s="16"/>
      <c r="N282" s="10"/>
      <c r="O282" s="10"/>
      <c r="P282" s="10"/>
      <c r="Q282" s="10"/>
    </row>
    <row r="283" spans="1:21" ht="14.25" customHeight="1" x14ac:dyDescent="0.25">
      <c r="A283" s="1935" t="s">
        <v>58</v>
      </c>
      <c r="B283" s="1936"/>
      <c r="C283" s="1936"/>
      <c r="D283" s="1936"/>
      <c r="E283" s="1936"/>
      <c r="F283" s="1936"/>
      <c r="G283" s="1936"/>
      <c r="H283" s="1937"/>
      <c r="I283" s="124">
        <f>SUMIF(H16:H273,"SB(VR)",I16:I273)</f>
        <v>1900</v>
      </c>
      <c r="J283" s="124">
        <f>SUMIF(H16:H273,"SB(VR)",J16:J273)</f>
        <v>1950</v>
      </c>
      <c r="K283" s="124">
        <f>SUMIF(H16:H273,"SB(VR)",K16:K273)</f>
        <v>2768.3</v>
      </c>
      <c r="L283" s="44">
        <f>SUMIF(H16:H273,"SB(VR)",L16:L273)</f>
        <v>2452.3000000000002</v>
      </c>
      <c r="M283" s="10"/>
      <c r="N283" s="10"/>
      <c r="O283" s="10"/>
      <c r="P283" s="10"/>
      <c r="Q283" s="10"/>
    </row>
    <row r="284" spans="1:21" ht="14.25" customHeight="1" x14ac:dyDescent="0.25">
      <c r="A284" s="1941" t="s">
        <v>366</v>
      </c>
      <c r="B284" s="1942"/>
      <c r="C284" s="1942"/>
      <c r="D284" s="1942"/>
      <c r="E284" s="1942"/>
      <c r="F284" s="1942"/>
      <c r="G284" s="1942"/>
      <c r="H284" s="1943"/>
      <c r="I284" s="124">
        <f>SUMIF(H16:H273,"SB(SPI)",I16:I273)</f>
        <v>0</v>
      </c>
      <c r="J284" s="124">
        <f>SUMIF(H16:H273,"SB(SPI)",J16:J273)</f>
        <v>150</v>
      </c>
      <c r="K284" s="124">
        <f>SUMIF(H16:H273,"SB(SPI)",K16:K273)</f>
        <v>0</v>
      </c>
      <c r="L284" s="44">
        <f>SUMIF(H16:H273,"SB(SPI)",L16:L273)</f>
        <v>0</v>
      </c>
      <c r="M284" s="10"/>
      <c r="N284" s="10"/>
      <c r="O284" s="10"/>
      <c r="P284" s="10"/>
      <c r="Q284" s="10"/>
    </row>
    <row r="285" spans="1:21" ht="14.25" customHeight="1" x14ac:dyDescent="0.25">
      <c r="A285" s="1892" t="s">
        <v>361</v>
      </c>
      <c r="B285" s="1893"/>
      <c r="C285" s="1893"/>
      <c r="D285" s="1893"/>
      <c r="E285" s="1893"/>
      <c r="F285" s="1893"/>
      <c r="G285" s="1893"/>
      <c r="H285" s="1894"/>
      <c r="I285" s="17">
        <f>SUMIF(H16:H273,"SB(ES)",I16:I273)</f>
        <v>2912.5</v>
      </c>
      <c r="J285" s="17">
        <f>SUMIF(H16:H273,"SB(ES)",J16:J273)</f>
        <v>33.799999999999997</v>
      </c>
      <c r="K285" s="17">
        <f>SUMIF(H16:H273,"SB(ES)",K16:K273)</f>
        <v>0</v>
      </c>
      <c r="L285" s="268">
        <f>SUMIF(H16:H273,"SB(ES)",L16:L273)</f>
        <v>0</v>
      </c>
      <c r="M285" s="10"/>
      <c r="N285" s="10"/>
      <c r="O285" s="10"/>
      <c r="P285" s="10"/>
      <c r="Q285" s="10"/>
    </row>
    <row r="286" spans="1:21" ht="14.25" customHeight="1" x14ac:dyDescent="0.25">
      <c r="A286" s="1892" t="s">
        <v>122</v>
      </c>
      <c r="B286" s="1893"/>
      <c r="C286" s="1893"/>
      <c r="D286" s="1893"/>
      <c r="E286" s="1893"/>
      <c r="F286" s="1893"/>
      <c r="G286" s="1893"/>
      <c r="H286" s="1894"/>
      <c r="I286" s="17">
        <f>SUMIF(H16:H273,"SB(VB)",I16:I273)</f>
        <v>5000</v>
      </c>
      <c r="J286" s="17">
        <f>SUMIF(H16:H273,"SB(VB)",J16:J273)</f>
        <v>0</v>
      </c>
      <c r="K286" s="17">
        <f>SUMIF(H16:H273,"SB(VB)",K16:K273)</f>
        <v>8000</v>
      </c>
      <c r="L286" s="268">
        <f>SUMIF(H16:H273,"SB(VB)",L16:L273)</f>
        <v>0</v>
      </c>
      <c r="M286" s="10"/>
      <c r="N286" s="10"/>
      <c r="O286" s="10"/>
      <c r="P286" s="10"/>
      <c r="Q286" s="10"/>
    </row>
    <row r="287" spans="1:21" ht="15.75" customHeight="1" x14ac:dyDescent="0.25">
      <c r="A287" s="1941" t="s">
        <v>142</v>
      </c>
      <c r="B287" s="1942"/>
      <c r="C287" s="1942"/>
      <c r="D287" s="1942"/>
      <c r="E287" s="1942"/>
      <c r="F287" s="1942"/>
      <c r="G287" s="1942"/>
      <c r="H287" s="1943"/>
      <c r="I287" s="17">
        <f>SUMIF(H16:H273,"SB(KPP)",I16:I273)</f>
        <v>6835.1</v>
      </c>
      <c r="J287" s="17">
        <f>SUMIF(H16:H273,"SB(KPP)",J16:J273)</f>
        <v>6567</v>
      </c>
      <c r="K287" s="17">
        <f>SUMIF(H16:H273,"SB(KPP)",K16:K273)</f>
        <v>5282.3</v>
      </c>
      <c r="L287" s="268">
        <f>SUMIF(H16:H273,"SB(KPP)",L16:L273)</f>
        <v>6384.6</v>
      </c>
      <c r="M287" s="10"/>
      <c r="N287" s="10"/>
      <c r="O287" s="10"/>
      <c r="P287" s="10"/>
      <c r="Q287" s="10"/>
    </row>
    <row r="288" spans="1:21" ht="27" customHeight="1" x14ac:dyDescent="0.25">
      <c r="A288" s="1941" t="s">
        <v>208</v>
      </c>
      <c r="B288" s="1942"/>
      <c r="C288" s="1942"/>
      <c r="D288" s="1942"/>
      <c r="E288" s="1942"/>
      <c r="F288" s="1942"/>
      <c r="G288" s="1942"/>
      <c r="H288" s="1943"/>
      <c r="I288" s="17">
        <f>SUMIF(H16:H273,"SB(ESA)",I16:I273)</f>
        <v>15.7</v>
      </c>
      <c r="J288" s="17">
        <f>SUMIF(H16:H273,"SB(ESA)",J16:J273)</f>
        <v>28.6</v>
      </c>
      <c r="K288" s="17">
        <f>SUMIF(H16:H273,"SB(ESA)",K16:K273)</f>
        <v>8.3000000000000007</v>
      </c>
      <c r="L288" s="268">
        <f>SUMIF(H16:H273,"SB(ESA)",L16:L273)</f>
        <v>0</v>
      </c>
      <c r="M288" s="10"/>
      <c r="N288" s="10"/>
      <c r="O288" s="10"/>
      <c r="P288" s="10"/>
      <c r="Q288" s="10"/>
    </row>
    <row r="289" spans="1:17" ht="15.75" customHeight="1" x14ac:dyDescent="0.25">
      <c r="A289" s="1944" t="s">
        <v>143</v>
      </c>
      <c r="B289" s="1945"/>
      <c r="C289" s="1945"/>
      <c r="D289" s="1945"/>
      <c r="E289" s="1945"/>
      <c r="F289" s="1945"/>
      <c r="G289" s="1945"/>
      <c r="H289" s="1946"/>
      <c r="I289" s="57">
        <f>SUMIF(H16:H273,"KPP",I16:I273)</f>
        <v>0</v>
      </c>
      <c r="J289" s="57">
        <f>SUMIF(H16:H273,"KPP",J16:J273)</f>
        <v>0</v>
      </c>
      <c r="K289" s="57">
        <f>SUMIF(H16:H273,"KPP",K16:K273)</f>
        <v>0</v>
      </c>
      <c r="L289" s="269">
        <f>SUMIF(H16:H273,"KPP",L16:L273)</f>
        <v>0</v>
      </c>
      <c r="M289" s="10"/>
      <c r="N289" s="10"/>
      <c r="O289" s="10"/>
      <c r="P289" s="10"/>
      <c r="Q289" s="10"/>
    </row>
    <row r="290" spans="1:17" ht="15.75" customHeight="1" x14ac:dyDescent="0.25">
      <c r="A290" s="1944" t="s">
        <v>362</v>
      </c>
      <c r="B290" s="1945"/>
      <c r="C290" s="1945"/>
      <c r="D290" s="1945"/>
      <c r="E290" s="1945"/>
      <c r="F290" s="1945"/>
      <c r="G290" s="1945"/>
      <c r="H290" s="1946"/>
      <c r="I290" s="57">
        <f>SUMIF(H17:H273,"SB(ESL)",I17:I273)</f>
        <v>0</v>
      </c>
      <c r="J290" s="57">
        <f>SUMIF(H17:H273,"SB(ESL)",J17:J273)</f>
        <v>59.1</v>
      </c>
      <c r="K290" s="57">
        <f>SUMIF(H17:H273,"SB(ESL)",K17:K273)</f>
        <v>0</v>
      </c>
      <c r="L290" s="269">
        <f>SUMIF(H17:H273,"SB(ESL)",L17:L273)</f>
        <v>0</v>
      </c>
      <c r="M290" s="10"/>
      <c r="N290" s="10"/>
      <c r="O290" s="10"/>
      <c r="P290" s="10"/>
      <c r="Q290" s="10"/>
    </row>
    <row r="291" spans="1:17" ht="14.25" customHeight="1" x14ac:dyDescent="0.25">
      <c r="A291" s="1947" t="s">
        <v>65</v>
      </c>
      <c r="B291" s="1948"/>
      <c r="C291" s="1948"/>
      <c r="D291" s="1948"/>
      <c r="E291" s="1948"/>
      <c r="F291" s="1948"/>
      <c r="G291" s="1948"/>
      <c r="H291" s="1949"/>
      <c r="I291" s="57">
        <f>SUMIF(H16:H273,"SB(VRL)",I16:I273)</f>
        <v>270.89999999999998</v>
      </c>
      <c r="J291" s="57">
        <f>SUMIF(H16:H273,"SB(VRL)",J16:J273)</f>
        <v>427.7</v>
      </c>
      <c r="K291" s="57">
        <f>SUMIF(H16:H273,"SB(VRL)",K16:K273)</f>
        <v>20</v>
      </c>
      <c r="L291" s="269">
        <f>SUMIF(H16:H273,"SB(VRL)",L16:L273)</f>
        <v>26</v>
      </c>
      <c r="M291" s="10"/>
      <c r="N291" s="10"/>
      <c r="O291" s="10"/>
      <c r="P291" s="10"/>
      <c r="Q291" s="10"/>
    </row>
    <row r="292" spans="1:17" ht="14.25" customHeight="1" x14ac:dyDescent="0.25">
      <c r="A292" s="1944" t="s">
        <v>66</v>
      </c>
      <c r="B292" s="1948"/>
      <c r="C292" s="1948"/>
      <c r="D292" s="1948"/>
      <c r="E292" s="1948"/>
      <c r="F292" s="1948"/>
      <c r="G292" s="1948"/>
      <c r="H292" s="1949"/>
      <c r="I292" s="57">
        <f>SUMIF(H16:H273,"SB(ŽPL)",I16:I273)</f>
        <v>690.1</v>
      </c>
      <c r="J292" s="57">
        <f>SUMIF(H16:H273,"SB(ŽPL)",J16:J273)</f>
        <v>0</v>
      </c>
      <c r="K292" s="57">
        <f>SUMIF(H16:H273,"SB(ŽPL)",K16:K273)</f>
        <v>0</v>
      </c>
      <c r="L292" s="269">
        <f>SUMIF(H16:H273,"SB(ŽPL)",L16:L273)</f>
        <v>0</v>
      </c>
      <c r="M292" s="10"/>
      <c r="N292" s="10"/>
      <c r="O292" s="10"/>
      <c r="P292" s="10"/>
      <c r="Q292" s="10"/>
    </row>
    <row r="293" spans="1:17" ht="14.25" customHeight="1" x14ac:dyDescent="0.25">
      <c r="A293" s="1926" t="s">
        <v>96</v>
      </c>
      <c r="B293" s="1927"/>
      <c r="C293" s="1927"/>
      <c r="D293" s="1927"/>
      <c r="E293" s="1927"/>
      <c r="F293" s="1927"/>
      <c r="G293" s="1927"/>
      <c r="H293" s="1928"/>
      <c r="I293" s="57">
        <f>SUMIF(H16:H273,"SB(L)",I16:I273)</f>
        <v>5206</v>
      </c>
      <c r="J293" s="57">
        <f>SUMIF(H16:H273,"SB(L)",J16:J273)</f>
        <v>1076.3</v>
      </c>
      <c r="K293" s="57">
        <f>SUMIF(H16:H273,"SB(L)",K16:K273)</f>
        <v>0</v>
      </c>
      <c r="L293" s="269">
        <f>SUMIF(H16:H273,"SB(L)",L16:L273)</f>
        <v>0</v>
      </c>
      <c r="M293" s="10"/>
      <c r="N293" s="10"/>
      <c r="O293" s="10"/>
      <c r="P293" s="10"/>
      <c r="Q293" s="10"/>
    </row>
    <row r="294" spans="1:17" ht="14.25" customHeight="1" x14ac:dyDescent="0.25">
      <c r="A294" s="1929" t="s">
        <v>13</v>
      </c>
      <c r="B294" s="1930"/>
      <c r="C294" s="1930"/>
      <c r="D294" s="1930"/>
      <c r="E294" s="1930"/>
      <c r="F294" s="1930"/>
      <c r="G294" s="1930"/>
      <c r="H294" s="1931"/>
      <c r="I294" s="58">
        <f t="shared" ref="I294:L294" si="6">I296+I297+I298+I295</f>
        <v>3624.1</v>
      </c>
      <c r="J294" s="58">
        <f t="shared" si="6"/>
        <v>15337.5</v>
      </c>
      <c r="K294" s="58">
        <f t="shared" si="6"/>
        <v>19164.7</v>
      </c>
      <c r="L294" s="270">
        <f t="shared" si="6"/>
        <v>15328.8</v>
      </c>
      <c r="M294" s="10"/>
      <c r="N294" s="10"/>
      <c r="O294" s="10"/>
      <c r="P294" s="10"/>
      <c r="Q294" s="10"/>
    </row>
    <row r="295" spans="1:17" ht="14.25" customHeight="1" x14ac:dyDescent="0.25">
      <c r="A295" s="1892" t="s">
        <v>18</v>
      </c>
      <c r="B295" s="1893"/>
      <c r="C295" s="1893"/>
      <c r="D295" s="1893"/>
      <c r="E295" s="1893"/>
      <c r="F295" s="1893"/>
      <c r="G295" s="1893"/>
      <c r="H295" s="1894"/>
      <c r="I295" s="17">
        <f>SUMIF(H16:H273,"ES",I16:I273)</f>
        <v>997</v>
      </c>
      <c r="J295" s="17">
        <f>SUMIF(H16:H273,"ES",J16:J273)</f>
        <v>1082.3</v>
      </c>
      <c r="K295" s="17">
        <f>SUMIF(H16:H273,"ES",K16:K273)</f>
        <v>3649</v>
      </c>
      <c r="L295" s="268">
        <f>SUMIF(H16:H273,"ES",L16:L273)</f>
        <v>1813.8</v>
      </c>
      <c r="M295" s="10"/>
      <c r="N295" s="10"/>
      <c r="O295" s="10"/>
      <c r="P295" s="10"/>
      <c r="Q295" s="10"/>
    </row>
    <row r="296" spans="1:17" ht="14.25" customHeight="1" x14ac:dyDescent="0.25">
      <c r="A296" s="1932" t="s">
        <v>19</v>
      </c>
      <c r="B296" s="1933"/>
      <c r="C296" s="1933"/>
      <c r="D296" s="1933"/>
      <c r="E296" s="1933"/>
      <c r="F296" s="1933"/>
      <c r="G296" s="1933"/>
      <c r="H296" s="1934"/>
      <c r="I296" s="17">
        <f>SUMIF(H16:H273,"KVJUD",I16:I273)</f>
        <v>1542</v>
      </c>
      <c r="J296" s="17">
        <f>SUMIF(H16:H273,"KVJUD",J16:J273)</f>
        <v>1500</v>
      </c>
      <c r="K296" s="17">
        <f>SUMIF(H16:H273,"KVJUD",K16:K273)</f>
        <v>1500</v>
      </c>
      <c r="L296" s="268">
        <f>SUMIF(H16:H273,"KVJUD",L16:L273)</f>
        <v>1500</v>
      </c>
      <c r="M296" s="16"/>
      <c r="N296" s="16"/>
      <c r="O296" s="16"/>
      <c r="P296" s="16"/>
      <c r="Q296" s="16"/>
    </row>
    <row r="297" spans="1:17" ht="14.25" customHeight="1" x14ac:dyDescent="0.25">
      <c r="A297" s="1935" t="s">
        <v>20</v>
      </c>
      <c r="B297" s="1936"/>
      <c r="C297" s="1936"/>
      <c r="D297" s="1936"/>
      <c r="E297" s="1936"/>
      <c r="F297" s="1936"/>
      <c r="G297" s="1936"/>
      <c r="H297" s="1937"/>
      <c r="I297" s="17">
        <f>SUMIF(H16:H273,"LRVB",I16:I273)</f>
        <v>1000</v>
      </c>
      <c r="J297" s="17">
        <f>SUMIF(H16:H273,"LRVB",J16:J273)</f>
        <v>12500</v>
      </c>
      <c r="K297" s="17">
        <f>SUMIF(H16:H273,"LRVB",K16:K273)</f>
        <v>13991.7</v>
      </c>
      <c r="L297" s="268">
        <f>SUMIF(H16:H273,"LRVB",L16:L273)</f>
        <v>12015</v>
      </c>
      <c r="M297" s="16"/>
      <c r="N297" s="16"/>
      <c r="O297" s="16"/>
      <c r="P297" s="16"/>
      <c r="Q297" s="16"/>
    </row>
    <row r="298" spans="1:17" ht="14.25" customHeight="1" x14ac:dyDescent="0.25">
      <c r="A298" s="1938" t="s">
        <v>21</v>
      </c>
      <c r="B298" s="1939"/>
      <c r="C298" s="1939"/>
      <c r="D298" s="1939"/>
      <c r="E298" s="1939"/>
      <c r="F298" s="1939"/>
      <c r="G298" s="1939"/>
      <c r="H298" s="1940"/>
      <c r="I298" s="17">
        <f>SUMIF(H16:H273,"Kt",I16:I273)</f>
        <v>85.1</v>
      </c>
      <c r="J298" s="17">
        <f>SUMIF(H16:H273,"Kt",J16:J273)</f>
        <v>255.2</v>
      </c>
      <c r="K298" s="17">
        <f>SUMIF(H16:H273,"Kt",K16:K273)</f>
        <v>24</v>
      </c>
      <c r="L298" s="268">
        <f>SUMIF(H16:H273,"Kt",L16:L273)</f>
        <v>0</v>
      </c>
      <c r="M298" s="16"/>
      <c r="N298" s="16"/>
      <c r="O298" s="16"/>
      <c r="P298" s="16"/>
      <c r="Q298" s="16"/>
    </row>
    <row r="299" spans="1:17" ht="14.25" customHeight="1" thickBot="1" x14ac:dyDescent="0.3">
      <c r="A299" s="1920" t="s">
        <v>14</v>
      </c>
      <c r="B299" s="1921"/>
      <c r="C299" s="1921"/>
      <c r="D299" s="1921"/>
      <c r="E299" s="1921"/>
      <c r="F299" s="1921"/>
      <c r="G299" s="1921"/>
      <c r="H299" s="1922"/>
      <c r="I299" s="59">
        <f>SUM(I278,I294)</f>
        <v>35612.300000000003</v>
      </c>
      <c r="J299" s="59">
        <f>SUM(J278,J294)</f>
        <v>36060</v>
      </c>
      <c r="K299" s="59">
        <f>SUM(K278,K294)</f>
        <v>46417.2</v>
      </c>
      <c r="L299" s="271">
        <f>SUM(L278,L294)</f>
        <v>34268.400000000001</v>
      </c>
      <c r="M299" s="16"/>
      <c r="N299" s="16"/>
      <c r="O299" s="16"/>
      <c r="P299" s="16"/>
      <c r="Q299" s="16"/>
    </row>
    <row r="300" spans="1:17" x14ac:dyDescent="0.25">
      <c r="H300" s="81"/>
      <c r="I300" s="82"/>
      <c r="J300" s="82"/>
      <c r="K300" s="82"/>
      <c r="L300" s="82"/>
      <c r="M300" s="4"/>
    </row>
    <row r="301" spans="1:17" x14ac:dyDescent="0.25">
      <c r="J301" s="10"/>
      <c r="K301" s="10"/>
      <c r="L301" s="10"/>
    </row>
    <row r="302" spans="1:17" x14ac:dyDescent="0.25">
      <c r="I302" s="10"/>
      <c r="J302" s="10"/>
      <c r="K302" s="10"/>
      <c r="L302" s="10"/>
    </row>
    <row r="303" spans="1:17" x14ac:dyDescent="0.25">
      <c r="I303" s="10"/>
      <c r="J303" s="10"/>
      <c r="K303" s="10"/>
      <c r="L303" s="10"/>
    </row>
    <row r="304" spans="1:17" x14ac:dyDescent="0.25">
      <c r="M304" s="10"/>
    </row>
    <row r="307" spans="13:13" x14ac:dyDescent="0.25">
      <c r="M307" s="10"/>
    </row>
    <row r="310" spans="13:13" x14ac:dyDescent="0.25">
      <c r="M310" s="10"/>
    </row>
    <row r="313" spans="13:13" x14ac:dyDescent="0.25">
      <c r="M313" s="10"/>
    </row>
  </sheetData>
  <mergeCells count="294">
    <mergeCell ref="M273:Q273"/>
    <mergeCell ref="M272:Q272"/>
    <mergeCell ref="B272:H272"/>
    <mergeCell ref="E230:E231"/>
    <mergeCell ref="B262:B264"/>
    <mergeCell ref="C262:C264"/>
    <mergeCell ref="D262:D264"/>
    <mergeCell ref="B242:B245"/>
    <mergeCell ref="C271:H271"/>
    <mergeCell ref="G265:G267"/>
    <mergeCell ref="M271:Q271"/>
    <mergeCell ref="E240:E241"/>
    <mergeCell ref="N247:N248"/>
    <mergeCell ref="G268:G269"/>
    <mergeCell ref="C242:C245"/>
    <mergeCell ref="C265:C267"/>
    <mergeCell ref="B268:B269"/>
    <mergeCell ref="M268:M269"/>
    <mergeCell ref="G257:G258"/>
    <mergeCell ref="M247:M248"/>
    <mergeCell ref="G254:G255"/>
    <mergeCell ref="E265:E267"/>
    <mergeCell ref="M244:M245"/>
    <mergeCell ref="G259:G261"/>
    <mergeCell ref="M212:Q212"/>
    <mergeCell ref="E234:E235"/>
    <mergeCell ref="M242:M243"/>
    <mergeCell ref="M228:M229"/>
    <mergeCell ref="E204:E205"/>
    <mergeCell ref="G226:G229"/>
    <mergeCell ref="E215:E219"/>
    <mergeCell ref="G216:G220"/>
    <mergeCell ref="G230:G232"/>
    <mergeCell ref="G206:G207"/>
    <mergeCell ref="E206:E207"/>
    <mergeCell ref="G234:G235"/>
    <mergeCell ref="G208:G209"/>
    <mergeCell ref="Q110:Q117"/>
    <mergeCell ref="O185:O186"/>
    <mergeCell ref="E158:E161"/>
    <mergeCell ref="G158:G159"/>
    <mergeCell ref="G160:G161"/>
    <mergeCell ref="E185:E186"/>
    <mergeCell ref="F191:F192"/>
    <mergeCell ref="G187:G188"/>
    <mergeCell ref="G191:G192"/>
    <mergeCell ref="M191:M192"/>
    <mergeCell ref="E183:E184"/>
    <mergeCell ref="P62:P64"/>
    <mergeCell ref="D134:D135"/>
    <mergeCell ref="E143:E144"/>
    <mergeCell ref="E132:E133"/>
    <mergeCell ref="F139:F140"/>
    <mergeCell ref="D136:D137"/>
    <mergeCell ref="D126:D129"/>
    <mergeCell ref="N62:N64"/>
    <mergeCell ref="M124:M125"/>
    <mergeCell ref="M132:M133"/>
    <mergeCell ref="H110:H117"/>
    <mergeCell ref="I110:I117"/>
    <mergeCell ref="J110:J117"/>
    <mergeCell ref="K110:K117"/>
    <mergeCell ref="M109:M117"/>
    <mergeCell ref="L110:L117"/>
    <mergeCell ref="N110:N117"/>
    <mergeCell ref="O110:O117"/>
    <mergeCell ref="P110:P117"/>
    <mergeCell ref="E93:E94"/>
    <mergeCell ref="F93:F94"/>
    <mergeCell ref="M130:M131"/>
    <mergeCell ref="F262:F264"/>
    <mergeCell ref="E262:E264"/>
    <mergeCell ref="E242:E245"/>
    <mergeCell ref="E247:E249"/>
    <mergeCell ref="G262:G263"/>
    <mergeCell ref="G247:G252"/>
    <mergeCell ref="A299:H299"/>
    <mergeCell ref="A298:H298"/>
    <mergeCell ref="A297:H297"/>
    <mergeCell ref="A293:H293"/>
    <mergeCell ref="A291:H291"/>
    <mergeCell ref="A296:H296"/>
    <mergeCell ref="A294:H294"/>
    <mergeCell ref="A295:H295"/>
    <mergeCell ref="A292:H292"/>
    <mergeCell ref="A274:G274"/>
    <mergeCell ref="E250:E252"/>
    <mergeCell ref="A290:H290"/>
    <mergeCell ref="C268:C269"/>
    <mergeCell ref="D268:D269"/>
    <mergeCell ref="D265:D267"/>
    <mergeCell ref="E259:E261"/>
    <mergeCell ref="C259:C261"/>
    <mergeCell ref="D259:D261"/>
    <mergeCell ref="C234:C235"/>
    <mergeCell ref="D234:D235"/>
    <mergeCell ref="B265:B267"/>
    <mergeCell ref="B259:B261"/>
    <mergeCell ref="A289:H289"/>
    <mergeCell ref="A287:H287"/>
    <mergeCell ref="A283:H283"/>
    <mergeCell ref="A278:H278"/>
    <mergeCell ref="A288:H288"/>
    <mergeCell ref="A280:H280"/>
    <mergeCell ref="A279:H279"/>
    <mergeCell ref="A277:H277"/>
    <mergeCell ref="A276:L276"/>
    <mergeCell ref="A285:H285"/>
    <mergeCell ref="A286:H286"/>
    <mergeCell ref="A281:H281"/>
    <mergeCell ref="A284:H284"/>
    <mergeCell ref="A282:H282"/>
    <mergeCell ref="D246:D255"/>
    <mergeCell ref="F240:F241"/>
    <mergeCell ref="A268:A269"/>
    <mergeCell ref="B273:H273"/>
    <mergeCell ref="E268:E269"/>
    <mergeCell ref="F259:F261"/>
    <mergeCell ref="A191:A192"/>
    <mergeCell ref="A187:A188"/>
    <mergeCell ref="B191:B192"/>
    <mergeCell ref="B187:B188"/>
    <mergeCell ref="A265:A267"/>
    <mergeCell ref="A259:A261"/>
    <mergeCell ref="A262:A264"/>
    <mergeCell ref="A234:A235"/>
    <mergeCell ref="A256:A258"/>
    <mergeCell ref="A242:A245"/>
    <mergeCell ref="B256:B258"/>
    <mergeCell ref="B234:B235"/>
    <mergeCell ref="C256:C258"/>
    <mergeCell ref="E256:E258"/>
    <mergeCell ref="E228:E229"/>
    <mergeCell ref="C212:H212"/>
    <mergeCell ref="E226:E227"/>
    <mergeCell ref="G224:G225"/>
    <mergeCell ref="G104:G109"/>
    <mergeCell ref="C213:Q213"/>
    <mergeCell ref="G176:G177"/>
    <mergeCell ref="M193:M194"/>
    <mergeCell ref="N185:N186"/>
    <mergeCell ref="Q185:Q186"/>
    <mergeCell ref="F187:F190"/>
    <mergeCell ref="G168:G170"/>
    <mergeCell ref="E169:E170"/>
    <mergeCell ref="G156:G157"/>
    <mergeCell ref="D206:D207"/>
    <mergeCell ref="E151:E153"/>
    <mergeCell ref="E148:E150"/>
    <mergeCell ref="E181:E182"/>
    <mergeCell ref="C165:H165"/>
    <mergeCell ref="E178:E180"/>
    <mergeCell ref="E145:E147"/>
    <mergeCell ref="G202:G203"/>
    <mergeCell ref="G193:G194"/>
    <mergeCell ref="E38:E40"/>
    <mergeCell ref="E49:E53"/>
    <mergeCell ref="E54:E58"/>
    <mergeCell ref="E71:E72"/>
    <mergeCell ref="F71:F72"/>
    <mergeCell ref="C185:C186"/>
    <mergeCell ref="D185:D186"/>
    <mergeCell ref="C166:Q166"/>
    <mergeCell ref="M174:M175"/>
    <mergeCell ref="E134:E135"/>
    <mergeCell ref="E130:E131"/>
    <mergeCell ref="C126:C129"/>
    <mergeCell ref="D141:D142"/>
    <mergeCell ref="E136:E137"/>
    <mergeCell ref="D143:D144"/>
    <mergeCell ref="P185:P186"/>
    <mergeCell ref="E44:E48"/>
    <mergeCell ref="G73:G78"/>
    <mergeCell ref="E41:E43"/>
    <mergeCell ref="G59:G64"/>
    <mergeCell ref="Q62:Q64"/>
    <mergeCell ref="G46:G48"/>
    <mergeCell ref="O62:O64"/>
    <mergeCell ref="C44:C53"/>
    <mergeCell ref="C191:C192"/>
    <mergeCell ref="B126:B129"/>
    <mergeCell ref="D77:D78"/>
    <mergeCell ref="C187:C188"/>
    <mergeCell ref="G65:G70"/>
    <mergeCell ref="M185:M186"/>
    <mergeCell ref="M183:M184"/>
    <mergeCell ref="M65:M66"/>
    <mergeCell ref="F88:F89"/>
    <mergeCell ref="M62:M64"/>
    <mergeCell ref="M98:M100"/>
    <mergeCell ref="M49:M53"/>
    <mergeCell ref="M44:M46"/>
    <mergeCell ref="F46:F47"/>
    <mergeCell ref="G145:G154"/>
    <mergeCell ref="E156:E157"/>
    <mergeCell ref="E193:E194"/>
    <mergeCell ref="D41:D43"/>
    <mergeCell ref="E90:E92"/>
    <mergeCell ref="E126:E128"/>
    <mergeCell ref="E174:E175"/>
    <mergeCell ref="B185:B186"/>
    <mergeCell ref="D54:D58"/>
    <mergeCell ref="D65:D70"/>
    <mergeCell ref="E77:E78"/>
    <mergeCell ref="C41:C43"/>
    <mergeCell ref="C124:C125"/>
    <mergeCell ref="E65:E70"/>
    <mergeCell ref="E73:E76"/>
    <mergeCell ref="E82:E83"/>
    <mergeCell ref="E120:E123"/>
    <mergeCell ref="E95:E96"/>
    <mergeCell ref="E84:E85"/>
    <mergeCell ref="D86:D87"/>
    <mergeCell ref="E86:E87"/>
    <mergeCell ref="E88:E89"/>
    <mergeCell ref="E124:E125"/>
    <mergeCell ref="E98:E100"/>
    <mergeCell ref="E59:E61"/>
    <mergeCell ref="B41:B43"/>
    <mergeCell ref="A25:A33"/>
    <mergeCell ref="A3:Q3"/>
    <mergeCell ref="G7:G9"/>
    <mergeCell ref="H7:H9"/>
    <mergeCell ref="M7:Q7"/>
    <mergeCell ref="C13:Q13"/>
    <mergeCell ref="B25:B33"/>
    <mergeCell ref="E14:E15"/>
    <mergeCell ref="E16:E21"/>
    <mergeCell ref="G16:G18"/>
    <mergeCell ref="B12:Q12"/>
    <mergeCell ref="G25:G32"/>
    <mergeCell ref="F7:F9"/>
    <mergeCell ref="C25:C33"/>
    <mergeCell ref="D25:D33"/>
    <mergeCell ref="F16:F17"/>
    <mergeCell ref="A41:A43"/>
    <mergeCell ref="M1:Q2"/>
    <mergeCell ref="E25:E28"/>
    <mergeCell ref="A7:A9"/>
    <mergeCell ref="B7:B9"/>
    <mergeCell ref="C7:C9"/>
    <mergeCell ref="M17:M21"/>
    <mergeCell ref="E34:E37"/>
    <mergeCell ref="M34:M37"/>
    <mergeCell ref="A4:Q4"/>
    <mergeCell ref="M6:Q6"/>
    <mergeCell ref="M8:M9"/>
    <mergeCell ref="A5:Q5"/>
    <mergeCell ref="D7:D9"/>
    <mergeCell ref="I7:I9"/>
    <mergeCell ref="J7:J9"/>
    <mergeCell ref="K7:K9"/>
    <mergeCell ref="L7:L9"/>
    <mergeCell ref="N8:Q8"/>
    <mergeCell ref="E7:E9"/>
    <mergeCell ref="A10:Q10"/>
    <mergeCell ref="A11:Q11"/>
    <mergeCell ref="G22:G23"/>
    <mergeCell ref="G34:G43"/>
    <mergeCell ref="A54:A58"/>
    <mergeCell ref="B54:B58"/>
    <mergeCell ref="C54:C64"/>
    <mergeCell ref="F84:F85"/>
    <mergeCell ref="M59:M61"/>
    <mergeCell ref="F86:F87"/>
    <mergeCell ref="G84:G87"/>
    <mergeCell ref="A59:A64"/>
    <mergeCell ref="B59:B64"/>
    <mergeCell ref="A86:A87"/>
    <mergeCell ref="M54:M57"/>
    <mergeCell ref="A185:A186"/>
    <mergeCell ref="M204:M205"/>
    <mergeCell ref="M199:M200"/>
    <mergeCell ref="G195:G196"/>
    <mergeCell ref="A124:A125"/>
    <mergeCell ref="B124:B125"/>
    <mergeCell ref="M88:M89"/>
    <mergeCell ref="B86:B87"/>
    <mergeCell ref="G93:G100"/>
    <mergeCell ref="A126:A129"/>
    <mergeCell ref="F95:F96"/>
    <mergeCell ref="E195:E196"/>
    <mergeCell ref="G204:G205"/>
    <mergeCell ref="G198:G201"/>
    <mergeCell ref="E198:E200"/>
    <mergeCell ref="F195:F196"/>
    <mergeCell ref="E202:E203"/>
    <mergeCell ref="E141:E142"/>
    <mergeCell ref="D187:D188"/>
    <mergeCell ref="E187:E188"/>
    <mergeCell ref="G185:G186"/>
    <mergeCell ref="D191:D192"/>
    <mergeCell ref="F185:F186"/>
    <mergeCell ref="E191:E192"/>
  </mergeCells>
  <phoneticPr fontId="8" type="noConversion"/>
  <printOptions horizontalCentered="1"/>
  <pageMargins left="0.78740157480314965" right="0.19685039370078741" top="0.59055118110236227" bottom="0.39370078740157483" header="0" footer="0"/>
  <pageSetup paperSize="9" scale="50" orientation="portrait" r:id="rId1"/>
  <headerFooter alignWithMargins="0"/>
  <rowBreaks count="3" manualBreakCount="3">
    <brk id="76" max="16" man="1"/>
    <brk id="147" max="16" man="1"/>
    <brk id="215"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8</vt:i4>
      </vt:variant>
    </vt:vector>
  </HeadingPairs>
  <TitlesOfParts>
    <vt:vector size="12" baseType="lpstr">
      <vt:lpstr>6 programa</vt:lpstr>
      <vt:lpstr>Lyginamasis variantas</vt:lpstr>
      <vt:lpstr>Lyginamasis variantas (2)</vt:lpstr>
      <vt:lpstr>Aiškinamoji lentelė</vt:lpstr>
      <vt:lpstr>'6 programa'!Print_Area</vt:lpstr>
      <vt:lpstr>'Aiškinamoji lentelė'!Print_Area</vt:lpstr>
      <vt:lpstr>'Lyginamasis variantas'!Print_Area</vt:lpstr>
      <vt:lpstr>'Lyginamasis variantas (2)'!Print_Area</vt:lpstr>
      <vt:lpstr>'6 programa'!Print_Titles</vt:lpstr>
      <vt:lpstr>'Aiškinamoji lentelė'!Print_Titles</vt:lpstr>
      <vt:lpstr>'Lyginamasis variantas'!Print_Titles</vt:lpstr>
      <vt:lpstr>'Lyginamasis variantas (2)'!Print_Titles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2021-10-29T17:31:08Z</cp:lastPrinted>
  <dcterms:created xsi:type="dcterms:W3CDTF">2007-07-27T10:32:34Z</dcterms:created>
  <dcterms:modified xsi:type="dcterms:W3CDTF">2021-11-02T19:40:46Z</dcterms:modified>
</cp:coreProperties>
</file>